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87300BB8-C5F3-4C3C-A4A8-2D64E4B49E4D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15728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</calcChain>
</file>

<file path=xl/sharedStrings.xml><?xml version="1.0" encoding="utf-8"?>
<sst xmlns="http://schemas.openxmlformats.org/spreadsheetml/2006/main" count="19291" uniqueCount="10117">
  <si>
    <t>交易所</t>
  </si>
  <si>
    <t>代码</t>
  </si>
  <si>
    <t>公司</t>
  </si>
  <si>
    <t>行业</t>
  </si>
  <si>
    <t>销售商品、提供劳务收到的现金 累积 2022-09-30 (元)</t>
  </si>
  <si>
    <t>销售商品、提供劳务收到的现金 累积 2021-09-30 (元)</t>
  </si>
  <si>
    <t>销售商品、提供劳务收到的现金 累积 2020-09-30 (元)</t>
  </si>
  <si>
    <t>销售商品、提供劳务收到的现金 累积 2019-09-30 (元)</t>
  </si>
  <si>
    <t>销售商品、提供劳务收到的现金 累积 2018-09-30 (元)</t>
  </si>
  <si>
    <t>销售商品、提供劳务收到的现金 累积 2017-09-30 (元)</t>
  </si>
  <si>
    <t>销售商品、提供劳务收到的现金 累积 2016-09-30 (元)</t>
  </si>
  <si>
    <t>销售商品、提供劳务收到的现金 累积 2015-09-30 (元)</t>
  </si>
  <si>
    <t>销售商品、提供劳务收到的现金 累积 2014-09-30 (元)</t>
  </si>
  <si>
    <t>销售商品、提供劳务收到的现金 累积 2013-09-30 (元)</t>
  </si>
  <si>
    <t>销售商品、提供劳务收到的现金 累积 2012-09-30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</si>
  <si>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</si>
  <si>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</si>
  <si>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</si>
  <si>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</si>
  <si>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</si>
  <si>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</si>
  <si>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</si>
  <si>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</si>
  <si>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</si>
  <si>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</si>
  <si>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</si>
  <si>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</si>
  <si>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</si>
  <si>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</si>
  <si>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</si>
  <si>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</si>
  <si>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</si>
  <si>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</si>
  <si>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</si>
  <si>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</si>
  <si>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</si>
  <si>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</si>
  <si>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</si>
  <si>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</si>
  <si>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</si>
  <si>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</si>
  <si>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</si>
  <si>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</si>
  <si>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</si>
  <si>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</si>
  <si>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</si>
  <si>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</si>
  <si>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</si>
  <si>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</si>
  <si>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</si>
  <si>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</si>
  <si>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</si>
  <si>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</si>
  <si>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</si>
  <si>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</si>
  <si>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</si>
  <si>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</si>
  <si>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</si>
  <si>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</si>
  <si>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</si>
  <si>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</si>
  <si>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</si>
  <si>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</si>
  <si>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</si>
  <si>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</si>
  <si>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</si>
  <si>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</si>
  <si>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</si>
  <si>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</si>
  <si>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</si>
  <si>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</si>
  <si>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</si>
  <si>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</si>
  <si>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</si>
  <si>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</si>
  <si>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</si>
  <si>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</si>
  <si>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</si>
  <si>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</si>
  <si>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</si>
  <si>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</si>
  <si>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</si>
  <si>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</si>
  <si>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</si>
  <si>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</si>
  <si>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</si>
  <si>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</si>
  <si>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</si>
  <si>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</si>
  <si>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</si>
  <si>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</si>
  <si>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</si>
  <si>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</si>
  <si>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</si>
  <si>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</si>
  <si>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</si>
  <si>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</si>
  <si>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</si>
  <si>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</si>
  <si>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</si>
  <si>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</si>
  <si>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</si>
  <si>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</si>
  <si>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</si>
  <si>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</si>
  <si>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</si>
  <si>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</si>
  <si>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</si>
  <si>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</si>
  <si>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</si>
  <si>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</si>
  <si>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</si>
  <si>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</si>
  <si>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</si>
  <si>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</si>
  <si>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</si>
  <si>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</si>
  <si>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</si>
  <si>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</si>
  <si>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</si>
  <si>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</si>
  <si>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</si>
  <si>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</si>
  <si>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</si>
  <si>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</si>
  <si>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</si>
  <si>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</si>
  <si>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</si>
  <si>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</si>
  <si>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</si>
  <si>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</si>
  <si>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</si>
  <si>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</si>
  <si>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</si>
  <si>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</si>
  <si>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</si>
  <si>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</si>
  <si>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</si>
  <si>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</si>
  <si>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</si>
  <si>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</si>
  <si>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</si>
  <si>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</si>
  <si>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</si>
  <si>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</si>
  <si>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</si>
  <si>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</si>
  <si>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</si>
  <si>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</si>
  <si>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</si>
  <si>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</si>
  <si>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</si>
  <si>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</si>
  <si>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</si>
  <si>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</si>
  <si>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</si>
  <si>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</si>
  <si>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</si>
  <si>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</si>
  <si>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</si>
  <si>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</si>
  <si>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</si>
  <si>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</si>
  <si>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</si>
  <si>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</si>
  <si>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</si>
  <si>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</si>
  <si>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</si>
  <si>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</si>
  <si>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</si>
  <si>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</si>
  <si>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</si>
  <si>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</si>
  <si>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</si>
  <si>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</si>
  <si>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</si>
  <si>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</si>
  <si>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</si>
  <si>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</si>
  <si>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</si>
  <si>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</si>
  <si>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</si>
  <si>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</si>
  <si>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</si>
  <si>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</si>
  <si>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</si>
  <si>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</si>
  <si>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</si>
  <si>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</si>
  <si>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</si>
  <si>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</si>
  <si>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</si>
  <si>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</si>
  <si>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</si>
  <si>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</si>
  <si>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</si>
  <si>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</si>
  <si>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</si>
  <si>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</si>
  <si>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</si>
  <si>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</si>
  <si>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</si>
  <si>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</si>
  <si>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</si>
  <si>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</si>
  <si>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</si>
  <si>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</si>
  <si>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</si>
  <si>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</si>
  <si>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</si>
  <si>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</si>
  <si>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</si>
  <si>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</si>
  <si>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</si>
  <si>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</si>
  <si>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</si>
  <si>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</si>
  <si>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</si>
  <si>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</si>
  <si>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</si>
  <si>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</si>
  <si>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</si>
  <si>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</si>
  <si>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</si>
  <si>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</si>
  <si>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</si>
  <si>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</si>
  <si>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</si>
  <si>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</si>
  <si>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</si>
  <si>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</si>
  <si>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</si>
  <si>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</si>
  <si>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</si>
  <si>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</si>
  <si>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</si>
  <si>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</si>
  <si>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</si>
  <si>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</si>
  <si>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</si>
  <si>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</si>
  <si>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</si>
  <si>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</si>
  <si>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</si>
  <si>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</si>
  <si>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</si>
  <si>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</si>
  <si>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</si>
  <si>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</si>
  <si>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</si>
  <si>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</si>
  <si>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</si>
  <si>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</si>
  <si>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</si>
  <si>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</si>
  <si>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</si>
  <si>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</si>
  <si>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</si>
  <si>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</si>
  <si>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</si>
  <si>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</si>
  <si>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</si>
  <si>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</si>
  <si>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</si>
  <si>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</si>
  <si>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</si>
  <si>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</si>
  <si>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</si>
  <si>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</si>
  <si>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</si>
  <si>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</si>
  <si>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</si>
  <si>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</si>
  <si>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</si>
  <si>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</si>
  <si>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</si>
  <si>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</si>
  <si>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</si>
  <si>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</si>
  <si>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</si>
  <si>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</si>
  <si>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</si>
  <si>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</si>
  <si>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</si>
  <si>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</si>
  <si>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</si>
  <si>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</si>
  <si>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</si>
  <si>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</si>
  <si>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</si>
  <si>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</si>
  <si>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</si>
  <si>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</si>
  <si>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</si>
  <si>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</si>
  <si>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</si>
  <si>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</si>
  <si>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</si>
  <si>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</si>
  <si>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</si>
  <si>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</si>
  <si>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</si>
  <si>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</si>
  <si>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</si>
  <si>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</si>
  <si>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</si>
  <si>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</si>
  <si>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</si>
  <si>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</si>
  <si>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</si>
  <si>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</si>
  <si>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</si>
  <si>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</si>
  <si>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</si>
  <si>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</si>
  <si>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</si>
  <si>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</si>
  <si>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</si>
  <si>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</si>
  <si>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</si>
  <si>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</si>
  <si>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</si>
  <si>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</si>
  <si>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</si>
  <si>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</si>
  <si>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</si>
  <si>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</si>
  <si>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</si>
  <si>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</si>
  <si>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</si>
  <si>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</si>
  <si>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</si>
  <si>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</si>
  <si>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</si>
  <si>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</si>
  <si>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</si>
  <si>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</si>
  <si>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</si>
  <si>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</si>
  <si>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</si>
  <si>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</si>
  <si>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</si>
  <si>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</si>
  <si>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</si>
  <si>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</si>
  <si>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</si>
  <si>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</si>
  <si>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</si>
  <si>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</si>
  <si>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</si>
  <si>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</si>
  <si>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</si>
  <si>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</si>
  <si>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</si>
  <si>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</si>
  <si>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</si>
  <si>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</si>
  <si>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</si>
  <si>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</si>
  <si>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</si>
  <si>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</si>
  <si>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</si>
  <si>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</si>
  <si>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</si>
  <si>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</si>
  <si>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</si>
  <si>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</si>
  <si>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</si>
  <si>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</si>
  <si>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</si>
  <si>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</si>
  <si>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</si>
  <si>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</si>
  <si>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</si>
  <si>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</si>
  <si>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</si>
  <si>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</si>
  <si>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</si>
  <si>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</si>
  <si>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</si>
  <si>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</si>
  <si>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</si>
  <si>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</si>
  <si>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</si>
  <si>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</si>
  <si>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</si>
  <si>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</si>
  <si>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</si>
  <si>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</si>
  <si>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</si>
  <si>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</si>
  <si>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</si>
  <si>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</si>
  <si>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</si>
  <si>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</si>
  <si>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</si>
  <si>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</si>
  <si>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</si>
  <si>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</si>
  <si>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</si>
  <si>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</si>
  <si>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</si>
  <si>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</si>
  <si>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</si>
  <si>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</si>
  <si>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</si>
  <si>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</si>
  <si>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</si>
  <si>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</si>
  <si>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</si>
  <si>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</si>
  <si>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</si>
  <si>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</si>
  <si>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</si>
  <si>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</si>
  <si>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</si>
  <si>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</si>
  <si>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</si>
  <si>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</si>
  <si>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</si>
  <si>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</si>
  <si>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</si>
  <si>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</si>
  <si>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</si>
  <si>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</si>
  <si>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</si>
  <si>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</si>
  <si>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</si>
  <si>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</si>
  <si>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</si>
  <si>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</si>
  <si>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</si>
  <si>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</si>
  <si>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</si>
  <si>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</si>
  <si>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</si>
  <si>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</si>
  <si>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</si>
  <si>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</si>
  <si>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</si>
  <si>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</si>
  <si>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</si>
  <si>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</si>
  <si>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</si>
  <si>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</si>
  <si>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</si>
  <si>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</si>
  <si>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</si>
  <si>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</si>
  <si>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</si>
  <si>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</si>
  <si>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</si>
  <si>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</si>
  <si>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</si>
  <si>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</si>
  <si>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</si>
  <si>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</si>
  <si>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</si>
  <si>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</si>
  <si>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</si>
  <si>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</si>
  <si>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</si>
  <si>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</si>
  <si>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</si>
  <si>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</si>
  <si>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</si>
  <si>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</si>
  <si>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</si>
  <si>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</si>
  <si>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</si>
  <si>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</si>
  <si>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</si>
  <si>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</si>
  <si>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</si>
  <si>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</si>
  <si>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</si>
  <si>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</si>
  <si>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</si>
  <si>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</si>
  <si>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</si>
  <si>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</si>
  <si>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</si>
  <si>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</si>
  <si>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</si>
  <si>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</si>
  <si>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</si>
  <si>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</si>
  <si>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</si>
  <si>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</si>
  <si>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</si>
  <si>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</si>
  <si>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</si>
  <si>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</si>
  <si>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</si>
  <si>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</si>
  <si>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</si>
  <si>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</si>
  <si>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</si>
  <si>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</si>
  <si>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</si>
  <si>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</si>
  <si>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</si>
  <si>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</si>
  <si>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</si>
  <si>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</si>
  <si>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</si>
  <si>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</si>
  <si>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</si>
  <si>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</si>
  <si>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</si>
  <si>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</si>
  <si>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</si>
  <si>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</si>
  <si>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</si>
  <si>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</si>
  <si>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</si>
  <si>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</si>
  <si>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</si>
  <si>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</si>
  <si>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</si>
  <si>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</si>
  <si>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</si>
  <si>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</si>
  <si>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</si>
  <si>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</si>
  <si>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</si>
  <si>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</si>
  <si>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</si>
  <si>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</si>
  <si>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</si>
  <si>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</si>
  <si>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</si>
  <si>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</si>
  <si>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</si>
  <si>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</si>
  <si>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</si>
  <si>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</si>
  <si>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</si>
  <si>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</si>
  <si>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</si>
  <si>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</si>
  <si>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</si>
  <si>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</si>
  <si>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</si>
  <si>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</si>
  <si>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</si>
  <si>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</si>
  <si>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</si>
  <si>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</si>
  <si>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</si>
  <si>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</si>
  <si>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</si>
  <si>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</si>
  <si>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</si>
  <si>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</si>
  <si>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</si>
  <si>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</si>
  <si>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</si>
  <si>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</si>
  <si>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</si>
  <si>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</si>
  <si>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</si>
  <si>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</si>
  <si>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</si>
  <si>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</si>
  <si>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</si>
  <si>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</si>
  <si>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</si>
  <si>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</si>
  <si>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</si>
  <si>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</si>
  <si>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</si>
  <si>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</si>
  <si>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</si>
  <si>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</si>
  <si>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</si>
  <si>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</si>
  <si>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</si>
  <si>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</si>
  <si>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</si>
  <si>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</si>
  <si>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</si>
  <si>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</si>
  <si>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</si>
  <si>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</si>
  <si>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</si>
  <si>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</si>
  <si>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</si>
  <si>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</si>
  <si>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</si>
  <si>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</si>
  <si>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</si>
  <si>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</si>
  <si>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</si>
  <si>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</si>
  <si>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</si>
  <si>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</si>
  <si>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</si>
  <si>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</si>
  <si>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</si>
  <si>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</si>
  <si>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</si>
  <si>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</si>
  <si>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</si>
  <si>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</si>
  <si>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</si>
  <si>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</si>
  <si>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</si>
  <si>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</si>
  <si>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</si>
  <si>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</si>
  <si>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</si>
  <si>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</si>
  <si>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</si>
  <si>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</si>
  <si>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</si>
  <si>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</si>
  <si>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</si>
  <si>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</si>
  <si>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</si>
  <si>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</si>
  <si>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</si>
  <si>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</si>
  <si>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</si>
  <si>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</si>
  <si>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</si>
  <si>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</si>
  <si>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</si>
  <si>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</si>
  <si>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</si>
  <si>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</si>
  <si>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</si>
  <si>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</si>
  <si>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</si>
  <si>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</si>
  <si>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</si>
  <si>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</si>
  <si>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</si>
  <si>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</si>
  <si>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</si>
  <si>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</si>
  <si>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</si>
  <si>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</si>
  <si>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</si>
  <si>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</si>
  <si>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</si>
  <si>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</si>
  <si>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</si>
  <si>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</si>
  <si>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</si>
  <si>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</si>
  <si>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</si>
  <si>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</si>
  <si>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</si>
  <si>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</si>
  <si>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</si>
  <si>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</si>
  <si>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</si>
  <si>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</si>
  <si>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</si>
  <si>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</si>
  <si>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</si>
  <si>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</si>
  <si>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</si>
  <si>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</si>
  <si>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</si>
  <si>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</si>
  <si>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</si>
  <si>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</si>
  <si>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</si>
  <si>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</si>
  <si>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</si>
  <si>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</si>
  <si>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</si>
  <si>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</si>
  <si>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</si>
  <si>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</si>
  <si>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</si>
  <si>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</si>
  <si>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</si>
  <si>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</si>
  <si>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</si>
  <si>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</si>
  <si>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</si>
  <si>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</si>
  <si>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</si>
  <si>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</si>
  <si>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</si>
  <si>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</si>
  <si>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</si>
  <si>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</si>
  <si>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</si>
  <si>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</si>
  <si>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</si>
  <si>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</si>
  <si>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</si>
  <si>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</si>
  <si>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</si>
  <si>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</si>
  <si>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</si>
  <si>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</si>
  <si>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</si>
  <si>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</si>
  <si>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</si>
  <si>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</si>
  <si>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</si>
  <si>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</si>
  <si>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</si>
  <si>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</si>
  <si>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</si>
  <si>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</si>
  <si>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</si>
  <si>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</si>
  <si>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</si>
  <si>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</si>
  <si>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</si>
  <si>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</si>
  <si>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</si>
  <si>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</si>
  <si>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</si>
  <si>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</si>
  <si>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</si>
  <si>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</si>
  <si>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</si>
  <si>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</si>
  <si>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</si>
  <si>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</si>
  <si>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</si>
  <si>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</si>
  <si>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</si>
  <si>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</si>
  <si>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</si>
  <si>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</si>
  <si>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</si>
  <si>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</si>
  <si>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</si>
  <si>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</si>
  <si>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</si>
  <si>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</si>
  <si>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</si>
  <si>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</si>
  <si>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</si>
  <si>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</si>
  <si>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</si>
  <si>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</si>
  <si>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</si>
  <si>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</si>
  <si>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</si>
  <si>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</si>
  <si>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</si>
  <si>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</si>
  <si>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</si>
  <si>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</si>
  <si>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</si>
  <si>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</si>
  <si>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</si>
  <si>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</si>
  <si>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</si>
  <si>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</si>
  <si>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</si>
  <si>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</si>
  <si>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</si>
  <si>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</si>
  <si>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</si>
  <si>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</si>
  <si>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</si>
  <si>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</si>
  <si>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</si>
  <si>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</si>
  <si>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</si>
  <si>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</si>
  <si>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</si>
  <si>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</si>
  <si>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</si>
  <si>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</si>
  <si>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</si>
  <si>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</si>
  <si>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</si>
  <si>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</si>
  <si>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</si>
  <si>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</si>
  <si>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</si>
  <si>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</si>
  <si>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</si>
  <si>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</si>
  <si>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</si>
  <si>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</si>
  <si>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</si>
  <si>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</si>
  <si>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</si>
  <si>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</si>
  <si>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</si>
  <si>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</si>
  <si>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</si>
  <si>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</si>
  <si>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</si>
  <si>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</si>
  <si>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</si>
  <si>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</si>
  <si>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</si>
  <si>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</si>
  <si>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</si>
  <si>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</si>
  <si>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</si>
  <si>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</si>
  <si>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</si>
  <si>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</si>
  <si>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</si>
  <si>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</si>
  <si>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</si>
  <si>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</si>
  <si>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</si>
  <si>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</si>
  <si>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</si>
  <si>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</si>
  <si>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</si>
  <si>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</si>
  <si>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</si>
  <si>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</si>
  <si>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</si>
  <si>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</si>
  <si>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</si>
  <si>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</si>
  <si>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</si>
  <si>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</si>
  <si>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</si>
  <si>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</si>
  <si>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</si>
  <si>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</si>
  <si>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</si>
  <si>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</si>
  <si>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</si>
  <si>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</si>
  <si>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</si>
  <si>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</si>
  <si>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</si>
  <si>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</si>
  <si>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</si>
  <si>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</si>
  <si>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</si>
  <si>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</si>
  <si>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</si>
  <si>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</si>
  <si>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</si>
  <si>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</si>
  <si>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</si>
  <si>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</si>
  <si>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</si>
  <si>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</si>
  <si>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</si>
  <si>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</si>
  <si>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</si>
  <si>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</si>
  <si>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</si>
  <si>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</si>
  <si>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</si>
  <si>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</si>
  <si>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</si>
  <si>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</si>
  <si>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</si>
  <si>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</si>
  <si>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</si>
  <si>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</si>
  <si>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</si>
  <si>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</si>
  <si>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</si>
  <si>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</si>
  <si>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</si>
  <si>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</si>
  <si>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</si>
  <si>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</si>
  <si>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</si>
  <si>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</si>
  <si>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</si>
  <si>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</si>
  <si>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</si>
  <si>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</si>
  <si>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</si>
  <si>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</si>
  <si>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</si>
  <si>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</si>
  <si>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</si>
  <si>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</si>
  <si>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</si>
  <si>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</si>
  <si>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</si>
  <si>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</si>
  <si>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</si>
  <si>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</si>
  <si>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</si>
  <si>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</si>
  <si>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</si>
  <si>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</si>
  <si>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</si>
  <si>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</si>
  <si>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</si>
  <si>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</si>
  <si>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</si>
  <si>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</si>
  <si>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</si>
  <si>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</si>
  <si>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</si>
  <si>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</si>
  <si>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</si>
  <si>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</si>
  <si>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</si>
  <si>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</si>
  <si>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</si>
  <si>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</si>
  <si>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</si>
  <si>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</si>
  <si>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</si>
  <si>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</si>
  <si>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</si>
  <si>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</si>
  <si>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</si>
  <si>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</si>
  <si>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</si>
  <si>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</si>
  <si>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</si>
  <si>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</si>
  <si>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</si>
  <si>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</si>
  <si>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</si>
  <si>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</si>
  <si>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</si>
  <si>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</si>
  <si>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</si>
  <si>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</si>
  <si>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</si>
  <si>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</si>
  <si>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</si>
  <si>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</si>
  <si>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</si>
  <si>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</si>
  <si>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</si>
  <si>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</si>
  <si>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</si>
  <si>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</si>
  <si>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</si>
  <si>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</si>
  <si>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</si>
  <si>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</si>
  <si>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</si>
  <si>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</si>
  <si>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</si>
  <si>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</si>
  <si>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</si>
  <si>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</si>
  <si>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</si>
  <si>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</si>
  <si>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</si>
  <si>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</si>
  <si>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</si>
  <si>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</si>
  <si>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</si>
  <si>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</si>
  <si>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</si>
  <si>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</si>
  <si>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</si>
  <si>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</si>
  <si>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</si>
  <si>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</si>
  <si>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</si>
  <si>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</si>
  <si>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</si>
  <si>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</si>
  <si>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</si>
  <si>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</si>
  <si>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</si>
  <si>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</si>
  <si>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</si>
  <si>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</si>
  <si>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</si>
  <si>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</si>
  <si>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</si>
  <si>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</si>
  <si>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</si>
  <si>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</si>
  <si>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</si>
  <si>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</si>
  <si>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</si>
  <si>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</si>
  <si>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</si>
  <si>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</si>
  <si>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</si>
  <si>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</si>
  <si>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</si>
  <si>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</si>
  <si>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</si>
  <si>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</si>
  <si>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</si>
  <si>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</si>
  <si>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</si>
  <si>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</si>
  <si>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</si>
  <si>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</si>
  <si>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</si>
  <si>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</si>
  <si>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</si>
  <si>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</si>
  <si>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</si>
  <si>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</si>
  <si>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</si>
  <si>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</si>
  <si>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</si>
  <si>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</si>
  <si>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</si>
  <si>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</si>
  <si>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</si>
  <si>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</si>
  <si>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</si>
  <si>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</si>
  <si>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</si>
  <si>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</si>
  <si>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</si>
  <si>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</si>
  <si>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</si>
  <si>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</si>
  <si>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</si>
  <si>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</si>
  <si>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</si>
  <si>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</si>
  <si>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</si>
  <si>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</si>
  <si>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</si>
  <si>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</si>
  <si>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</si>
  <si>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</si>
  <si>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</si>
  <si>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</si>
  <si>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</si>
  <si>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</si>
  <si>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</si>
  <si>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</si>
  <si>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</si>
  <si>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</si>
  <si>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</si>
  <si>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</si>
  <si>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</si>
  <si>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</si>
  <si>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</si>
  <si>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</si>
  <si>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</si>
  <si>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</si>
  <si>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</si>
  <si>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</si>
  <si>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</si>
  <si>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</si>
  <si>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</si>
  <si>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</si>
  <si>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</si>
  <si>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</si>
  <si>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</si>
  <si>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</si>
  <si>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</si>
  <si>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</si>
  <si>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</si>
  <si>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</si>
  <si>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</si>
  <si>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</si>
  <si>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</si>
  <si>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</si>
  <si>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</si>
  <si>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</si>
  <si>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</si>
  <si>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</si>
  <si>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</si>
  <si>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</si>
  <si>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</si>
  <si>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</si>
  <si>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</si>
  <si>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</si>
  <si>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</si>
  <si>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</si>
  <si>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</si>
  <si>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</si>
  <si>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</si>
  <si>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</si>
  <si>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</si>
  <si>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</si>
  <si>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</si>
  <si>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</si>
  <si>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</si>
  <si>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</si>
  <si>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</si>
  <si>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</si>
  <si>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</si>
  <si>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</si>
  <si>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</si>
  <si>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</si>
  <si>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</si>
  <si>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</si>
  <si>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</si>
  <si>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</si>
  <si>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</si>
  <si>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</si>
  <si>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</si>
  <si>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</si>
  <si>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</si>
  <si>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</si>
  <si>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</si>
  <si>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</si>
  <si>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</si>
  <si>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</si>
  <si>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</si>
  <si>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</si>
  <si>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</si>
  <si>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</si>
  <si>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</si>
  <si>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</si>
  <si>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</si>
  <si>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</si>
  <si>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</si>
  <si>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</si>
  <si>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</si>
  <si>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</si>
  <si>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</si>
  <si>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</si>
  <si>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</si>
  <si>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</si>
  <si>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</si>
  <si>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</si>
  <si>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</si>
  <si>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</si>
  <si>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</si>
  <si>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</si>
  <si>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</si>
  <si>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</si>
  <si>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</si>
  <si>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</si>
  <si>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</si>
  <si>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</si>
  <si>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</si>
  <si>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</si>
  <si>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</si>
  <si>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</si>
  <si>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</si>
  <si>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</si>
  <si>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</si>
  <si>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</si>
  <si>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</si>
  <si>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</si>
  <si>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</si>
  <si>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</si>
  <si>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</si>
  <si>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</si>
  <si>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</si>
  <si>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</si>
  <si>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</si>
  <si>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</si>
  <si>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</si>
  <si>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</si>
  <si>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</si>
  <si>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</si>
  <si>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</si>
  <si>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</si>
  <si>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</si>
  <si>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</si>
  <si>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</si>
  <si>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</si>
  <si>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</si>
  <si>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</si>
  <si>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</si>
  <si>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</si>
  <si>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</si>
  <si>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</si>
  <si>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</si>
  <si>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</si>
  <si>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</si>
  <si>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</si>
  <si>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</si>
  <si>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</si>
  <si>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</si>
  <si>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</si>
  <si>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</si>
  <si>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</si>
  <si>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</si>
  <si>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</si>
  <si>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</si>
  <si>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</si>
  <si>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</si>
  <si>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</si>
  <si>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</si>
  <si>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</si>
  <si>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</si>
  <si>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</si>
  <si>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</si>
  <si>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</si>
  <si>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</si>
  <si>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</si>
  <si>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</si>
  <si>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</si>
  <si>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</si>
  <si>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</si>
  <si>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</si>
  <si>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</si>
  <si>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</si>
  <si>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</si>
  <si>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</si>
  <si>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</si>
  <si>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</si>
  <si>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</si>
  <si>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</si>
  <si>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</si>
  <si>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</si>
  <si>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</si>
  <si>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</si>
  <si>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</si>
  <si>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</si>
  <si>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</si>
  <si>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</si>
  <si>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</si>
  <si>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</si>
  <si>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</si>
  <si>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</si>
  <si>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</si>
  <si>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</si>
  <si>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</si>
  <si>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</si>
  <si>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</si>
  <si>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</si>
  <si>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</si>
  <si>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</si>
  <si>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</si>
  <si>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</si>
  <si>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</si>
  <si>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</si>
  <si>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</si>
  <si>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</si>
  <si>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</si>
  <si>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</si>
  <si>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</si>
  <si>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</si>
  <si>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</si>
  <si>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</si>
  <si>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</si>
  <si>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</si>
  <si>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</si>
  <si>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</si>
  <si>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</si>
  <si>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</si>
  <si>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</si>
  <si>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</si>
  <si>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</si>
  <si>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</si>
  <si>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</si>
  <si>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</si>
  <si>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</si>
  <si>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</si>
  <si>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</si>
  <si>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</si>
  <si>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</si>
  <si>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</si>
  <si>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</si>
  <si>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</si>
  <si>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</si>
  <si>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</si>
  <si>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</si>
  <si>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</si>
  <si>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</si>
  <si>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</si>
  <si>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</si>
  <si>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</si>
  <si>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</si>
  <si>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</si>
  <si>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</si>
  <si>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</si>
  <si>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</si>
  <si>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</si>
  <si>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</si>
  <si>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</si>
  <si>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</si>
  <si>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</si>
  <si>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</si>
  <si>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</si>
  <si>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</si>
  <si>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</si>
  <si>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</si>
  <si>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</si>
  <si>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</si>
  <si>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</si>
  <si>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</si>
  <si>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</si>
  <si>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</si>
  <si>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</si>
  <si>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</si>
  <si>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</si>
  <si>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</si>
  <si>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</si>
  <si>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</si>
  <si>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</si>
  <si>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</si>
  <si>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</si>
  <si>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</si>
  <si>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</si>
  <si>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</si>
  <si>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</si>
  <si>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</si>
  <si>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</si>
  <si>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</si>
  <si>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</si>
  <si>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</si>
  <si>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</si>
  <si>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</si>
  <si>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</si>
  <si>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</si>
  <si>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</si>
  <si>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</si>
  <si>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</si>
  <si>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</si>
  <si>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</si>
  <si>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</si>
  <si>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</si>
  <si>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</si>
  <si>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</si>
  <si>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</si>
  <si>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</si>
  <si>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</si>
  <si>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</si>
  <si>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</si>
  <si>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</si>
  <si>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</si>
  <si>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</si>
  <si>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</si>
  <si>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</si>
  <si>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</si>
  <si>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</si>
  <si>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</si>
  <si>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</si>
  <si>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</si>
  <si>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</si>
  <si>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</si>
  <si>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</si>
  <si>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</si>
  <si>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</si>
  <si>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</si>
  <si>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</si>
  <si>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</si>
  <si>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</si>
  <si>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</si>
  <si>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</si>
  <si>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</si>
  <si>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</si>
  <si>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</si>
  <si>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</si>
  <si>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</si>
  <si>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</si>
  <si>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</si>
  <si>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</si>
  <si>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</si>
  <si>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</si>
  <si>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</si>
  <si>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</si>
  <si>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</si>
  <si>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</si>
  <si>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</si>
  <si>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</si>
  <si>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</si>
  <si>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</si>
  <si>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</si>
  <si>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</si>
  <si>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</si>
  <si>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</si>
  <si>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</si>
  <si>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</si>
  <si>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</si>
  <si>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</si>
  <si>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</si>
  <si>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</si>
  <si>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</si>
  <si>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</si>
  <si>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</si>
  <si>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</si>
  <si>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</si>
  <si>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</si>
  <si>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</si>
  <si>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</si>
  <si>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</si>
  <si>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</si>
  <si>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</si>
  <si>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</si>
  <si>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</si>
  <si>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</si>
  <si>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</si>
  <si>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</si>
  <si>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</si>
  <si>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</si>
  <si>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</si>
  <si>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</si>
  <si>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</si>
  <si>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</si>
  <si>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</si>
  <si>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</si>
  <si>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</si>
  <si>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</si>
  <si>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</si>
  <si>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</si>
  <si>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</si>
  <si>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</si>
  <si>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</si>
  <si>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</si>
  <si>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</si>
  <si>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</si>
  <si>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</si>
  <si>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</si>
  <si>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</si>
  <si>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</si>
  <si>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</si>
  <si>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</si>
  <si>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</si>
  <si>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</si>
  <si>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</si>
  <si>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</si>
  <si>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</si>
  <si>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</si>
  <si>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</si>
  <si>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</si>
  <si>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</si>
  <si>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</si>
  <si>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</si>
  <si>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</si>
  <si>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</si>
  <si>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</si>
  <si>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</si>
  <si>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</si>
  <si>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</si>
  <si>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</si>
  <si>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</si>
  <si>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</si>
  <si>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</si>
  <si>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</si>
  <si>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</si>
  <si>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</si>
  <si>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</si>
  <si>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</si>
  <si>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</si>
  <si>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</si>
  <si>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</si>
  <si>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</si>
  <si>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</si>
  <si>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</si>
  <si>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</si>
  <si>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</si>
  <si>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</si>
  <si>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</si>
  <si>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</si>
  <si>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</si>
  <si>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</si>
  <si>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</si>
  <si>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</si>
  <si>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</si>
  <si>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</si>
  <si>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</si>
  <si>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</si>
  <si>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</si>
  <si>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</si>
  <si>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</si>
  <si>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</si>
  <si>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</si>
  <si>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</si>
  <si>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</si>
  <si>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</si>
  <si>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</si>
  <si>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</si>
  <si>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</si>
  <si>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</si>
  <si>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</si>
  <si>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</si>
  <si>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</si>
  <si>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</si>
  <si>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</si>
  <si>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</si>
  <si>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</si>
  <si>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</si>
  <si>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</si>
  <si>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</si>
  <si>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</si>
  <si>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</si>
  <si>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</si>
  <si>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</si>
  <si>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</si>
  <si>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</si>
  <si>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</si>
  <si>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</si>
  <si>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</si>
  <si>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</si>
  <si>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</si>
  <si>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</si>
  <si>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</si>
  <si>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</si>
  <si>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</si>
  <si>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</si>
  <si>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</si>
  <si>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</si>
  <si>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</si>
  <si>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</si>
  <si>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</si>
  <si>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</si>
  <si>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</si>
  <si>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</si>
  <si>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</si>
  <si>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</si>
  <si>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</si>
  <si>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</si>
  <si>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</si>
  <si>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</si>
  <si>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</si>
  <si>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</si>
  <si>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</si>
  <si>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</si>
  <si>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</si>
  <si>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</si>
  <si>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</si>
  <si>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</si>
  <si>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</si>
  <si>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</si>
  <si>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</si>
  <si>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</si>
  <si>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</si>
  <si>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</si>
  <si>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</si>
  <si>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</si>
  <si>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</si>
  <si>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</si>
  <si>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</si>
  <si>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</si>
  <si>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</si>
  <si>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</si>
  <si>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</si>
  <si>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</si>
  <si>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</si>
  <si>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</si>
  <si>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</si>
  <si>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</si>
  <si>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</si>
  <si>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</si>
  <si>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</si>
  <si>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</si>
  <si>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</si>
  <si>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</si>
  <si>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</si>
  <si>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</si>
  <si>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</si>
  <si>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</si>
  <si>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</si>
  <si>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</si>
  <si>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</si>
  <si>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</si>
  <si>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</si>
  <si>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</si>
  <si>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</si>
  <si>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</si>
  <si>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</si>
  <si>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</si>
  <si>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</si>
  <si>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</si>
  <si>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</si>
  <si>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</si>
  <si>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</si>
  <si>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</si>
  <si>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</si>
  <si>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</si>
  <si>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</si>
  <si>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</si>
  <si>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</si>
  <si>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</si>
  <si>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</si>
  <si>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</si>
  <si>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</si>
  <si>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</si>
  <si>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</si>
  <si>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</si>
  <si>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</si>
  <si>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</si>
  <si>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</si>
  <si>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</si>
  <si>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</si>
  <si>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</si>
  <si>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</si>
  <si>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</si>
  <si>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</si>
  <si>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</si>
  <si>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</si>
  <si>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</si>
  <si>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</si>
  <si>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</si>
  <si>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</si>
  <si>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</si>
  <si>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</si>
  <si>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</si>
  <si>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</si>
  <si>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</si>
  <si>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</si>
  <si>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</si>
  <si>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</si>
  <si>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</si>
  <si>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</si>
  <si>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</si>
  <si>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</si>
  <si>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</si>
  <si>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</si>
  <si>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</si>
  <si>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</si>
  <si>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</si>
  <si>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</si>
  <si>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</si>
  <si>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</si>
  <si>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</si>
  <si>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</si>
  <si>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</si>
  <si>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</si>
  <si>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</si>
  <si>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</si>
  <si>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</si>
  <si>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</si>
  <si>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</si>
  <si>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</si>
  <si>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</si>
  <si>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</si>
  <si>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</si>
  <si>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</si>
  <si>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</si>
  <si>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</si>
  <si>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</si>
  <si>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</si>
  <si>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</si>
  <si>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</si>
  <si>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</si>
  <si>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</si>
  <si>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</si>
  <si>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</si>
  <si>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</si>
  <si>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</si>
  <si>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</si>
  <si>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</si>
  <si>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</si>
  <si>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</si>
  <si>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</si>
  <si>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</si>
  <si>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</si>
  <si>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</si>
  <si>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</si>
  <si>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</si>
  <si>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</si>
  <si>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</si>
  <si>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</si>
  <si>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</si>
  <si>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</si>
  <si>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</si>
  <si>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</si>
  <si>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</si>
  <si>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</si>
  <si>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</si>
  <si>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</si>
  <si>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</si>
  <si>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</si>
  <si>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</si>
  <si>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</si>
  <si>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</si>
  <si>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</si>
  <si>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</si>
  <si>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</si>
  <si>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</si>
  <si>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</si>
  <si>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</si>
  <si>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</si>
  <si>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</si>
  <si>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</si>
  <si>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</si>
  <si>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</si>
  <si>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</si>
  <si>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</si>
  <si>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</si>
  <si>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</si>
  <si>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</si>
  <si>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</si>
  <si>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</si>
  <si>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</si>
  <si>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</si>
  <si>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</si>
  <si>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</si>
  <si>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</si>
  <si>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</si>
  <si>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</si>
  <si>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</si>
  <si>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</si>
  <si>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</si>
  <si>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</si>
  <si>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</si>
  <si>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</si>
  <si>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</si>
  <si>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</si>
  <si>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</si>
  <si>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</si>
  <si>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</si>
  <si>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</si>
  <si>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</si>
  <si>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</si>
  <si>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</si>
  <si>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</si>
  <si>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</si>
  <si>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</si>
  <si>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</si>
  <si>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</si>
  <si>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</si>
  <si>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</si>
  <si>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</si>
  <si>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</si>
  <si>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</si>
  <si>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</si>
  <si>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</si>
  <si>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</si>
  <si>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</si>
  <si>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</si>
  <si>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</si>
  <si>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</si>
  <si>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</si>
  <si>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</si>
  <si>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</si>
  <si>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</si>
  <si>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</si>
  <si>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</si>
  <si>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</si>
  <si>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</si>
  <si>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</si>
  <si>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</si>
  <si>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</si>
  <si>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</si>
  <si>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</si>
  <si>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</si>
  <si>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</si>
  <si>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</si>
  <si>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</si>
  <si>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</si>
  <si>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</si>
  <si>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</si>
  <si>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</si>
  <si>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</si>
  <si>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</si>
  <si>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</si>
  <si>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</si>
  <si>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</si>
  <si>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</si>
  <si>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</si>
  <si>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</si>
  <si>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</si>
  <si>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</si>
  <si>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</si>
  <si>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</si>
  <si>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</si>
  <si>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</si>
  <si>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</si>
  <si>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</si>
  <si>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</si>
  <si>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</si>
  <si>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</si>
  <si>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</si>
  <si>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</si>
  <si>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</si>
  <si>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</si>
  <si>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</si>
  <si>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</si>
  <si>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</si>
  <si>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</si>
  <si>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</si>
  <si>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</si>
  <si>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</si>
  <si>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</si>
  <si>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</si>
  <si>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</si>
  <si>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</si>
  <si>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</si>
  <si>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</si>
  <si>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</si>
  <si>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</si>
  <si>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</si>
  <si>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</si>
  <si>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</si>
  <si>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</si>
  <si>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</si>
  <si>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</si>
  <si>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</si>
  <si>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</si>
  <si>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</si>
  <si>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</si>
  <si>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</si>
  <si>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</si>
  <si>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</si>
  <si>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</si>
  <si>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</si>
  <si>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</si>
  <si>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</si>
  <si>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</si>
  <si>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</si>
  <si>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</si>
  <si>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</si>
  <si>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</si>
  <si>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</si>
  <si>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</si>
  <si>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</si>
  <si>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</si>
  <si>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</si>
  <si>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</si>
  <si>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</si>
  <si>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</si>
  <si>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</si>
  <si>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</si>
  <si>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</si>
  <si>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</si>
  <si>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</si>
  <si>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</si>
  <si>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</si>
  <si>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</si>
  <si>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</si>
  <si>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</si>
  <si>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</si>
  <si>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</si>
  <si>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</si>
  <si>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</si>
  <si>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</si>
  <si>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</si>
  <si>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</si>
  <si>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</si>
  <si>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</si>
  <si>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</si>
  <si>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</si>
  <si>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</si>
  <si>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</si>
  <si>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</si>
  <si>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</si>
  <si>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</si>
  <si>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</si>
  <si>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</si>
  <si>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</si>
  <si>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</si>
  <si>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</si>
  <si>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</si>
  <si>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</si>
  <si>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</si>
  <si>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</si>
  <si>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</si>
  <si>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</si>
  <si>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</si>
  <si>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</si>
  <si>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</si>
  <si>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</si>
  <si>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</si>
  <si>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</si>
  <si>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</si>
  <si>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</si>
  <si>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</si>
  <si>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</si>
  <si>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</si>
  <si>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</si>
  <si>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</si>
  <si>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</si>
  <si>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</si>
  <si>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</si>
  <si>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</si>
  <si>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</si>
  <si>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</si>
  <si>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</si>
  <si>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</si>
  <si>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</si>
  <si>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</si>
  <si>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</si>
  <si>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</si>
  <si>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</si>
  <si>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</si>
  <si>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</si>
  <si>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</si>
  <si>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</si>
  <si>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</si>
  <si>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</si>
  <si>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</si>
  <si>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</si>
  <si>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</si>
  <si>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</si>
  <si>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</si>
  <si>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</si>
  <si>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</si>
  <si>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</si>
  <si>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</si>
  <si>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</si>
  <si>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</si>
  <si>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</si>
  <si>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</si>
  <si>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</si>
  <si>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</si>
  <si>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</si>
  <si>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</si>
  <si>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</si>
  <si>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</si>
  <si>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</si>
  <si>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</si>
  <si>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</si>
  <si>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</si>
  <si>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</si>
  <si>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</si>
  <si>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</si>
  <si>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</si>
  <si>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</si>
  <si>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</si>
  <si>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</si>
  <si>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</si>
  <si>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</si>
  <si>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</si>
  <si>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</si>
  <si>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</si>
  <si>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</si>
  <si>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</si>
  <si>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</si>
  <si>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</si>
  <si>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</si>
  <si>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</si>
  <si>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</si>
  <si>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</si>
  <si>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</si>
  <si>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</si>
  <si>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</si>
  <si>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</si>
  <si>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</si>
  <si>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</si>
  <si>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</si>
  <si>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</si>
  <si>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</si>
  <si>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</si>
  <si>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</si>
  <si>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</si>
  <si>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</si>
  <si>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</si>
  <si>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</si>
  <si>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</si>
  <si>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</si>
  <si>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</si>
  <si>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</si>
  <si>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</si>
  <si>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</si>
  <si>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</si>
  <si>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</si>
  <si>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</si>
  <si>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</si>
  <si>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</si>
  <si>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</si>
  <si>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</si>
  <si>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</si>
  <si>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</si>
  <si>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</si>
  <si>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</si>
  <si>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</si>
  <si>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</si>
  <si>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</si>
  <si>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</si>
  <si>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</si>
  <si>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</si>
  <si>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</si>
  <si>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</si>
  <si>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</si>
  <si>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</si>
  <si>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</si>
  <si>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</si>
  <si>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</si>
  <si>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</si>
  <si>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</si>
  <si>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</si>
  <si>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</si>
  <si>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</si>
  <si>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</si>
  <si>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</si>
  <si>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</si>
  <si>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</si>
  <si>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</si>
  <si>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</si>
  <si>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</si>
  <si>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</si>
  <si>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</si>
  <si>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</si>
  <si>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</si>
  <si>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</si>
  <si>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</si>
  <si>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</si>
  <si>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</si>
  <si>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</si>
  <si>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</si>
  <si>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</si>
  <si>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</si>
  <si>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</si>
  <si>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</si>
  <si>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</si>
  <si>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</si>
  <si>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</si>
  <si>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</si>
  <si>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</si>
  <si>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</si>
  <si>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</si>
  <si>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</si>
  <si>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</si>
  <si>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</si>
  <si>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</si>
  <si>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</si>
  <si>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</si>
  <si>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</si>
  <si>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</si>
  <si>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</si>
  <si>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</si>
  <si>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</si>
  <si>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</si>
  <si>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</si>
  <si>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</si>
  <si>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</si>
  <si>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</si>
  <si>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</si>
  <si>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</si>
  <si>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</si>
  <si>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</si>
  <si>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</si>
  <si>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</si>
  <si>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</si>
  <si>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</si>
  <si>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</si>
  <si>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</si>
  <si>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</si>
  <si>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</si>
  <si>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</si>
  <si>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</si>
  <si>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</si>
  <si>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</si>
  <si>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</si>
  <si>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</si>
  <si>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</si>
  <si>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</si>
  <si>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</si>
  <si>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</si>
  <si>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</si>
  <si>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</si>
  <si>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</si>
  <si>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</si>
  <si>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</si>
  <si>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</si>
  <si>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</si>
  <si>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</si>
  <si>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</si>
  <si>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</si>
  <si>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</si>
  <si>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</si>
  <si>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</si>
  <si>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</si>
  <si>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</si>
  <si>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</si>
  <si>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</si>
  <si>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</si>
  <si>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</si>
  <si>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</si>
  <si>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</si>
  <si>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</si>
  <si>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</si>
  <si>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</si>
  <si>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</si>
  <si>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</si>
  <si>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</si>
  <si>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</si>
  <si>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</si>
  <si>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</si>
  <si>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</si>
  <si>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</si>
  <si>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</si>
  <si>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</si>
  <si>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</si>
  <si>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</si>
  <si>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</si>
  <si>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</si>
  <si>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</si>
  <si>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</si>
  <si>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</si>
  <si>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</si>
  <si>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</si>
  <si>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</si>
  <si>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</si>
  <si>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</si>
  <si>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</si>
  <si>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</si>
  <si>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</si>
  <si>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</si>
  <si>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</si>
  <si>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</si>
  <si>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</si>
  <si>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</si>
  <si>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</si>
  <si>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</si>
  <si>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</si>
  <si>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</si>
  <si>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</si>
  <si>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</si>
  <si>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</si>
  <si>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</si>
  <si>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</si>
  <si>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</si>
  <si>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</si>
  <si>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</si>
  <si>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</si>
  <si>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</si>
  <si>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</si>
  <si>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</si>
  <si>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</si>
  <si>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</si>
  <si>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</si>
  <si>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</si>
  <si>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</si>
  <si>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</si>
  <si>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</si>
  <si>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</si>
  <si>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</si>
  <si>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</si>
  <si>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</si>
  <si>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</si>
  <si>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</si>
  <si>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</si>
  <si>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</si>
  <si>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</si>
  <si>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</si>
  <si>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</si>
  <si>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</si>
  <si>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</si>
  <si>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</si>
  <si>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</si>
  <si>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</si>
  <si>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</si>
  <si>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</si>
  <si>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</si>
  <si>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</si>
  <si>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</si>
  <si>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</si>
  <si>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</si>
  <si>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</si>
  <si>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</si>
  <si>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</si>
  <si>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</si>
  <si>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</si>
  <si>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</si>
  <si>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</si>
  <si>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</si>
  <si>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</si>
  <si>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</si>
  <si>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</si>
  <si>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</si>
  <si>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</si>
  <si>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</si>
  <si>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</si>
  <si>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</si>
  <si>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</si>
  <si>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</si>
  <si>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</si>
  <si>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</si>
  <si>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</si>
  <si>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</si>
  <si>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</si>
  <si>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</si>
  <si>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</si>
  <si>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</si>
  <si>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</si>
  <si>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</si>
  <si>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</si>
  <si>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</si>
  <si>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</si>
  <si>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</si>
  <si>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</si>
  <si>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</si>
  <si>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</si>
  <si>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</si>
  <si>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</si>
  <si>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</si>
  <si>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</si>
  <si>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</si>
  <si>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</si>
  <si>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</si>
  <si>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</si>
  <si>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</si>
  <si>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</si>
  <si>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</si>
  <si>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</si>
  <si>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</si>
  <si>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</si>
  <si>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</si>
  <si>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</si>
  <si>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</si>
  <si>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</si>
  <si>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</si>
  <si>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</si>
  <si>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</si>
  <si>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</si>
  <si>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</si>
  <si>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</si>
  <si>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</si>
  <si>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</si>
  <si>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</si>
  <si>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</si>
  <si>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</si>
  <si>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</si>
  <si>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</si>
  <si>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</si>
  <si>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</si>
  <si>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</si>
  <si>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</si>
  <si>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</si>
  <si>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</si>
  <si>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</si>
  <si>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</si>
  <si>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</si>
  <si>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</si>
  <si>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</si>
  <si>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</si>
  <si>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</si>
  <si>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</si>
  <si>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</si>
  <si>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</si>
  <si>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</si>
  <si>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</si>
  <si>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</si>
  <si>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</si>
  <si>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</si>
  <si>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</si>
  <si>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</si>
  <si>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</si>
  <si>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</si>
  <si>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</si>
  <si>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</si>
  <si>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</si>
  <si>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</si>
  <si>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</si>
  <si>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</si>
  <si>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</si>
  <si>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</si>
  <si>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</si>
  <si>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</si>
  <si>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</si>
  <si>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</si>
  <si>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</si>
  <si>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</si>
  <si>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</si>
  <si>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</si>
  <si>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</si>
  <si>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</si>
  <si>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</si>
  <si>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</si>
  <si>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</si>
  <si>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</si>
  <si>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</si>
  <si>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</si>
  <si>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</si>
  <si>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</si>
  <si>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</si>
  <si>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</si>
  <si>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</si>
  <si>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</si>
  <si>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</si>
  <si>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</si>
  <si>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</si>
  <si>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</si>
  <si>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</si>
  <si>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</si>
  <si>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</si>
  <si>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</si>
  <si>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</si>
  <si>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</si>
  <si>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</si>
  <si>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</si>
  <si>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</si>
  <si>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</si>
  <si>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</si>
  <si>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</si>
  <si>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</si>
  <si>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</si>
  <si>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</si>
  <si>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</si>
  <si>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</si>
  <si>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</si>
  <si>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</si>
  <si>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</si>
  <si>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</si>
  <si>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</si>
  <si>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</si>
  <si>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</si>
  <si>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</si>
  <si>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</si>
  <si>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</si>
  <si>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</si>
  <si>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</si>
  <si>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</si>
  <si>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</si>
  <si>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</si>
  <si>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</si>
  <si>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</si>
  <si>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</si>
  <si>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</si>
  <si>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</si>
  <si>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</si>
  <si>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</si>
  <si>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</si>
  <si>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</si>
  <si>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</si>
  <si>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</si>
  <si>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</si>
  <si>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</si>
  <si>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</si>
  <si>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</si>
  <si>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</si>
  <si>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</si>
  <si>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</si>
  <si>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</si>
  <si>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</si>
  <si>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</si>
  <si>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</si>
  <si>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</si>
  <si>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</si>
  <si>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</si>
  <si>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</si>
  <si>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</si>
  <si>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</si>
  <si>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</si>
  <si>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</si>
  <si>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</si>
  <si>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</si>
  <si>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</si>
  <si>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</si>
  <si>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</si>
  <si>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</si>
  <si>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</si>
  <si>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</si>
  <si>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</si>
  <si>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</si>
  <si>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</si>
  <si>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</si>
  <si>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</si>
  <si>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</si>
  <si>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</si>
  <si>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</si>
  <si>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</si>
  <si>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</si>
  <si>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</si>
  <si>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</si>
  <si>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</si>
  <si>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</si>
  <si>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</si>
  <si>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</si>
  <si>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</si>
  <si>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</si>
  <si>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</si>
  <si>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</si>
  <si>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</si>
  <si>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</si>
  <si>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</si>
  <si>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</si>
  <si>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</si>
  <si>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</si>
  <si>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</si>
  <si>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</si>
  <si>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</si>
  <si>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</si>
  <si>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</si>
  <si>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</si>
  <si>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</si>
  <si>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</si>
  <si>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</si>
  <si>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</si>
  <si>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</si>
  <si>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</si>
  <si>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</si>
  <si>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</si>
  <si>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</si>
  <si>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</si>
  <si>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</si>
  <si>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</si>
  <si>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</si>
  <si>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</si>
  <si>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</si>
  <si>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</si>
  <si>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</si>
  <si>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</si>
  <si>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</si>
  <si>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</si>
  <si>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</si>
  <si>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</si>
  <si>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</si>
  <si>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</si>
  <si>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</si>
  <si>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</si>
  <si>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</si>
  <si>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</si>
  <si>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</si>
  <si>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</si>
  <si>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</si>
  <si>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</si>
  <si>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</si>
  <si>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</si>
  <si>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</si>
  <si>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</si>
  <si>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</si>
  <si>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</si>
  <si>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</si>
  <si>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</si>
  <si>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</si>
  <si>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</si>
  <si>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</si>
  <si>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</si>
  <si>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</si>
  <si>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</si>
  <si>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</si>
  <si>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</si>
  <si>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</si>
  <si>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</si>
  <si>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</si>
  <si>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</si>
  <si>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</si>
  <si>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</si>
  <si>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</si>
  <si>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</si>
  <si>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</si>
  <si>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</si>
  <si>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</si>
  <si>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</si>
  <si>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</si>
  <si>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</si>
  <si>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</si>
  <si>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</si>
  <si>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</si>
  <si>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</si>
  <si>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</si>
  <si>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</si>
  <si>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</si>
  <si>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</si>
  <si>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</si>
  <si>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</si>
  <si>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</si>
  <si>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</si>
  <si>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</si>
  <si>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</si>
  <si>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</si>
  <si>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</si>
  <si>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</si>
  <si>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</si>
  <si>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</si>
  <si>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</si>
  <si>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</si>
  <si>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</si>
  <si>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</si>
  <si>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</si>
  <si>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</si>
  <si>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</si>
  <si>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</si>
  <si>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</si>
  <si>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</si>
  <si>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</si>
  <si>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</si>
  <si>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</si>
  <si>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</si>
  <si>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</si>
  <si>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</si>
  <si>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</si>
  <si>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</si>
  <si>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</si>
  <si>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</si>
  <si>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</si>
  <si>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</si>
  <si>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</si>
  <si>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</si>
  <si>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</si>
  <si>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</si>
  <si>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</si>
  <si>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</si>
  <si>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</si>
  <si>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</si>
  <si>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</si>
  <si>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</si>
  <si>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</si>
  <si>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</si>
  <si>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</si>
  <si>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</si>
  <si>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</si>
  <si>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</si>
  <si>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</si>
  <si>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</si>
  <si>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</si>
  <si>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</si>
  <si>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</si>
  <si>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</si>
  <si>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</si>
  <si>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</si>
  <si>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</si>
  <si>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</si>
  <si>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</si>
  <si>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</si>
  <si>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</si>
  <si>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</si>
  <si>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</si>
  <si>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</si>
  <si>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</si>
  <si>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</si>
  <si>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</si>
  <si>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</si>
  <si>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</si>
  <si>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</si>
  <si>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</si>
  <si>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</si>
  <si>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</si>
  <si>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</si>
  <si>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</si>
  <si>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</si>
  <si>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</si>
  <si>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</si>
  <si>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</si>
  <si>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</si>
  <si>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</si>
  <si>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</si>
  <si>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</si>
  <si>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</si>
  <si>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</si>
  <si>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</si>
  <si>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</si>
  <si>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</si>
  <si>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</si>
  <si>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</si>
  <si>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</si>
  <si>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</si>
  <si>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</si>
  <si>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</si>
  <si>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</si>
  <si>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</si>
  <si>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</si>
  <si>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</si>
  <si>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</si>
  <si>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</si>
  <si>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</si>
  <si>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</si>
  <si>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</si>
  <si>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</si>
  <si>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</si>
  <si>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</si>
  <si>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</si>
  <si>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</si>
  <si>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</si>
  <si>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</si>
  <si>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</si>
  <si>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</si>
  <si>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</si>
  <si>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</si>
  <si>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</si>
  <si>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</si>
  <si>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</si>
  <si>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</si>
  <si>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</si>
  <si>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</si>
  <si>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</si>
  <si>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</si>
  <si>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</si>
  <si>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</si>
  <si>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</si>
  <si>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</si>
  <si>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</si>
  <si>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</si>
  <si>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</si>
  <si>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</si>
  <si>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</si>
  <si>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</si>
  <si>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</si>
  <si>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</si>
  <si>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</si>
  <si>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</si>
  <si>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</si>
  <si>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</si>
  <si>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</si>
  <si>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</si>
  <si>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</si>
  <si>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</si>
  <si>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</si>
  <si>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</si>
  <si>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</si>
  <si>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</si>
  <si>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</si>
  <si>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</si>
  <si>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</si>
  <si>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</si>
  <si>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</si>
  <si>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</si>
  <si>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</si>
  <si>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</si>
  <si>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</si>
  <si>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</si>
  <si>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</si>
  <si>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</si>
  <si>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</si>
  <si>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</si>
  <si>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</si>
  <si>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</si>
  <si>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</si>
  <si>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</si>
  <si>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</si>
  <si>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</si>
  <si>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</si>
  <si>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</si>
  <si>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</si>
  <si>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</si>
  <si>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</si>
  <si>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</si>
  <si>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</si>
  <si>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</si>
  <si>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</si>
  <si>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</si>
  <si>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</si>
  <si>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</si>
  <si>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</si>
  <si>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</si>
  <si>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</si>
  <si>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</si>
  <si>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</si>
  <si>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</si>
  <si>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</si>
  <si>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</si>
  <si>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</si>
  <si>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</si>
  <si>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</si>
  <si>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</si>
  <si>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</si>
  <si>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</si>
  <si>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</si>
  <si>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</si>
  <si>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</si>
  <si>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</si>
  <si>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</si>
  <si>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</si>
  <si>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</si>
  <si>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</si>
  <si>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</si>
  <si>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</si>
  <si>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</si>
  <si>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</si>
  <si>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</si>
  <si>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</si>
  <si>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</si>
  <si>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</si>
  <si>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</si>
  <si>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</si>
  <si>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</si>
  <si>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</si>
  <si>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</si>
  <si>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</si>
  <si>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</si>
  <si>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</si>
  <si>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</si>
  <si>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</si>
  <si>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</si>
  <si>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</si>
  <si>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</si>
  <si>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</si>
  <si>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</si>
  <si>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</si>
  <si>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</si>
  <si>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</si>
  <si>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</si>
  <si>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</si>
  <si>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</si>
  <si>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</si>
  <si>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</si>
  <si>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</si>
  <si>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</si>
  <si>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</si>
  <si>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</si>
  <si>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</si>
  <si>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</si>
  <si>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</si>
  <si>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</si>
  <si>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</si>
  <si>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</si>
  <si>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</si>
  <si>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</si>
  <si>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</si>
  <si>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</si>
  <si>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</si>
  <si>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</si>
  <si>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</si>
  <si>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</si>
  <si>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</si>
  <si>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</si>
  <si>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</si>
  <si>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</si>
  <si>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</si>
  <si>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</si>
  <si>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</si>
  <si>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</si>
  <si>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</si>
  <si>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</si>
  <si>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</si>
  <si>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</si>
  <si>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</si>
  <si>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</si>
  <si>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</si>
  <si>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</si>
  <si>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</si>
  <si>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</si>
  <si>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</si>
  <si>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</si>
  <si>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</si>
  <si>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</si>
  <si>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</si>
  <si>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</si>
  <si>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</si>
  <si>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</si>
  <si>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</si>
  <si>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</si>
  <si>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</si>
  <si>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</si>
  <si>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</si>
  <si>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</si>
  <si>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</si>
  <si>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</si>
  <si>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</si>
  <si>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</si>
  <si>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</si>
  <si>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</si>
  <si>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</si>
  <si>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</si>
  <si>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</si>
  <si>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</si>
  <si>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</si>
  <si>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</si>
  <si>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</si>
  <si>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</si>
  <si>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</si>
  <si>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</si>
  <si>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</si>
  <si>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</si>
  <si>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</si>
  <si>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</si>
  <si>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</si>
  <si>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</si>
  <si>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</si>
  <si>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</si>
  <si>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</si>
  <si>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</si>
  <si>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</si>
  <si>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</si>
  <si>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</si>
  <si>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</si>
  <si>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</si>
  <si>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</si>
  <si>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</si>
  <si>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</si>
  <si>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</si>
  <si>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</si>
  <si>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</si>
  <si>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</si>
  <si>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</si>
  <si>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</si>
  <si>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</si>
  <si>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</si>
  <si>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</si>
  <si>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</si>
  <si>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</si>
  <si>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</si>
  <si>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</si>
  <si>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</si>
  <si>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</si>
  <si>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</si>
  <si>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</si>
  <si>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</si>
  <si>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</si>
  <si>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</si>
  <si>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</si>
  <si>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</si>
  <si>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</si>
  <si>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</si>
  <si>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</si>
  <si>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</si>
  <si>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</si>
  <si>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</si>
  <si>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</si>
  <si>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</si>
  <si>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</si>
  <si>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</si>
  <si>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</si>
  <si>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</si>
  <si>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</si>
  <si>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</si>
  <si>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</si>
  <si>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</si>
  <si>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</si>
  <si>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</si>
  <si>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</si>
  <si>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</si>
  <si>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</si>
  <si>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</si>
  <si>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</si>
  <si>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</si>
  <si>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</si>
  <si>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</si>
  <si>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</si>
  <si>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</si>
  <si>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</si>
  <si>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</si>
  <si>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</si>
  <si>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</si>
  <si>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</si>
  <si>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</si>
  <si>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</si>
  <si>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</si>
  <si>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</si>
  <si>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</si>
  <si>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</si>
  <si>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</si>
  <si>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</si>
  <si>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</si>
  <si>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</si>
  <si>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</si>
  <si>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</si>
  <si>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</si>
  <si>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</si>
  <si>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</si>
  <si>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</si>
  <si>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</si>
  <si>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</si>
  <si>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</si>
  <si>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</si>
  <si>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</si>
  <si>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</si>
  <si>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</si>
  <si>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</si>
  <si>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</si>
  <si>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</si>
  <si>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</si>
  <si>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</si>
  <si>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</si>
  <si>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</si>
  <si>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</si>
  <si>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</si>
  <si>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</si>
  <si>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</si>
  <si>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</si>
  <si>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</si>
  <si>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</si>
  <si>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</si>
  <si>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</si>
  <si>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</si>
  <si>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</si>
  <si>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</si>
  <si>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</si>
  <si>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</si>
  <si>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</si>
  <si>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</si>
  <si>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</si>
  <si>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</si>
  <si>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</si>
  <si>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</si>
  <si>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</si>
  <si>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</si>
  <si>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</si>
  <si>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</si>
  <si>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</si>
  <si>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</si>
  <si>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</si>
  <si>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</si>
  <si>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</si>
  <si>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</si>
  <si>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</si>
  <si>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</si>
  <si>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</si>
  <si>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</si>
  <si>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</si>
  <si>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</si>
  <si>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</si>
  <si>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</si>
  <si>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</si>
  <si>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</si>
  <si>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</si>
  <si>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</si>
  <si>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</si>
  <si>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</si>
  <si>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</si>
  <si>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</si>
  <si>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</si>
  <si>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</si>
  <si>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</si>
  <si>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</si>
  <si>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</si>
  <si>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</si>
  <si>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</si>
  <si>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</si>
  <si>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</si>
  <si>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</si>
  <si>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</si>
  <si>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</si>
  <si>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</si>
  <si>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</si>
  <si>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</si>
  <si>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</si>
  <si>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</si>
  <si>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</si>
  <si>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</si>
  <si>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</si>
  <si>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</si>
  <si>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</si>
  <si>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</si>
  <si>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</si>
  <si>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</si>
  <si>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</si>
  <si>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</si>
  <si>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</si>
  <si>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</si>
  <si>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</si>
  <si>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</si>
  <si>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</si>
  <si>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</si>
  <si>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</si>
  <si>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</si>
  <si>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</si>
  <si>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</si>
  <si>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</si>
  <si>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</si>
  <si>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</si>
  <si>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</si>
  <si>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</si>
  <si>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</si>
  <si>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</si>
  <si>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</si>
  <si>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</si>
  <si>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</si>
  <si>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</si>
  <si>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</si>
  <si>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</si>
  <si>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</si>
  <si>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</si>
  <si>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</si>
  <si>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</si>
  <si>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</si>
  <si>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</si>
  <si>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</si>
  <si>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</si>
  <si>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</si>
  <si>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</si>
  <si>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</si>
  <si>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</si>
  <si>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</si>
  <si>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</si>
  <si>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</si>
  <si>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</si>
  <si>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</si>
  <si>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</si>
  <si>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</si>
  <si>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</si>
  <si>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</si>
  <si>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</si>
  <si>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</si>
  <si>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</si>
  <si>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</si>
  <si>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</si>
  <si>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</si>
  <si>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</si>
  <si>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</si>
  <si>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</si>
  <si>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</si>
  <si>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</si>
  <si>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</si>
  <si>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</si>
  <si>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</si>
  <si>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</si>
  <si>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</si>
  <si>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</si>
  <si>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</si>
  <si>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</si>
  <si>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</si>
  <si>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</si>
  <si>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</si>
  <si>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</si>
  <si>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</si>
  <si>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</si>
  <si>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</si>
  <si>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</si>
  <si>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</si>
  <si>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</si>
  <si>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</si>
  <si>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</si>
  <si>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</si>
  <si>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</si>
  <si>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</si>
  <si>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</si>
  <si>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</si>
  <si>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</si>
  <si>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</si>
  <si>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</si>
  <si>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</si>
  <si>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</si>
  <si>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</si>
  <si>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</si>
  <si>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</si>
  <si>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</si>
  <si>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</si>
  <si>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</si>
  <si>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</si>
  <si>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</si>
  <si>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</si>
  <si>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</si>
  <si>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</si>
  <si>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</si>
  <si>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</si>
  <si>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</si>
  <si>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</si>
  <si>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</si>
  <si>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</si>
  <si>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</si>
  <si>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</si>
  <si>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</si>
  <si>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</si>
  <si>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</si>
  <si>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</si>
  <si>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</si>
  <si>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</si>
  <si>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</si>
  <si>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</si>
  <si>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</si>
  <si>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</si>
  <si>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</si>
  <si>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</si>
  <si>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</si>
  <si>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</si>
  <si>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</si>
  <si>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</si>
  <si>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</si>
  <si>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</si>
  <si>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</si>
  <si>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</si>
  <si>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</si>
  <si>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</si>
  <si>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</si>
  <si>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</si>
  <si>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</si>
  <si>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</si>
  <si>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</si>
  <si>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</si>
  <si>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</si>
  <si>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</si>
  <si>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</si>
  <si>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</si>
  <si>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</si>
  <si>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</si>
  <si>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</si>
  <si>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</si>
  <si>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</si>
  <si>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</si>
  <si>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</si>
  <si>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</si>
  <si>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</si>
  <si>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</si>
  <si>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</si>
  <si>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</si>
  <si>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</si>
  <si>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</si>
  <si>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</si>
  <si>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</si>
  <si>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</si>
  <si>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</si>
  <si>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</si>
  <si>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</si>
  <si>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</si>
  <si>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</si>
  <si>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</si>
  <si>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</si>
  <si>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</si>
  <si>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</si>
  <si>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</si>
  <si>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</si>
  <si>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</si>
  <si>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</si>
  <si>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</si>
  <si>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</si>
  <si>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</si>
  <si>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</si>
  <si>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</si>
  <si>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</si>
  <si>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</si>
  <si>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</si>
  <si>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</si>
  <si>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</si>
  <si>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</si>
  <si>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</si>
  <si>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</si>
  <si>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</si>
  <si>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</si>
  <si>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</si>
  <si>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</si>
  <si>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</si>
  <si>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</si>
  <si>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</si>
  <si>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</si>
  <si>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</si>
  <si>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</si>
  <si>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</si>
  <si>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</si>
  <si>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</si>
  <si>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</si>
  <si>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</si>
  <si>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</si>
  <si>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</si>
  <si>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</si>
  <si>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</si>
  <si>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</si>
  <si>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</si>
  <si>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</si>
  <si>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</si>
  <si>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</si>
  <si>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</si>
  <si>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</si>
  <si>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</si>
  <si>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</si>
  <si>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</si>
  <si>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</si>
  <si>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</si>
  <si>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</si>
  <si>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</si>
  <si>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</si>
  <si>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</si>
  <si>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</si>
  <si>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</si>
  <si>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</si>
  <si>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</si>
  <si>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</si>
  <si>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</si>
  <si>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</si>
  <si>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</si>
  <si>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</si>
  <si>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</si>
  <si>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</si>
  <si>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</si>
  <si>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</si>
  <si>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</si>
  <si>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</si>
  <si>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</si>
  <si>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</si>
  <si>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</si>
  <si>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</si>
  <si>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</si>
  <si>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</si>
  <si>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</si>
  <si>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</si>
  <si>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</si>
  <si>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</si>
  <si>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</si>
  <si>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</si>
  <si>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</si>
  <si>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</si>
  <si>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</si>
  <si>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</si>
  <si>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</si>
  <si>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</si>
  <si>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</si>
  <si>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</si>
  <si>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</si>
  <si>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</si>
  <si>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</si>
  <si>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</si>
  <si>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</si>
  <si>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</si>
  <si>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</si>
  <si>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</si>
  <si>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</si>
  <si>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</si>
  <si>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</si>
  <si>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</si>
  <si>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</si>
  <si>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</si>
  <si>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</si>
  <si>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</si>
  <si>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</si>
  <si>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</si>
  <si>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</si>
  <si>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</si>
  <si>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</si>
  <si>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</si>
  <si>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</si>
  <si>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</si>
  <si>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</si>
  <si>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</si>
  <si>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</si>
  <si>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</si>
  <si>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</si>
  <si>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</si>
  <si>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</si>
  <si>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</si>
  <si>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</si>
  <si>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</si>
  <si>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</si>
  <si>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</si>
  <si>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</si>
  <si>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</si>
  <si>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</si>
  <si>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</si>
  <si>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</si>
  <si>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</si>
  <si>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</si>
  <si>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</si>
  <si>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</si>
  <si>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</si>
  <si>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</si>
  <si>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</si>
  <si>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</si>
  <si>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</si>
  <si>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</si>
  <si>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</si>
  <si>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</si>
  <si>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</si>
  <si>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</si>
  <si>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</si>
  <si>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</si>
  <si>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</si>
  <si>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</si>
  <si>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</si>
  <si>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</si>
  <si>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</si>
  <si>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</si>
  <si>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</si>
  <si>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</si>
  <si>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</si>
  <si>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</si>
  <si>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</si>
  <si>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</si>
  <si>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</si>
  <si>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</si>
  <si>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</si>
  <si>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</si>
  <si>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</si>
  <si>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</si>
  <si>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</si>
  <si>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</si>
  <si>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</si>
  <si>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</si>
  <si>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</si>
  <si>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</si>
  <si>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</si>
  <si>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</si>
  <si>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</si>
  <si>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</si>
  <si>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</si>
  <si>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</si>
  <si>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</si>
  <si>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</si>
  <si>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</si>
  <si>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</si>
  <si>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</si>
  <si>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</si>
  <si>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</si>
  <si>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</si>
  <si>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</si>
  <si>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</si>
  <si>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</si>
  <si>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</si>
  <si>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</si>
  <si>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</si>
  <si>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</si>
  <si>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</si>
  <si>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</si>
  <si>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</si>
  <si>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</si>
  <si>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</si>
  <si>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</si>
  <si>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</si>
  <si>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</si>
  <si>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</si>
  <si>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</si>
  <si>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</si>
  <si>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</si>
  <si>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</si>
  <si>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</si>
  <si>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</si>
  <si>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</si>
  <si>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</si>
  <si>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</si>
  <si>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</si>
  <si>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</si>
  <si>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</si>
  <si>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</si>
  <si>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</si>
  <si>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</si>
  <si>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</si>
  <si>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</si>
  <si>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</si>
  <si>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</si>
  <si>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</si>
  <si>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</si>
  <si>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</si>
  <si>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</si>
  <si>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</si>
  <si>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</si>
  <si>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</si>
  <si>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</si>
  <si>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</si>
  <si>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</si>
  <si>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</si>
  <si>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</si>
  <si>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</si>
  <si>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</si>
  <si>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</si>
  <si>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</si>
  <si>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</si>
  <si>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</si>
  <si>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</si>
  <si>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</si>
  <si>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</si>
  <si>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</si>
  <si>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</si>
  <si>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</si>
  <si>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</si>
  <si>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</si>
  <si>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</si>
  <si>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</si>
  <si>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</si>
  <si>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</si>
  <si>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</si>
  <si>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</si>
  <si>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</si>
  <si>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</si>
  <si>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</si>
  <si>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</si>
  <si>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</si>
  <si>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</si>
  <si>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</si>
  <si>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</si>
  <si>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</si>
  <si>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</si>
  <si>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</si>
  <si>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</si>
  <si>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</si>
  <si>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</si>
  <si>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</si>
  <si>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</si>
  <si>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</si>
  <si>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</si>
  <si>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</si>
  <si>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</si>
  <si>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</si>
  <si>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</si>
  <si>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</si>
  <si>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</si>
  <si>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</si>
  <si>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</si>
  <si>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</si>
  <si>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</si>
  <si>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</si>
  <si>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</si>
  <si>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</si>
  <si>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</si>
  <si>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</si>
  <si>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</si>
  <si>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</si>
  <si>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</si>
  <si>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</si>
  <si>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</si>
  <si>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</si>
  <si>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</si>
  <si>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</si>
  <si>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</si>
  <si>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</si>
  <si>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</si>
  <si>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</si>
  <si>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</si>
  <si>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</si>
  <si>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</si>
  <si>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</si>
  <si>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</si>
  <si>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</si>
  <si>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</si>
  <si>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</si>
  <si>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</si>
  <si>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</si>
  <si>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</si>
  <si>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</si>
  <si>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</si>
  <si>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</si>
  <si>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</si>
  <si>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</si>
  <si>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</si>
  <si>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</si>
  <si>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</si>
  <si>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</si>
  <si>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</si>
  <si>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</si>
  <si>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</si>
  <si>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</si>
  <si>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</si>
  <si>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</si>
  <si>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</si>
  <si>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</si>
  <si>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</si>
  <si>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</si>
  <si>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</si>
  <si>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</si>
  <si>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</si>
  <si>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</si>
  <si>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</si>
  <si>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</si>
  <si>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</si>
  <si>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</si>
  <si>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</si>
  <si>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</si>
  <si>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</si>
  <si>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</si>
  <si>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</si>
  <si>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</si>
  <si>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</si>
  <si>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</si>
  <si>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</si>
  <si>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</si>
  <si>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</si>
  <si>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</si>
  <si>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</si>
  <si>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</si>
  <si>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</si>
  <si>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</si>
  <si>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</si>
  <si>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</si>
  <si>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</si>
  <si>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</si>
  <si>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</si>
  <si>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</si>
  <si>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</si>
  <si>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</si>
  <si>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</si>
  <si>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</si>
  <si>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</si>
  <si>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</si>
  <si>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</si>
  <si>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</si>
  <si>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</si>
  <si>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</si>
  <si>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</si>
  <si>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</si>
  <si>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</si>
  <si>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</si>
  <si>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</si>
  <si>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</si>
  <si>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</si>
  <si>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</si>
  <si>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</si>
  <si>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</si>
  <si>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</si>
  <si>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</si>
  <si>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</si>
  <si>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</si>
  <si>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</si>
  <si>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</si>
  <si>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</si>
  <si>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</si>
  <si>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</si>
  <si>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</si>
  <si>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</si>
  <si>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</si>
  <si>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</si>
  <si>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</si>
  <si>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</si>
  <si>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</si>
  <si>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</si>
  <si>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</si>
  <si>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</si>
  <si>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</si>
  <si>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</si>
  <si>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</si>
  <si>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</si>
  <si>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</si>
  <si>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</si>
  <si>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</si>
  <si>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</si>
  <si>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</si>
  <si>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</si>
  <si>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</si>
  <si>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</si>
  <si>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</si>
  <si>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</si>
  <si>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</si>
  <si>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</si>
  <si>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</si>
  <si>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</si>
  <si>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</si>
  <si>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</si>
  <si>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</si>
  <si>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</si>
  <si>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</si>
  <si>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</si>
  <si>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</si>
  <si>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</si>
  <si>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</si>
  <si>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</si>
  <si>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</si>
  <si>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</si>
  <si>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</si>
  <si>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</si>
  <si>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</si>
  <si>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</si>
  <si>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</si>
  <si>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</si>
  <si>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</si>
  <si>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</si>
  <si>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</si>
  <si>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</si>
  <si>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</si>
  <si>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</si>
  <si>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</si>
  <si>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</si>
  <si>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</si>
  <si>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</si>
  <si>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</si>
  <si>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</si>
  <si>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</si>
  <si>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</si>
  <si>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</si>
  <si>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</si>
  <si>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</si>
  <si>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</si>
  <si>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</si>
  <si>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</si>
  <si>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</si>
  <si>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</si>
  <si>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</si>
  <si>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</si>
  <si>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</si>
  <si>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</si>
  <si>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</si>
  <si>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</si>
  <si>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</si>
  <si>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</si>
  <si>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</si>
  <si>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</si>
  <si>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</si>
  <si>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</si>
  <si>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</si>
  <si>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</si>
  <si>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</si>
  <si>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</si>
  <si>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</si>
  <si>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</si>
  <si>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</si>
  <si>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</si>
  <si>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</si>
  <si>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</si>
  <si>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</si>
  <si>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</si>
  <si>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</si>
  <si>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</si>
  <si>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</si>
  <si>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</si>
  <si>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</si>
  <si>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</si>
  <si>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</si>
  <si>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</si>
  <si>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</si>
  <si>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</si>
  <si>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</si>
  <si>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</si>
  <si>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</si>
  <si>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</si>
  <si>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</si>
  <si>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</si>
  <si>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</si>
  <si>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</si>
  <si>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</si>
  <si>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</si>
  <si>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</si>
  <si>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</si>
  <si>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</si>
  <si>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</si>
  <si>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</si>
  <si>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</si>
  <si>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</si>
  <si>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</si>
  <si>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</si>
  <si>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</si>
  <si>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</si>
  <si>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</si>
  <si>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</si>
  <si>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</si>
  <si>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</si>
  <si>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</si>
  <si>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</si>
  <si>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</si>
  <si>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</si>
  <si>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</si>
  <si>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</si>
  <si>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</si>
  <si>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</si>
  <si>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</si>
  <si>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</si>
  <si>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</si>
  <si>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</si>
  <si>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</si>
  <si>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</si>
  <si>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</si>
  <si>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</si>
  <si>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</si>
  <si>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</si>
  <si>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</si>
  <si>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</si>
  <si>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</si>
  <si>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</si>
  <si>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</si>
  <si>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</si>
  <si>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</si>
  <si>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</si>
  <si>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</si>
  <si>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</si>
  <si>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</si>
  <si>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</si>
  <si>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</si>
  <si>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</si>
  <si>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</si>
  <si>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</si>
  <si>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</si>
  <si>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</si>
  <si>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</si>
  <si>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</si>
  <si>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</si>
  <si>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</si>
  <si>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</si>
  <si>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</si>
  <si>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</si>
  <si>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</si>
  <si>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</si>
  <si>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</si>
  <si>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</si>
  <si>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</si>
  <si>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</si>
  <si>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</si>
  <si>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</si>
  <si>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</si>
  <si>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</si>
  <si>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</si>
  <si>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</si>
  <si>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</si>
  <si>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</si>
  <si>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</si>
  <si>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</si>
  <si>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</si>
  <si>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</si>
  <si>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</si>
  <si>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</si>
  <si>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</si>
  <si>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</si>
  <si>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</si>
  <si>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</si>
  <si>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</si>
  <si>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</si>
  <si>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</si>
  <si>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</si>
  <si>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</si>
  <si>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</si>
  <si>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</si>
  <si>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</si>
  <si>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</si>
  <si>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</si>
  <si>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</si>
  <si>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</si>
  <si>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</si>
  <si>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</si>
  <si>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</si>
  <si>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</si>
  <si>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</si>
  <si>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</si>
  <si>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</si>
  <si>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</si>
  <si>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</si>
  <si>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</si>
  <si>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</si>
  <si>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</si>
  <si>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</si>
  <si>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</si>
  <si>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</si>
  <si>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</si>
  <si>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</si>
  <si>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</si>
  <si>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</si>
  <si>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</si>
  <si>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</si>
  <si>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</si>
  <si>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</si>
  <si>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</si>
  <si>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</si>
  <si>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</si>
  <si>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</si>
  <si>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</si>
  <si>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</si>
  <si>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</si>
  <si>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</si>
  <si>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</si>
  <si>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</si>
  <si>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</si>
  <si>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</si>
  <si>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</si>
  <si>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</si>
  <si>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</si>
  <si>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</si>
  <si>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</si>
  <si>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</si>
  <si>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</si>
  <si>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</si>
  <si>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</si>
  <si>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</si>
  <si>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</si>
  <si>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</si>
  <si>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</si>
  <si>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</si>
  <si>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</si>
  <si>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</si>
  <si>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</si>
  <si>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</si>
  <si>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</si>
  <si>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</si>
  <si>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</si>
  <si>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</si>
  <si>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</si>
  <si>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</si>
  <si>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</si>
  <si>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</si>
  <si>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</si>
  <si>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</si>
  <si>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</si>
  <si>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</si>
  <si>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</si>
  <si>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</si>
  <si>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</si>
  <si>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</si>
  <si>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</si>
  <si>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</si>
  <si>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</si>
  <si>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</si>
  <si>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</si>
  <si>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</si>
  <si>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</si>
  <si>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</si>
  <si>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</si>
  <si>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</si>
  <si>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</si>
  <si>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</si>
  <si>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</si>
  <si>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</si>
  <si>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</si>
  <si>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</si>
  <si>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</si>
  <si>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</si>
  <si>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</si>
  <si>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</si>
  <si>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</si>
  <si>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</si>
  <si>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</si>
  <si>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</si>
  <si>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</si>
  <si>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</si>
  <si>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</si>
  <si>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</si>
  <si>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</si>
  <si>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</si>
  <si>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</si>
  <si>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</si>
  <si>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</si>
  <si>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</si>
  <si>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</si>
  <si>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</si>
  <si>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</si>
  <si>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</si>
  <si>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</si>
  <si>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</si>
  <si>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</si>
  <si>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</si>
  <si>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</si>
  <si>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</si>
  <si>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</si>
  <si>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</si>
  <si>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</si>
  <si>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</si>
  <si>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</si>
  <si>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</si>
  <si>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</si>
  <si>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</si>
  <si>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</si>
  <si>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</si>
  <si>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</si>
  <si>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</si>
  <si>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</si>
  <si>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</si>
  <si>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</si>
  <si>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</si>
  <si>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</si>
  <si>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</si>
  <si>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</si>
  <si>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</si>
  <si>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</si>
  <si>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</si>
  <si>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</si>
  <si>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</si>
  <si>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</si>
  <si>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</si>
  <si>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</si>
  <si>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</si>
  <si>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</si>
  <si>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</si>
  <si>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</si>
  <si>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</si>
  <si>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</si>
  <si>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</si>
  <si>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</si>
  <si>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</si>
  <si>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</si>
  <si>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</si>
  <si>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</si>
  <si>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</si>
  <si>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</si>
  <si>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</si>
  <si>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</si>
  <si>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</si>
  <si>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</si>
  <si>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</si>
  <si>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</si>
  <si>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</si>
  <si>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</si>
  <si>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</si>
  <si>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</si>
  <si>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</si>
  <si>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</si>
  <si>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</si>
  <si>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</si>
  <si>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</si>
  <si>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</si>
  <si>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</si>
  <si>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</si>
  <si>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</si>
  <si>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</si>
  <si>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</si>
  <si>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</si>
  <si>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</si>
  <si>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</si>
  <si>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</si>
  <si>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</si>
  <si>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</si>
  <si>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</si>
  <si>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</si>
  <si>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</si>
  <si>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</si>
  <si>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</si>
  <si>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</si>
  <si>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</si>
  <si>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</si>
  <si>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</si>
  <si>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</si>
  <si>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</si>
  <si>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</si>
  <si>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</si>
  <si>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</si>
  <si>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</si>
  <si>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</si>
  <si>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</si>
  <si>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</si>
  <si>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</si>
  <si>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</si>
  <si>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</si>
  <si>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</si>
  <si>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</si>
  <si>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</si>
  <si>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</si>
  <si>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</si>
  <si>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</si>
  <si>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</si>
  <si>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</si>
  <si>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</si>
  <si>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</si>
  <si>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</si>
  <si>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</si>
  <si>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</si>
  <si>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</si>
  <si>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</si>
  <si>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</si>
  <si>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</si>
  <si>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</si>
  <si>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</si>
  <si>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</si>
  <si>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</si>
  <si>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</si>
  <si>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</si>
  <si>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</si>
  <si>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</si>
  <si>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</si>
  <si>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</si>
  <si>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</si>
  <si>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</si>
  <si>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</si>
  <si>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</si>
  <si>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</si>
  <si>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</si>
  <si>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</si>
  <si>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</si>
  <si>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</si>
  <si>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</si>
  <si>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</si>
  <si>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</si>
  <si>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</si>
  <si>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</si>
  <si>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</si>
  <si>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</si>
  <si>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</si>
  <si>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</si>
  <si>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</si>
  <si>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</si>
  <si>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</si>
  <si>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</si>
  <si>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</si>
  <si>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</si>
  <si>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</si>
  <si>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</si>
  <si>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</si>
  <si>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</si>
  <si>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</si>
  <si>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</si>
  <si>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</si>
  <si>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</si>
  <si>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</si>
  <si>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</si>
  <si>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</si>
  <si>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</si>
  <si>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</si>
  <si>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</si>
  <si>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</si>
  <si>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</si>
  <si>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</si>
  <si>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</si>
  <si>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</si>
  <si>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</si>
  <si>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</si>
  <si>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</si>
  <si>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</si>
  <si>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</si>
  <si>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</si>
  <si>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</si>
  <si>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</si>
  <si>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</si>
  <si>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</si>
  <si>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</si>
  <si>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</si>
  <si>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</si>
  <si>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</si>
  <si>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</si>
  <si>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</si>
  <si>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</si>
  <si>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</si>
  <si>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</si>
  <si>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</si>
  <si>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</si>
  <si>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</si>
  <si>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</si>
  <si>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</si>
  <si>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</si>
  <si>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</si>
  <si>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</si>
  <si>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</si>
  <si>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</si>
  <si>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华强科技</t>
  </si>
  <si>
    <t>www.lixinger.com/analytics/company/sh/688151/688151/detail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</si>
  <si>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</si>
  <si>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</si>
  <si>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</si>
  <si>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</si>
  <si>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</si>
  <si>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</si>
  <si>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</si>
  <si>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</si>
  <si>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</si>
  <si>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</si>
  <si>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</si>
  <si>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</si>
  <si>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</si>
  <si>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</si>
  <si>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</si>
  <si>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</si>
  <si>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</si>
  <si>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</si>
  <si>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</si>
  <si>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</si>
  <si>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</si>
  <si>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</si>
  <si>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</si>
  <si>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</si>
  <si>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</si>
  <si>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</si>
  <si>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</si>
  <si>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</si>
  <si>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纬德信息</t>
  </si>
  <si>
    <t>www.lixinger.com/analytics/company/sh/688171/688171/detail</t>
  </si>
  <si>
    <t>希荻微</t>
  </si>
  <si>
    <t>www.lixinger.com/analytics/company/sh/688173/688173/detail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</si>
  <si>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</si>
  <si>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</si>
  <si>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</si>
  <si>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</si>
  <si>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</si>
  <si>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</si>
  <si>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</si>
  <si>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</si>
  <si>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</si>
  <si>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</si>
  <si>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</si>
  <si>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</si>
  <si>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</si>
  <si>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</si>
  <si>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</si>
  <si>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</si>
  <si>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</si>
  <si>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</si>
  <si>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</si>
  <si>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</si>
  <si>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</si>
  <si>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</si>
  <si>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</si>
  <si>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</si>
  <si>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</si>
  <si>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</si>
  <si>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</si>
  <si>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</si>
  <si>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</si>
  <si>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</si>
  <si>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</si>
  <si>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</si>
  <si>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</si>
  <si>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</si>
  <si>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</si>
  <si>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</si>
  <si>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</si>
  <si>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</si>
  <si>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</si>
  <si>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</si>
  <si>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</si>
  <si>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</si>
  <si>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</si>
  <si>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</si>
  <si>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</si>
  <si>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</si>
  <si>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</si>
  <si>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</si>
  <si>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</si>
  <si>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</si>
  <si>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</si>
  <si>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</si>
  <si>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</si>
  <si>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</si>
  <si>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</si>
  <si>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</si>
  <si>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</si>
  <si>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</si>
  <si>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</si>
  <si>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</si>
  <si>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</si>
  <si>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</si>
  <si>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</si>
  <si>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</si>
  <si>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</si>
  <si>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</si>
  <si>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</si>
  <si>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</si>
  <si>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</si>
  <si>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</si>
  <si>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</si>
  <si>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</si>
  <si>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</si>
  <si>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</si>
  <si>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</si>
  <si>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</si>
  <si>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</si>
  <si>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</si>
  <si>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</si>
  <si>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</si>
  <si>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</si>
  <si>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</si>
  <si>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</si>
  <si>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</si>
  <si>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</si>
  <si>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</si>
  <si>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</si>
  <si>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</si>
  <si>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</si>
  <si>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</si>
  <si>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</si>
  <si>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</si>
  <si>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</si>
  <si>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</si>
  <si>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</si>
  <si>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</si>
  <si>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</si>
  <si>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</si>
  <si>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</si>
  <si>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</si>
  <si>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</si>
  <si>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</si>
  <si>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</si>
  <si>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</si>
  <si>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</si>
  <si>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</si>
  <si>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</si>
  <si>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</si>
  <si>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</si>
  <si>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</si>
  <si>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</si>
  <si>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</si>
  <si>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</si>
  <si>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</si>
  <si>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</si>
  <si>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</si>
  <si>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</si>
  <si>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</si>
  <si>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</si>
  <si>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</si>
  <si>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</si>
  <si>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</si>
  <si>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</si>
  <si>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</si>
  <si>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</si>
  <si>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</si>
  <si>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</si>
  <si>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</si>
  <si>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</si>
  <si>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</si>
  <si>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</si>
  <si>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</si>
  <si>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</si>
  <si>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</si>
  <si>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</si>
  <si>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</si>
  <si>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</si>
  <si>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</si>
  <si>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</si>
  <si>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</si>
  <si>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</si>
  <si>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</si>
  <si>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</si>
  <si>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</si>
  <si>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</si>
  <si>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</si>
  <si>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</si>
  <si>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</si>
  <si>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</si>
  <si>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</si>
  <si>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</si>
  <si>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</si>
  <si>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</si>
  <si>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</si>
  <si>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</si>
  <si>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</si>
  <si>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</si>
  <si>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</si>
  <si>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</si>
  <si>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</si>
  <si>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</si>
  <si>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</si>
  <si>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</si>
  <si>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</si>
  <si>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</si>
  <si>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</si>
  <si>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</si>
  <si>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</si>
  <si>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</si>
  <si>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</si>
  <si>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</si>
  <si>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</si>
  <si>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</si>
  <si>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</si>
  <si>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</si>
  <si>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</si>
  <si>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</si>
  <si>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</si>
  <si>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</si>
  <si>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</si>
  <si>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</si>
  <si>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</si>
  <si>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</si>
  <si>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</si>
  <si>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</si>
  <si>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</si>
  <si>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</si>
  <si>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</si>
  <si>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</si>
  <si>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</si>
  <si>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</si>
  <si>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</si>
  <si>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</si>
  <si>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</si>
  <si>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</si>
  <si>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</si>
  <si>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</si>
  <si>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</si>
  <si>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</si>
  <si>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</si>
  <si>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</si>
  <si>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微芯生物</t>
  </si>
  <si>
    <t>www.lixinger.com/analytics/company/sh/688321/688321/detail</t>
  </si>
  <si>
    <t>瑞华泰</t>
  </si>
  <si>
    <t>www.lixinger.com/analytics/company/sh/688323/688323/detail</t>
  </si>
  <si>
    <t>经纬恒润</t>
  </si>
  <si>
    <t>www.lixinger.com/analytics/company/sh/688326/688326/detail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</si>
  <si>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</si>
  <si>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</si>
  <si>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</si>
  <si>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</si>
  <si>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</si>
  <si>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</si>
  <si>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</si>
  <si>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</si>
  <si>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</si>
  <si>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</si>
  <si>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</si>
  <si>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</si>
  <si>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</si>
  <si>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</si>
  <si>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</si>
  <si>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</si>
  <si>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</si>
  <si>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</si>
  <si>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</si>
  <si>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</si>
  <si>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</si>
  <si>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</si>
  <si>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</si>
  <si>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</si>
  <si>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</si>
  <si>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</si>
  <si>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</si>
  <si>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</si>
  <si>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</si>
  <si>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</si>
  <si>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</si>
  <si>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</si>
  <si>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</si>
  <si>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</si>
  <si>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</si>
  <si>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</si>
  <si>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</si>
  <si>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</si>
  <si>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</si>
  <si>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</si>
  <si>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</si>
  <si>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</si>
  <si>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</si>
  <si>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</si>
  <si>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</si>
  <si>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</si>
  <si>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</si>
  <si>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</si>
  <si>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</si>
  <si>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</si>
  <si>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</si>
  <si>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</si>
  <si>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</si>
  <si>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</si>
  <si>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</si>
  <si>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</si>
  <si>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</si>
  <si>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</si>
  <si>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</si>
  <si>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</si>
  <si>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</si>
  <si>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</si>
  <si>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</si>
  <si>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</si>
  <si>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</si>
  <si>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</si>
  <si>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</si>
  <si>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</si>
  <si>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</si>
  <si>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</si>
  <si>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</si>
  <si>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</si>
  <si>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</si>
  <si>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</si>
  <si>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</si>
  <si>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</si>
  <si>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</si>
  <si>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</si>
  <si>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</si>
  <si>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</si>
  <si>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</si>
  <si>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</si>
  <si>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</si>
  <si>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</si>
  <si>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</si>
  <si>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</si>
  <si>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</si>
  <si>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</si>
  <si>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</si>
  <si>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</si>
  <si>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</si>
  <si>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</si>
  <si>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</si>
  <si>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</si>
  <si>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</si>
  <si>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</si>
  <si>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</si>
  <si>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</si>
  <si>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</si>
  <si>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</si>
  <si>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</si>
  <si>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</si>
  <si>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</si>
  <si>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</si>
  <si>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</si>
  <si>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</si>
  <si>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</si>
  <si>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</si>
  <si>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</si>
  <si>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</si>
  <si>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</si>
  <si>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</si>
  <si>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</si>
  <si>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</si>
  <si>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</si>
  <si>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</si>
  <si>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</si>
  <si>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</si>
  <si>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</si>
  <si>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</si>
  <si>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</si>
  <si>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</si>
  <si>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</si>
  <si>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</si>
  <si>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</si>
  <si>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</si>
  <si>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</si>
  <si>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</si>
  <si>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</si>
  <si>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</si>
  <si>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</si>
  <si>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</si>
  <si>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</si>
  <si>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</si>
  <si>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</si>
  <si>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</si>
  <si>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</si>
  <si>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</si>
  <si>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</si>
  <si>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</si>
  <si>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</si>
  <si>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</si>
  <si>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</si>
  <si>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</si>
  <si>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</si>
  <si>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</si>
  <si>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</si>
  <si>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</si>
  <si>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</si>
  <si>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</si>
  <si>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</si>
  <si>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</si>
  <si>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</si>
  <si>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</si>
  <si>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</si>
  <si>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</si>
  <si>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</si>
  <si>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</si>
  <si>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</si>
  <si>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</si>
  <si>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</si>
  <si>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</si>
  <si>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</si>
  <si>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</si>
  <si>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</si>
  <si>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</si>
  <si>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</si>
  <si>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</si>
  <si>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</si>
  <si>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</si>
  <si>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</si>
  <si>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</si>
  <si>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</si>
  <si>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</si>
  <si>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</si>
  <si>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</si>
  <si>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</si>
  <si>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</si>
  <si>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</si>
  <si>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</si>
  <si>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</si>
  <si>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</si>
  <si>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</si>
  <si>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</si>
  <si>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</si>
  <si>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</si>
  <si>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</si>
  <si>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</si>
  <si>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</si>
  <si>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</si>
  <si>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</si>
  <si>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</si>
  <si>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</si>
  <si>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</si>
  <si>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</si>
  <si>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</si>
  <si>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</si>
  <si>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</si>
  <si>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</si>
  <si>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</si>
  <si>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</si>
  <si>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</si>
  <si>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</si>
  <si>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</si>
  <si>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</si>
  <si>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</si>
  <si>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</si>
  <si>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</si>
  <si>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</si>
  <si>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</si>
  <si>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</si>
  <si>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</si>
  <si>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</si>
  <si>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</si>
  <si>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</si>
  <si>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</si>
  <si>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</si>
  <si>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</si>
  <si>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</si>
  <si>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</si>
  <si>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</si>
  <si>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</si>
  <si>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</si>
  <si>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</si>
  <si>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</si>
  <si>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</si>
  <si>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</si>
  <si>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</si>
  <si>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</si>
  <si>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</si>
  <si>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</si>
  <si>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</si>
  <si>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</si>
  <si>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</si>
  <si>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</si>
  <si>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</si>
  <si>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</si>
  <si>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</si>
  <si>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</si>
  <si>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</si>
  <si>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</si>
  <si>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</si>
  <si>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</si>
  <si>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</si>
  <si>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</si>
  <si>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</si>
  <si>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</si>
  <si>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</si>
  <si>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</si>
  <si>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</si>
  <si>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</si>
  <si>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</si>
  <si>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</si>
  <si>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</si>
  <si>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</si>
  <si>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</si>
  <si>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</si>
  <si>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</si>
  <si>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</si>
  <si>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</si>
  <si>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</si>
  <si>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</si>
  <si>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</si>
  <si>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</si>
  <si>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</si>
  <si>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</si>
  <si>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</si>
  <si>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</si>
  <si>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</si>
  <si>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</si>
  <si>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</si>
  <si>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</si>
  <si>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</si>
  <si>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</si>
  <si>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</si>
  <si>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</si>
  <si>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</si>
  <si>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</si>
  <si>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</si>
  <si>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</si>
  <si>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</si>
  <si>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</si>
  <si>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</si>
  <si>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</si>
  <si>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</si>
  <si>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</si>
  <si>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</si>
  <si>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</si>
  <si>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</si>
  <si>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</si>
  <si>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</si>
  <si>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</si>
  <si>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</si>
  <si>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</si>
  <si>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</si>
  <si>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</si>
  <si>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</si>
  <si>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</si>
  <si>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</si>
  <si>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</si>
  <si>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</si>
  <si>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</si>
  <si>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</si>
  <si>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</si>
  <si>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</si>
  <si>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</si>
  <si>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</si>
  <si>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</si>
  <si>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</si>
  <si>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</si>
  <si>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</si>
  <si>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</si>
  <si>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</si>
  <si>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</si>
  <si>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</si>
  <si>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</si>
  <si>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</si>
  <si>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</si>
  <si>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</si>
  <si>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</si>
  <si>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</si>
  <si>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</si>
  <si>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</si>
  <si>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</si>
  <si>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</si>
  <si>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</si>
  <si>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</si>
  <si>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</si>
  <si>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</si>
  <si>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</si>
  <si>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</si>
  <si>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</si>
  <si>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</si>
  <si>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</si>
  <si>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</si>
  <si>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</si>
  <si>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</si>
  <si>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</si>
  <si>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</si>
  <si>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</si>
  <si>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</si>
  <si>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</si>
  <si>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</si>
  <si>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</si>
  <si>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</si>
  <si>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</si>
  <si>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</si>
  <si>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</si>
  <si>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</si>
  <si>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</si>
  <si>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</si>
  <si>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</si>
  <si>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</si>
  <si>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</si>
  <si>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</si>
  <si>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</si>
  <si>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</si>
  <si>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</si>
  <si>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</si>
  <si>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</si>
  <si>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</si>
  <si>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</si>
  <si>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</si>
  <si>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</si>
  <si>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</si>
  <si>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</si>
  <si>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</si>
  <si>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</si>
  <si>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</si>
  <si>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</si>
  <si>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</si>
  <si>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</si>
  <si>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</si>
  <si>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</si>
  <si>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</si>
  <si>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</si>
  <si>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</si>
  <si>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</si>
  <si>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</si>
  <si>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</si>
  <si>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</si>
  <si>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</si>
  <si>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</si>
  <si>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</si>
  <si>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</si>
  <si>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</si>
  <si>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</si>
  <si>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</si>
  <si>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</si>
  <si>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</si>
  <si>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</si>
  <si>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</si>
  <si>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</si>
  <si>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</si>
  <si>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</si>
  <si>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</si>
  <si>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</si>
  <si>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</si>
  <si>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</si>
  <si>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</si>
  <si>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</si>
  <si>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</si>
  <si>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</si>
  <si>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</si>
  <si>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</si>
  <si>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</si>
  <si>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</si>
  <si>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</si>
  <si>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</si>
  <si>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</si>
  <si>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</si>
  <si>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</si>
  <si>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</si>
  <si>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</si>
  <si>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</si>
  <si>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</si>
  <si>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</si>
  <si>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</si>
  <si>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</si>
  <si>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</si>
  <si>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</si>
  <si>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</si>
  <si>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</si>
  <si>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</si>
  <si>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</si>
  <si>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</si>
  <si>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</si>
  <si>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</si>
  <si>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</si>
  <si>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</si>
  <si>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</si>
  <si>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</si>
  <si>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</si>
  <si>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</si>
  <si>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</si>
  <si>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</si>
  <si>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</si>
  <si>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</si>
  <si>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</si>
  <si>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</si>
  <si>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</si>
  <si>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</si>
  <si>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</si>
  <si>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</si>
  <si>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</si>
  <si>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</si>
  <si>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</si>
  <si>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</si>
  <si>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</si>
  <si>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</si>
  <si>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</si>
  <si>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</si>
  <si>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</si>
  <si>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</si>
  <si>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</si>
  <si>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</si>
  <si>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</si>
  <si>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</si>
  <si>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</si>
  <si>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</si>
  <si>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</si>
  <si>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</si>
  <si>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</si>
  <si>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</si>
  <si>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</si>
  <si>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</si>
  <si>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</si>
  <si>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</si>
  <si>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</si>
  <si>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</si>
  <si>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</si>
  <si>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</si>
  <si>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</si>
  <si>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</si>
  <si>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</si>
  <si>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</si>
  <si>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</si>
  <si>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</si>
  <si>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</si>
  <si>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</si>
  <si>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</si>
  <si>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</si>
  <si>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</si>
  <si>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</si>
  <si>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</si>
  <si>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</si>
  <si>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</si>
  <si>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</si>
  <si>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</si>
  <si>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</si>
  <si>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</si>
  <si>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</si>
  <si>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</si>
  <si>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</si>
  <si>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</si>
  <si>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</si>
  <si>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</si>
  <si>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</si>
  <si>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</si>
  <si>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</si>
  <si>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</si>
  <si>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</si>
  <si>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</si>
  <si>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</si>
  <si>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</si>
  <si>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</si>
  <si>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</si>
  <si>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</si>
  <si>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</si>
  <si>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</si>
  <si>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</si>
  <si>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</si>
  <si>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</si>
  <si>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</si>
  <si>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</si>
  <si>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</si>
  <si>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</si>
  <si>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</si>
  <si>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</si>
  <si>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</si>
  <si>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</si>
  <si>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</si>
  <si>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</si>
  <si>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</si>
  <si>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</si>
  <si>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</si>
  <si>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</si>
  <si>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</si>
  <si>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</si>
  <si>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</si>
  <si>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</si>
  <si>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</si>
  <si>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</si>
  <si>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</si>
  <si>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</si>
  <si>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</si>
  <si>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</si>
  <si>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</si>
  <si>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</si>
  <si>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</si>
  <si>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</si>
  <si>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</si>
  <si>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</si>
  <si>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</si>
  <si>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</si>
  <si>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</si>
  <si>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</si>
  <si>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</si>
  <si>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</si>
  <si>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</si>
  <si>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</si>
  <si>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</si>
  <si>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</si>
  <si>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</si>
  <si>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</si>
  <si>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</si>
  <si>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</si>
  <si>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</si>
  <si>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</si>
  <si>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</si>
  <si>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</si>
  <si>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</si>
  <si>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</si>
  <si>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</si>
  <si>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</si>
  <si>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</si>
  <si>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</si>
  <si>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</si>
  <si>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</si>
  <si>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</si>
  <si>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</si>
  <si>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</si>
  <si>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</si>
  <si>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</si>
  <si>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</si>
  <si>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</si>
  <si>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</si>
  <si>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</si>
  <si>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</si>
  <si>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</si>
  <si>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</si>
  <si>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</si>
  <si>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</si>
  <si>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</si>
  <si>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</si>
  <si>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</si>
  <si>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</si>
  <si>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</si>
  <si>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</si>
  <si>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</si>
  <si>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</si>
  <si>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</si>
  <si>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</si>
  <si>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</si>
  <si>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</si>
  <si>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</si>
  <si>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</si>
  <si>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</si>
  <si>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</si>
  <si>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</si>
  <si>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</si>
  <si>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</si>
  <si>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</si>
  <si>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</si>
  <si>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</si>
  <si>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</si>
  <si>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</si>
  <si>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</si>
  <si>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</si>
  <si>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</si>
  <si>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</si>
  <si>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</si>
  <si>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</si>
  <si>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</si>
  <si>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</si>
  <si>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</si>
  <si>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</si>
  <si>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</si>
  <si>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</si>
  <si>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</si>
  <si>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</si>
  <si>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</si>
  <si>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</si>
  <si>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</si>
  <si>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</si>
  <si>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</si>
  <si>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</si>
  <si>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</si>
  <si>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</si>
  <si>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</si>
  <si>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</si>
  <si>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</si>
  <si>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</si>
  <si>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</si>
  <si>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</si>
  <si>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</si>
  <si>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</si>
  <si>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</si>
  <si>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</si>
  <si>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</si>
  <si>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</si>
  <si>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</si>
  <si>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</si>
  <si>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</si>
  <si>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</si>
  <si>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</si>
  <si>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</si>
  <si>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</si>
  <si>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</si>
  <si>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</si>
  <si>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</si>
  <si>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</si>
  <si>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</si>
  <si>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</si>
  <si>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</si>
  <si>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</si>
  <si>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</si>
  <si>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</si>
  <si>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</si>
  <si>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</si>
  <si>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</si>
  <si>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</si>
  <si>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</si>
  <si>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</si>
  <si>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</si>
  <si>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</si>
  <si>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</si>
  <si>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</si>
  <si>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</si>
  <si>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</si>
  <si>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</si>
  <si>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</si>
  <si>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</si>
  <si>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</si>
  <si>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</si>
  <si>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</si>
  <si>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</si>
  <si>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</si>
  <si>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</si>
  <si>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</si>
  <si>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</si>
  <si>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</si>
  <si>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</si>
  <si>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</si>
  <si>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</si>
  <si>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</si>
  <si>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</si>
  <si>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</si>
  <si>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</si>
  <si>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</si>
  <si>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</si>
  <si>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</si>
  <si>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</si>
  <si>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</si>
  <si>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</si>
  <si>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</si>
  <si>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</si>
  <si>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</si>
  <si>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</si>
  <si>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</si>
  <si>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</si>
  <si>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</si>
  <si>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</si>
  <si>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</si>
  <si>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</si>
  <si>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</si>
  <si>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</si>
  <si>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</si>
  <si>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</si>
  <si>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</si>
  <si>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</si>
  <si>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</si>
  <si>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</si>
  <si>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</si>
  <si>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</si>
  <si>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</si>
  <si>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</si>
  <si>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</si>
  <si>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</si>
  <si>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</si>
  <si>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</si>
  <si>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</si>
  <si>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</si>
  <si>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</si>
  <si>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</si>
  <si>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</si>
  <si>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</si>
  <si>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</si>
  <si>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</si>
  <si>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</si>
  <si>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</si>
  <si>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</si>
  <si>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</si>
  <si>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</si>
  <si>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</si>
  <si>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</si>
  <si>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</si>
  <si>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</si>
  <si>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</si>
  <si>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</si>
  <si>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</si>
  <si>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</si>
  <si>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</si>
  <si>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</si>
  <si>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</si>
  <si>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</si>
  <si>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</si>
  <si>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</si>
  <si>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</si>
  <si>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</si>
  <si>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</si>
  <si>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</si>
  <si>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</si>
  <si>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</si>
  <si>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</si>
  <si>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</si>
  <si>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</si>
  <si>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</si>
  <si>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</si>
  <si>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</si>
  <si>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</si>
  <si>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</si>
  <si>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</si>
  <si>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</si>
  <si>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</si>
  <si>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</si>
  <si>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</si>
  <si>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</si>
  <si>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</si>
  <si>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</si>
  <si>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</si>
  <si>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</si>
  <si>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</si>
  <si>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</si>
  <si>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</si>
  <si>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</si>
  <si>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</si>
  <si>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</si>
  <si>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</si>
  <si>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</si>
  <si>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</si>
  <si>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</si>
  <si>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</si>
  <si>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</si>
  <si>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</si>
  <si>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</si>
  <si>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</si>
  <si>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</si>
  <si>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</si>
  <si>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</si>
  <si>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</si>
  <si>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</si>
  <si>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</si>
  <si>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</si>
  <si>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</si>
  <si>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</si>
  <si>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</si>
  <si>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</si>
  <si>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</si>
  <si>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</si>
  <si>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</si>
  <si>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</si>
  <si>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</si>
  <si>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</si>
  <si>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</si>
  <si>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</si>
  <si>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</si>
  <si>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</si>
  <si>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</si>
  <si>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</si>
  <si>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</si>
  <si>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</si>
  <si>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</si>
  <si>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</si>
  <si>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</si>
  <si>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</si>
  <si>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</si>
  <si>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</si>
  <si>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</si>
  <si>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</si>
  <si>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</si>
  <si>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</si>
  <si>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</si>
  <si>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</si>
  <si>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</si>
  <si>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</si>
  <si>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</si>
  <si>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</si>
  <si>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</si>
  <si>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</si>
  <si>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</si>
  <si>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</si>
  <si>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</si>
  <si>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</si>
  <si>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</si>
  <si>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</si>
  <si>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</si>
  <si>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</si>
  <si>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</si>
  <si>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</si>
  <si>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</si>
  <si>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</si>
  <si>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</si>
  <si>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</si>
  <si>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</si>
  <si>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</si>
  <si>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</si>
  <si>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</si>
  <si>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</si>
  <si>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</si>
  <si>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</si>
  <si>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</si>
  <si>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</si>
  <si>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</si>
  <si>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</si>
  <si>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</si>
  <si>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</si>
  <si>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</si>
  <si>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</si>
  <si>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</si>
  <si>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</si>
  <si>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</si>
  <si>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</si>
  <si>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</si>
  <si>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</si>
  <si>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</si>
  <si>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</si>
  <si>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</si>
  <si>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</si>
  <si>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</si>
  <si>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</si>
  <si>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</si>
  <si>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</si>
  <si>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</si>
  <si>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</si>
  <si>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</si>
  <si>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</si>
  <si>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</si>
  <si>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</si>
  <si>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</si>
  <si>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</si>
  <si>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</si>
  <si>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</si>
  <si>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</si>
  <si>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</si>
  <si>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</si>
  <si>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</si>
  <si>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</si>
  <si>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</si>
  <si>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</si>
  <si>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</si>
  <si>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</si>
  <si>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</si>
  <si>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</si>
  <si>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</si>
  <si>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</si>
  <si>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</si>
  <si>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</si>
  <si>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</si>
  <si>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</si>
  <si>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</si>
  <si>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</si>
  <si>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</si>
  <si>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</si>
  <si>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</si>
  <si>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</si>
  <si>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</si>
  <si>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</si>
  <si>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</si>
  <si>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</si>
  <si>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</si>
  <si>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</si>
  <si>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</si>
  <si>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</si>
  <si>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</si>
  <si>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</si>
  <si>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</si>
  <si>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</si>
  <si>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</si>
  <si>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</si>
  <si>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</si>
  <si>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</si>
  <si>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</si>
  <si>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</si>
  <si>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</si>
  <si>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</si>
  <si>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</si>
  <si>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</si>
  <si>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</si>
  <si>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</si>
  <si>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</si>
  <si>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</si>
  <si>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</si>
  <si>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</si>
  <si>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</si>
  <si>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</si>
  <si>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</si>
  <si>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</si>
  <si>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</si>
  <si>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</si>
  <si>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</si>
  <si>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</si>
  <si>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</si>
  <si>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</si>
  <si>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</si>
  <si>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</si>
  <si>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</si>
  <si>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</si>
  <si>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</si>
  <si>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</si>
  <si>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</si>
  <si>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</si>
  <si>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</si>
  <si>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</si>
  <si>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</si>
  <si>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</si>
  <si>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</si>
  <si>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</si>
  <si>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</si>
  <si>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</si>
  <si>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</si>
  <si>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</si>
  <si>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</si>
  <si>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</si>
  <si>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</si>
  <si>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</si>
  <si>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</si>
  <si>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</si>
  <si>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</si>
  <si>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</si>
  <si>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</si>
  <si>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</si>
  <si>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</si>
  <si>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</si>
  <si>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</si>
  <si>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</si>
  <si>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</si>
  <si>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</si>
  <si>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</si>
  <si>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</si>
  <si>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</si>
  <si>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</si>
  <si>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</si>
  <si>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</si>
  <si>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</si>
  <si>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</si>
  <si>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</si>
  <si>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</si>
  <si>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</si>
  <si>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</si>
  <si>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</si>
  <si>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</si>
  <si>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</si>
  <si>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</si>
  <si>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</si>
  <si>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</si>
  <si>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</si>
  <si>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</si>
  <si>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</si>
  <si>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</si>
  <si>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</si>
  <si>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</si>
  <si>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</si>
  <si>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</si>
  <si>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</si>
  <si>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</si>
  <si>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</si>
  <si>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</si>
  <si>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</si>
  <si>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</si>
  <si>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</si>
  <si>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</si>
  <si>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</si>
  <si>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</si>
  <si>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</si>
  <si>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</si>
  <si>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</si>
  <si>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</si>
  <si>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</si>
  <si>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</si>
  <si>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</si>
  <si>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</si>
  <si>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</si>
  <si>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</si>
  <si>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</si>
  <si>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</si>
  <si>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</si>
  <si>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</si>
  <si>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</si>
  <si>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</si>
  <si>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</si>
  <si>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</si>
  <si>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</si>
  <si>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</si>
  <si>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</si>
  <si>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</si>
  <si>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</si>
  <si>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</si>
  <si>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</si>
  <si>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</si>
  <si>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</si>
  <si>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</si>
  <si>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</si>
  <si>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</si>
  <si>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</si>
  <si>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</si>
  <si>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</si>
  <si>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</si>
  <si>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</si>
  <si>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</si>
  <si>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</si>
  <si>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</si>
  <si>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</si>
  <si>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</si>
  <si>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</si>
  <si>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</si>
  <si>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</si>
  <si>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</si>
  <si>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</si>
  <si>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</si>
  <si>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</si>
  <si>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</si>
  <si>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</si>
  <si>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</si>
  <si>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</si>
  <si>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</si>
  <si>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</si>
  <si>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</si>
  <si>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</si>
  <si>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</si>
  <si>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</si>
  <si>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</si>
  <si>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</si>
  <si>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</si>
  <si>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</si>
  <si>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</si>
  <si>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</si>
  <si>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</si>
  <si>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</si>
  <si>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</si>
  <si>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</si>
  <si>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</si>
  <si>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</si>
  <si>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</si>
  <si>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</si>
  <si>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</si>
  <si>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</si>
  <si>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</si>
  <si>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</si>
  <si>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</si>
  <si>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</si>
  <si>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</si>
  <si>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</si>
  <si>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</si>
  <si>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</si>
  <si>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</si>
  <si>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</si>
  <si>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</si>
  <si>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</si>
  <si>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</si>
  <si>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</si>
  <si>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</si>
  <si>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</si>
  <si>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</si>
  <si>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</si>
  <si>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</si>
  <si>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</si>
  <si>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</si>
  <si>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</si>
  <si>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</si>
  <si>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</si>
  <si>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</si>
  <si>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</si>
  <si>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</si>
  <si>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</si>
  <si>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</si>
  <si>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</si>
  <si>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</si>
  <si>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</si>
  <si>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</si>
  <si>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</si>
  <si>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</si>
  <si>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</si>
  <si>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</si>
  <si>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</si>
  <si>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</si>
  <si>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</si>
  <si>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</si>
  <si>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</si>
  <si>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</si>
  <si>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</si>
  <si>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</si>
  <si>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</si>
  <si>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</si>
  <si>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</si>
  <si>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</si>
  <si>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</si>
  <si>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</si>
  <si>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</si>
  <si>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</si>
  <si>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</si>
  <si>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</si>
  <si>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</si>
  <si>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</si>
  <si>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</si>
  <si>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</si>
  <si>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</si>
  <si>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</si>
  <si>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</si>
  <si>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</si>
  <si>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</si>
  <si>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</si>
  <si>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</si>
  <si>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</si>
  <si>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</si>
  <si>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</si>
  <si>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</si>
  <si>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</si>
  <si>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</si>
  <si>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</si>
  <si>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</si>
  <si>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</si>
  <si>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</si>
  <si>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</si>
  <si>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</si>
  <si>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</si>
  <si>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</si>
  <si>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</si>
  <si>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</si>
  <si>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</si>
  <si>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</si>
  <si>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</si>
  <si>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</si>
  <si>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</si>
  <si>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</si>
  <si>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</si>
  <si>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</si>
  <si>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</si>
  <si>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</si>
  <si>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</si>
  <si>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</si>
  <si>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</si>
  <si>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</si>
  <si>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</si>
  <si>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</si>
  <si>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</si>
  <si>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</si>
  <si>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</si>
  <si>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</si>
  <si>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</si>
  <si>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</si>
  <si>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</si>
  <si>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</si>
  <si>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</si>
  <si>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</si>
  <si>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</si>
  <si>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</si>
  <si>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</si>
  <si>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</si>
  <si>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</si>
  <si>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</si>
  <si>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</si>
  <si>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</si>
  <si>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</si>
  <si>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</si>
  <si>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</si>
  <si>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</si>
  <si>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</si>
  <si>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</si>
  <si>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</si>
  <si>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</si>
  <si>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</si>
  <si>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</si>
  <si>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</si>
  <si>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</si>
  <si>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</si>
  <si>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</si>
  <si>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</si>
  <si>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</si>
  <si>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</si>
  <si>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</si>
  <si>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</si>
  <si>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</si>
  <si>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</si>
  <si>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</si>
  <si>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</si>
  <si>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</si>
  <si>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</si>
  <si>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</si>
  <si>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</si>
  <si>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</si>
  <si>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</si>
  <si>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</si>
  <si>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</si>
  <si>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</si>
  <si>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</si>
  <si>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</si>
  <si>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</si>
  <si>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</si>
  <si>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</si>
  <si>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</si>
  <si>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</si>
  <si>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</si>
  <si>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</si>
  <si>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</si>
  <si>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</si>
  <si>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</si>
  <si>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</si>
  <si>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</si>
  <si>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</si>
  <si>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</si>
  <si>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</si>
  <si>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</si>
  <si>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</si>
  <si>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</si>
  <si>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</si>
  <si>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</si>
  <si>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</si>
  <si>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</si>
  <si>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</si>
  <si>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</si>
  <si>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</si>
  <si>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</si>
  <si>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</si>
  <si>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</si>
  <si>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</si>
  <si>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</si>
  <si>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</si>
  <si>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</si>
  <si>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</si>
  <si>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</si>
  <si>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</si>
  <si>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</si>
  <si>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</si>
  <si>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</si>
  <si>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</si>
  <si>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</si>
  <si>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</si>
  <si>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</si>
  <si>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</si>
  <si>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</si>
  <si>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</si>
  <si>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</si>
  <si>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</si>
  <si>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</si>
  <si>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</si>
  <si>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</si>
  <si>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</si>
  <si>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</si>
  <si>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</si>
  <si>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</si>
  <si>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</si>
  <si>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</si>
  <si>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</si>
  <si>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</si>
  <si>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</si>
  <si>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</si>
  <si>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</si>
  <si>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</si>
  <si>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</si>
  <si>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</si>
  <si>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</si>
  <si>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</si>
  <si>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</si>
  <si>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</si>
  <si>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</si>
  <si>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</si>
  <si>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</si>
  <si>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</si>
  <si>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</si>
  <si>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</si>
  <si>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</si>
  <si>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</si>
  <si>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</si>
  <si>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</si>
  <si>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</si>
  <si>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</si>
  <si>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</si>
  <si>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</si>
  <si>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</si>
  <si>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</si>
  <si>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</si>
  <si>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</si>
  <si>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</si>
  <si>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</si>
  <si>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</si>
  <si>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</si>
  <si>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</si>
  <si>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</si>
  <si>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</si>
  <si>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</si>
  <si>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</si>
  <si>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</si>
  <si>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</si>
  <si>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</si>
  <si>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</si>
  <si>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</si>
  <si>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</si>
  <si>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</si>
  <si>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</si>
  <si>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</si>
  <si>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</si>
  <si>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</si>
  <si>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</si>
  <si>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</si>
  <si>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</si>
  <si>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</si>
  <si>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</si>
  <si>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</si>
  <si>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</si>
  <si>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</si>
  <si>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</si>
  <si>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</si>
  <si>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</si>
  <si>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</si>
  <si>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</si>
  <si>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</si>
  <si>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</si>
  <si>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</si>
  <si>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</si>
  <si>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</si>
  <si>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</si>
  <si>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</si>
  <si>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</si>
  <si>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</si>
  <si>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</si>
  <si>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</si>
  <si>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</si>
  <si>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</si>
  <si>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</si>
  <si>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</si>
  <si>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</si>
  <si>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</si>
  <si>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</si>
  <si>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</si>
  <si>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</si>
  <si>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</si>
  <si>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</si>
  <si>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</si>
  <si>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</si>
  <si>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</si>
  <si>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</si>
  <si>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</si>
  <si>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</si>
  <si>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</si>
  <si>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</si>
  <si>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</si>
  <si>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</si>
  <si>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</si>
  <si>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</si>
  <si>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</si>
  <si>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</si>
  <si>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</si>
  <si>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</si>
  <si>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</si>
  <si>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</si>
  <si>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</si>
  <si>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</si>
  <si>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</si>
  <si>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</si>
  <si>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</si>
  <si>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</si>
  <si>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</si>
  <si>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</si>
  <si>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</si>
  <si>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</si>
  <si>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</si>
  <si>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</si>
  <si>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</si>
  <si>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</si>
  <si>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</si>
  <si>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</si>
  <si>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</si>
  <si>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</si>
  <si>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</si>
  <si>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</si>
  <si>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</si>
  <si>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</si>
  <si>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</si>
  <si>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</si>
  <si>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</si>
  <si>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</si>
  <si>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</si>
  <si>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</si>
  <si>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</si>
  <si>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</si>
  <si>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</si>
  <si>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</si>
  <si>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</si>
  <si>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</si>
  <si>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</si>
  <si>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</si>
  <si>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</si>
  <si>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</si>
  <si>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</si>
  <si>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</si>
  <si>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</si>
  <si>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</si>
  <si>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</si>
  <si>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</si>
  <si>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</si>
  <si>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</si>
  <si>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</si>
  <si>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</si>
  <si>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</si>
  <si>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</si>
  <si>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</si>
  <si>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</si>
  <si>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</si>
  <si>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</si>
  <si>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</si>
  <si>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</si>
  <si>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</si>
  <si>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</si>
  <si>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</si>
  <si>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</si>
  <si>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</si>
  <si>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</si>
  <si>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</si>
  <si>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</si>
  <si>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</si>
  <si>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</si>
  <si>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</si>
  <si>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</si>
  <si>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</si>
  <si>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</si>
  <si>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</si>
  <si>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</si>
  <si>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</si>
  <si>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</si>
  <si>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</si>
  <si>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</si>
  <si>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</si>
  <si>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</si>
  <si>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</si>
  <si>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</si>
  <si>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</si>
  <si>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</si>
  <si>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</si>
  <si>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</si>
  <si>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</si>
  <si>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泰慕士</t>
  </si>
  <si>
    <t>www.lixinger.com/analytics/company/sz/001234/1234/detail</t>
  </si>
  <si>
    <t>汇绿生态</t>
  </si>
  <si>
    <t>www.lixinger.com/analytics/company/sz/001267/1267/detail</t>
  </si>
  <si>
    <t>运机集团</t>
  </si>
  <si>
    <t>www.lixinger.com/analytics/company/sz/001288/1288/detail</t>
  </si>
  <si>
    <t>长江材料</t>
  </si>
  <si>
    <t>www.lixinger.com/analytics/company/sz/001296/1296/detail</t>
  </si>
  <si>
    <t>粤海饲料</t>
  </si>
  <si>
    <t>www.lixinger.com/analytics/company/sz/001313/1313/detail</t>
  </si>
  <si>
    <t>三羊马</t>
  </si>
  <si>
    <t>www.lixinger.com/analytics/company/sz/001317/1317/detail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</si>
  <si>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</si>
  <si>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</si>
  <si>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</si>
  <si>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</si>
  <si>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</si>
  <si>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</si>
  <si>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</si>
  <si>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</si>
  <si>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</si>
  <si>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</si>
  <si>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</si>
  <si>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</si>
  <si>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</si>
  <si>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</si>
  <si>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</si>
  <si>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</si>
  <si>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</si>
  <si>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</si>
  <si>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</si>
  <si>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</si>
  <si>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</si>
  <si>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</si>
  <si>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</si>
  <si>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</si>
  <si>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</si>
  <si>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</si>
  <si>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</si>
  <si>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</si>
  <si>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</si>
  <si>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</si>
  <si>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</si>
  <si>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</si>
  <si>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</si>
  <si>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</si>
  <si>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</si>
  <si>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</si>
  <si>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</si>
  <si>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</si>
  <si>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</si>
  <si>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</si>
  <si>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</si>
  <si>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</si>
  <si>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</si>
  <si>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</si>
  <si>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</si>
  <si>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</si>
  <si>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</si>
  <si>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</si>
  <si>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</si>
  <si>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</si>
  <si>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</si>
  <si>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</si>
  <si>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</si>
  <si>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</si>
  <si>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</si>
  <si>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</si>
  <si>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</si>
  <si>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</si>
  <si>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</si>
  <si>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</si>
  <si>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</si>
  <si>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</si>
  <si>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</si>
  <si>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</si>
  <si>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</si>
  <si>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</si>
  <si>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</si>
  <si>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</si>
  <si>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</si>
  <si>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</si>
  <si>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</si>
  <si>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</si>
  <si>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</si>
  <si>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</si>
  <si>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</si>
  <si>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</si>
  <si>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</si>
  <si>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</si>
  <si>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</si>
  <si>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</si>
  <si>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</si>
  <si>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</si>
  <si>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</si>
  <si>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</si>
  <si>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</si>
  <si>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</si>
  <si>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</si>
  <si>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</si>
  <si>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</si>
  <si>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</si>
  <si>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</si>
  <si>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</si>
  <si>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</si>
  <si>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</si>
  <si>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</si>
  <si>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</si>
  <si>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</si>
  <si>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</si>
  <si>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</si>
  <si>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</si>
  <si>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</si>
  <si>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</si>
  <si>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</si>
  <si>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</si>
  <si>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</si>
  <si>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</si>
  <si>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</si>
  <si>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</si>
  <si>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</si>
  <si>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</si>
  <si>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</si>
  <si>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</si>
  <si>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</si>
  <si>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</si>
  <si>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</si>
  <si>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</si>
  <si>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</si>
  <si>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</si>
  <si>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</si>
  <si>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</si>
  <si>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</si>
  <si>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</si>
  <si>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</si>
  <si>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</si>
  <si>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</si>
  <si>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</si>
  <si>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</si>
  <si>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</si>
  <si>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</si>
  <si>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</si>
  <si>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</si>
  <si>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</si>
  <si>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</si>
  <si>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</si>
  <si>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</si>
  <si>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</si>
  <si>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</si>
  <si>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</si>
  <si>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</si>
  <si>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</si>
  <si>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</si>
  <si>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</si>
  <si>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</si>
  <si>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</si>
  <si>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</si>
  <si>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</si>
  <si>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</si>
  <si>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</si>
  <si>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</si>
  <si>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</si>
  <si>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</si>
  <si>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</si>
  <si>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</si>
  <si>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</si>
  <si>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</si>
  <si>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</si>
  <si>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</si>
  <si>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</si>
  <si>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</si>
  <si>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</si>
  <si>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</si>
  <si>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</si>
  <si>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</si>
  <si>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</si>
  <si>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</si>
  <si>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</si>
  <si>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</si>
  <si>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</si>
  <si>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</si>
  <si>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</si>
  <si>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</si>
  <si>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</si>
  <si>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</si>
  <si>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</si>
  <si>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</si>
  <si>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</si>
  <si>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</si>
  <si>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</si>
  <si>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</si>
  <si>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</si>
  <si>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</si>
  <si>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</si>
  <si>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</si>
  <si>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</si>
  <si>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</si>
  <si>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</si>
  <si>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</si>
  <si>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</si>
  <si>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</si>
  <si>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</si>
  <si>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</si>
  <si>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</si>
  <si>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</si>
  <si>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</si>
  <si>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</si>
  <si>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</si>
  <si>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</si>
  <si>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</si>
  <si>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</si>
  <si>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</si>
  <si>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</si>
  <si>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</si>
  <si>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</si>
  <si>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</si>
  <si>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</si>
  <si>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</si>
  <si>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</si>
  <si>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</si>
  <si>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</si>
  <si>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</si>
  <si>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</si>
  <si>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</si>
  <si>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</si>
  <si>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</si>
  <si>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</si>
  <si>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</si>
  <si>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</si>
  <si>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</si>
  <si>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</si>
  <si>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</si>
  <si>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</si>
  <si>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</si>
  <si>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</si>
  <si>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</si>
  <si>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</si>
  <si>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</si>
  <si>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</si>
  <si>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</si>
  <si>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</si>
  <si>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</si>
  <si>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</si>
  <si>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</si>
  <si>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</si>
  <si>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</si>
  <si>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</si>
  <si>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</si>
  <si>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</si>
  <si>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</si>
  <si>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</si>
  <si>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</si>
  <si>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</si>
  <si>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</si>
  <si>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</si>
  <si>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</si>
  <si>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</si>
  <si>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</si>
  <si>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</si>
  <si>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</si>
  <si>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</si>
  <si>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</si>
  <si>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</si>
  <si>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</si>
  <si>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</si>
  <si>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</si>
  <si>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</si>
  <si>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</si>
  <si>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</si>
  <si>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</si>
  <si>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</si>
  <si>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</si>
  <si>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</si>
  <si>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</si>
  <si>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</si>
  <si>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</si>
  <si>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</si>
  <si>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</si>
  <si>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</si>
  <si>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</si>
  <si>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</si>
  <si>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</si>
  <si>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</si>
  <si>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</si>
  <si>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</si>
  <si>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</si>
  <si>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</si>
  <si>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</si>
  <si>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</si>
  <si>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</si>
  <si>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</si>
  <si>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</si>
  <si>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</si>
  <si>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</si>
  <si>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</si>
  <si>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</si>
  <si>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</si>
  <si>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</si>
  <si>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</si>
  <si>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</si>
  <si>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</si>
  <si>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</si>
  <si>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</si>
  <si>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</si>
  <si>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</si>
  <si>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</si>
  <si>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</si>
  <si>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</si>
  <si>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</si>
  <si>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</si>
  <si>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</si>
  <si>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</si>
  <si>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</si>
  <si>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</si>
  <si>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</si>
  <si>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</si>
  <si>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</si>
  <si>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</si>
  <si>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</si>
  <si>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</si>
  <si>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</si>
  <si>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</si>
  <si>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</si>
  <si>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</si>
  <si>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</si>
  <si>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</si>
  <si>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</si>
  <si>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</si>
  <si>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</si>
  <si>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</si>
  <si>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</si>
  <si>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</si>
  <si>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</si>
  <si>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</si>
  <si>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</si>
  <si>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</si>
  <si>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</si>
  <si>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</si>
  <si>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</si>
  <si>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</si>
  <si>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</si>
  <si>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</si>
  <si>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</si>
  <si>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</si>
  <si>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</si>
  <si>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</si>
  <si>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</si>
  <si>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</si>
  <si>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</si>
  <si>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</si>
  <si>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</si>
  <si>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</si>
  <si>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</si>
  <si>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</si>
  <si>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</si>
  <si>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</si>
  <si>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</si>
  <si>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</si>
  <si>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</si>
  <si>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</si>
  <si>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</si>
  <si>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</si>
  <si>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</si>
  <si>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</si>
  <si>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</si>
  <si>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</si>
  <si>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</si>
  <si>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</si>
  <si>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</si>
  <si>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</si>
  <si>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</si>
  <si>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</si>
  <si>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</si>
  <si>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</si>
  <si>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</si>
  <si>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</si>
  <si>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</si>
  <si>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</si>
  <si>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</si>
  <si>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</si>
  <si>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</si>
  <si>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</si>
  <si>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</si>
  <si>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</si>
  <si>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</si>
  <si>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</si>
  <si>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</si>
  <si>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</si>
  <si>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</si>
  <si>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</si>
  <si>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</si>
  <si>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</si>
  <si>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</si>
  <si>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</si>
  <si>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</si>
  <si>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</si>
  <si>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</si>
  <si>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</si>
  <si>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</si>
  <si>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</si>
  <si>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</si>
  <si>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</si>
  <si>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</si>
  <si>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</si>
  <si>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</si>
  <si>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</si>
  <si>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</si>
  <si>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</si>
  <si>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</si>
  <si>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</si>
  <si>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</si>
  <si>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</si>
  <si>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</si>
  <si>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</si>
  <si>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</si>
  <si>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</si>
  <si>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</si>
  <si>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</si>
  <si>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</si>
  <si>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</si>
  <si>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</si>
  <si>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</si>
  <si>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</si>
  <si>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</si>
  <si>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</si>
  <si>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</si>
  <si>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</si>
  <si>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</si>
  <si>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</si>
  <si>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</si>
  <si>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</si>
  <si>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</si>
  <si>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</si>
  <si>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</si>
  <si>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</si>
  <si>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</si>
  <si>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</si>
  <si>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</si>
  <si>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</si>
  <si>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</si>
  <si>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</si>
  <si>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</si>
  <si>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</si>
  <si>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</si>
  <si>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</si>
  <si>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</si>
  <si>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</si>
  <si>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</si>
  <si>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</si>
  <si>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</si>
  <si>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</si>
  <si>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</si>
  <si>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</si>
  <si>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</si>
  <si>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</si>
  <si>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</si>
  <si>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</si>
  <si>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</si>
  <si>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</si>
  <si>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</si>
  <si>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</si>
  <si>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</si>
  <si>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</si>
  <si>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</si>
  <si>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</si>
  <si>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</si>
  <si>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</si>
  <si>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</si>
  <si>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</si>
  <si>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</si>
  <si>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</si>
  <si>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</si>
  <si>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</si>
  <si>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</si>
  <si>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</si>
  <si>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</si>
  <si>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</si>
  <si>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</si>
  <si>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</si>
  <si>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</si>
  <si>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</si>
  <si>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</si>
  <si>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</si>
  <si>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</si>
  <si>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</si>
  <si>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</si>
  <si>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</si>
  <si>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</si>
  <si>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</si>
  <si>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</si>
  <si>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</si>
  <si>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</si>
  <si>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</si>
  <si>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</si>
  <si>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</si>
  <si>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</si>
  <si>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</si>
  <si>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</si>
  <si>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</si>
  <si>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</si>
  <si>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</si>
  <si>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</si>
  <si>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</si>
  <si>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</si>
  <si>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</si>
  <si>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</si>
  <si>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</si>
  <si>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</si>
  <si>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</si>
  <si>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</si>
  <si>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</si>
  <si>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</si>
  <si>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</si>
  <si>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</si>
  <si>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</si>
  <si>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</si>
  <si>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</si>
  <si>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</si>
  <si>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</si>
  <si>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</si>
  <si>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</si>
  <si>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</si>
  <si>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</si>
  <si>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</si>
  <si>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</si>
  <si>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</si>
  <si>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</si>
  <si>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</si>
  <si>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</si>
  <si>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</si>
  <si>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</si>
  <si>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</si>
  <si>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</si>
  <si>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</si>
  <si>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</si>
  <si>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</si>
  <si>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</si>
  <si>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</si>
  <si>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</si>
  <si>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</si>
  <si>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</si>
  <si>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</si>
  <si>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</si>
  <si>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</si>
  <si>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</si>
  <si>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</si>
  <si>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</si>
  <si>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</si>
  <si>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</si>
  <si>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</si>
  <si>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</si>
  <si>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</si>
  <si>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</si>
  <si>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</si>
  <si>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</si>
  <si>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</si>
  <si>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</si>
  <si>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</si>
  <si>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</si>
  <si>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</si>
  <si>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</si>
  <si>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</si>
  <si>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</si>
  <si>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</si>
  <si>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</si>
  <si>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</si>
  <si>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</si>
  <si>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</si>
  <si>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</si>
  <si>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</si>
  <si>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</si>
  <si>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</si>
  <si>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</si>
  <si>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</si>
  <si>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</si>
  <si>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</si>
  <si>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</si>
  <si>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</si>
  <si>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</si>
  <si>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</si>
  <si>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</si>
  <si>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</si>
  <si>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</si>
  <si>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</si>
  <si>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</si>
  <si>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</si>
  <si>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</si>
  <si>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</si>
  <si>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</si>
  <si>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</si>
  <si>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</si>
  <si>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</si>
  <si>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</si>
  <si>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</si>
  <si>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</si>
  <si>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</si>
  <si>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</si>
  <si>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</si>
  <si>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</si>
  <si>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</si>
  <si>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</si>
  <si>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</si>
  <si>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</si>
  <si>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</si>
  <si>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</si>
  <si>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</si>
  <si>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</si>
  <si>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</si>
  <si>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</si>
  <si>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</si>
  <si>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</si>
  <si>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</si>
  <si>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</si>
  <si>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</si>
  <si>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</si>
  <si>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</si>
  <si>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</si>
  <si>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</si>
  <si>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</si>
  <si>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</si>
  <si>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</si>
  <si>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</si>
  <si>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</si>
  <si>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</si>
  <si>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</si>
  <si>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</si>
  <si>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</si>
  <si>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</si>
  <si>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</si>
  <si>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</si>
  <si>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</si>
  <si>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</si>
  <si>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</si>
  <si>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</si>
  <si>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</si>
  <si>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</si>
  <si>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</si>
  <si>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</si>
  <si>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</si>
  <si>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</si>
  <si>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</si>
  <si>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</si>
  <si>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</si>
  <si>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</si>
  <si>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</si>
  <si>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</si>
  <si>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</si>
  <si>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</si>
  <si>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</si>
  <si>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</si>
  <si>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</si>
  <si>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</si>
  <si>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</si>
  <si>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</si>
  <si>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</si>
  <si>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</si>
  <si>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</si>
  <si>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</si>
  <si>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</si>
  <si>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</si>
  <si>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</si>
  <si>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</si>
  <si>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</si>
  <si>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</si>
  <si>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</si>
  <si>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</si>
  <si>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</si>
  <si>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</si>
  <si>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</si>
  <si>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</si>
  <si>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</si>
  <si>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</si>
  <si>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</si>
  <si>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</si>
  <si>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</si>
  <si>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</si>
  <si>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</si>
  <si>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</si>
  <si>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</si>
  <si>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</si>
  <si>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</si>
  <si>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</si>
  <si>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</si>
  <si>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</si>
  <si>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</si>
  <si>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</si>
  <si>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</si>
  <si>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</si>
  <si>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</si>
  <si>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</si>
  <si>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</si>
  <si>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</si>
  <si>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</si>
  <si>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</si>
  <si>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</si>
  <si>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</si>
  <si>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</si>
  <si>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</si>
  <si>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</si>
  <si>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</si>
  <si>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</si>
  <si>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</si>
  <si>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</si>
  <si>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</si>
  <si>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</si>
  <si>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</si>
  <si>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</si>
  <si>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</si>
  <si>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</si>
  <si>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</si>
  <si>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</si>
  <si>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</si>
  <si>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</si>
  <si>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</si>
  <si>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</si>
  <si>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</si>
  <si>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</si>
  <si>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</si>
  <si>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</si>
  <si>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</si>
  <si>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</si>
  <si>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</si>
  <si>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</si>
  <si>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</si>
  <si>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</si>
  <si>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</si>
  <si>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</si>
  <si>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</si>
  <si>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</si>
  <si>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</si>
  <si>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</si>
  <si>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</si>
  <si>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</si>
  <si>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</si>
  <si>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</si>
  <si>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</si>
  <si>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</si>
  <si>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</si>
  <si>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</si>
  <si>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</si>
  <si>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</si>
  <si>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</si>
  <si>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</si>
  <si>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</si>
  <si>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</si>
  <si>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</si>
  <si>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</si>
  <si>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</si>
  <si>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</si>
  <si>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</si>
  <si>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</si>
  <si>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</si>
  <si>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</si>
  <si>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</si>
  <si>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</si>
  <si>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</si>
  <si>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</si>
  <si>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</si>
  <si>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</si>
  <si>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</si>
  <si>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</si>
  <si>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</si>
  <si>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</si>
  <si>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</si>
  <si>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</si>
  <si>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</si>
  <si>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</si>
  <si>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</si>
  <si>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</si>
  <si>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</si>
  <si>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</si>
  <si>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</si>
  <si>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</si>
  <si>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</si>
  <si>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</si>
  <si>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</si>
  <si>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</si>
  <si>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</si>
  <si>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</si>
  <si>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</si>
  <si>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</si>
  <si>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</si>
  <si>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</si>
  <si>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</si>
  <si>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</si>
  <si>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</si>
  <si>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</si>
  <si>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</si>
  <si>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</si>
  <si>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</si>
  <si>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</si>
  <si>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</si>
  <si>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</si>
  <si>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</si>
  <si>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</si>
  <si>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</si>
  <si>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</si>
  <si>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</si>
  <si>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</si>
  <si>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</si>
  <si>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</si>
  <si>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</si>
  <si>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</si>
  <si>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</si>
  <si>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</si>
  <si>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</si>
  <si>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</si>
  <si>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</si>
  <si>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</si>
  <si>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</si>
  <si>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</si>
  <si>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</si>
  <si>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</si>
  <si>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</si>
  <si>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</si>
  <si>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</si>
  <si>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</si>
  <si>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</si>
  <si>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</si>
  <si>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</si>
  <si>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</si>
  <si>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</si>
  <si>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</si>
  <si>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</si>
  <si>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</si>
  <si>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</si>
  <si>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</si>
  <si>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</si>
  <si>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</si>
  <si>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</si>
  <si>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</si>
  <si>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</si>
  <si>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</si>
  <si>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</si>
  <si>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</si>
  <si>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</si>
  <si>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</si>
  <si>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</si>
  <si>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</si>
  <si>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</si>
  <si>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</si>
  <si>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</si>
  <si>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</si>
  <si>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</si>
  <si>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</si>
  <si>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</si>
  <si>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</si>
  <si>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</si>
  <si>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</si>
  <si>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</si>
  <si>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</si>
  <si>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</si>
  <si>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</si>
  <si>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</si>
  <si>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</si>
  <si>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</si>
  <si>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</si>
  <si>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</si>
  <si>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</si>
  <si>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</si>
  <si>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</si>
  <si>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</si>
  <si>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</si>
  <si>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</si>
  <si>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</si>
  <si>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</si>
  <si>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</si>
  <si>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</si>
  <si>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</si>
  <si>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</si>
  <si>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</si>
  <si>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</si>
  <si>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</si>
  <si>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</si>
  <si>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</si>
  <si>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</si>
  <si>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</si>
  <si>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</si>
  <si>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</si>
  <si>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</si>
  <si>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</si>
  <si>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</si>
  <si>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</si>
  <si>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</si>
  <si>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</si>
  <si>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</si>
  <si>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</si>
  <si>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</si>
  <si>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</si>
  <si>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</si>
  <si>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</si>
  <si>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</si>
  <si>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</si>
  <si>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</si>
  <si>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</si>
  <si>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</si>
  <si>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</si>
  <si>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</si>
  <si>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</si>
  <si>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</si>
  <si>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</si>
  <si>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</si>
  <si>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</si>
  <si>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</si>
  <si>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</si>
  <si>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</si>
  <si>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</si>
  <si>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</si>
  <si>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</si>
  <si>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</si>
  <si>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</si>
  <si>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</si>
  <si>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</si>
  <si>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</si>
  <si>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</si>
  <si>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</si>
  <si>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</si>
  <si>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</si>
  <si>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</si>
  <si>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</si>
  <si>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</si>
  <si>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</si>
  <si>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</si>
  <si>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</si>
  <si>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</si>
  <si>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</si>
  <si>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</si>
  <si>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</si>
  <si>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</si>
  <si>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</si>
  <si>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</si>
  <si>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</si>
  <si>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</si>
  <si>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</si>
  <si>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</si>
  <si>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</si>
  <si>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</si>
  <si>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</si>
  <si>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</si>
  <si>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</si>
  <si>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</si>
  <si>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</si>
  <si>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</si>
  <si>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</si>
  <si>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</si>
  <si>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</si>
  <si>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</si>
  <si>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</si>
  <si>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</si>
  <si>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</si>
  <si>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</si>
  <si>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</si>
  <si>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</si>
  <si>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</si>
  <si>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</si>
  <si>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</si>
  <si>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</si>
  <si>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</si>
  <si>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</si>
  <si>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</si>
  <si>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</si>
  <si>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</si>
  <si>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</si>
  <si>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</si>
  <si>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</si>
  <si>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</si>
  <si>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</si>
  <si>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</si>
  <si>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</si>
  <si>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</si>
  <si>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</si>
  <si>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</si>
  <si>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</si>
  <si>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</si>
  <si>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</si>
  <si>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</si>
  <si>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</si>
  <si>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</si>
  <si>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</si>
  <si>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</si>
  <si>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</si>
  <si>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</si>
  <si>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</si>
  <si>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</si>
  <si>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</si>
  <si>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</si>
  <si>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</si>
  <si>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</si>
  <si>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</si>
  <si>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</si>
  <si>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</si>
  <si>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</si>
  <si>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</si>
  <si>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</si>
  <si>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</si>
  <si>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</si>
  <si>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</si>
  <si>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</si>
  <si>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</si>
  <si>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</si>
  <si>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</si>
  <si>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</si>
  <si>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</si>
  <si>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</si>
  <si>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</si>
  <si>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</si>
  <si>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</si>
  <si>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</si>
  <si>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</si>
  <si>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</si>
  <si>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</si>
  <si>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</si>
  <si>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</si>
  <si>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</si>
  <si>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</si>
  <si>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</si>
  <si>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</si>
  <si>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</si>
  <si>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</si>
  <si>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</si>
  <si>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</si>
  <si>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</si>
  <si>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</si>
  <si>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</si>
  <si>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</si>
  <si>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</si>
  <si>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</si>
  <si>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</si>
  <si>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</si>
  <si>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</si>
  <si>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</si>
  <si>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</si>
  <si>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</si>
  <si>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</si>
  <si>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</si>
  <si>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</si>
  <si>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</si>
  <si>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</si>
  <si>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</si>
  <si>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</si>
  <si>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</si>
  <si>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</si>
  <si>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</si>
  <si>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</si>
  <si>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</si>
  <si>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</si>
  <si>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</si>
  <si>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</si>
  <si>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</si>
  <si>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</si>
  <si>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</si>
  <si>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</si>
  <si>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</si>
  <si>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</si>
  <si>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</si>
  <si>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</si>
  <si>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</si>
  <si>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</si>
  <si>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</si>
  <si>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</si>
  <si>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</si>
  <si>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</si>
  <si>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</si>
  <si>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</si>
  <si>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</si>
  <si>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</si>
  <si>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</si>
  <si>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</si>
  <si>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</si>
  <si>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</si>
  <si>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</si>
  <si>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</si>
  <si>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</si>
  <si>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</si>
  <si>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</si>
  <si>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</si>
  <si>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</si>
  <si>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</si>
  <si>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</si>
  <si>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</si>
  <si>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</si>
  <si>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</si>
  <si>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</si>
  <si>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</si>
  <si>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</si>
  <si>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</si>
  <si>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</si>
  <si>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</si>
  <si>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</si>
  <si>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</si>
  <si>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</si>
  <si>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</si>
  <si>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</si>
  <si>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</si>
  <si>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</si>
  <si>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</si>
  <si>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</si>
  <si>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</si>
  <si>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</si>
  <si>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</si>
  <si>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</si>
  <si>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</si>
  <si>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</si>
  <si>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</si>
  <si>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</si>
  <si>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</si>
  <si>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</si>
  <si>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</si>
  <si>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</si>
  <si>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</si>
  <si>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</si>
  <si>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</si>
  <si>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</si>
  <si>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</si>
  <si>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</si>
  <si>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</si>
  <si>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</si>
  <si>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</si>
  <si>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</si>
  <si>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</si>
  <si>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</si>
  <si>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</si>
  <si>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</si>
  <si>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</si>
  <si>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</si>
  <si>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</si>
  <si>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</si>
  <si>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</si>
  <si>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</si>
  <si>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</si>
  <si>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</si>
  <si>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</si>
  <si>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</si>
  <si>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</si>
  <si>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</si>
  <si>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</si>
  <si>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</si>
  <si>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</si>
  <si>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</si>
  <si>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</si>
  <si>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</si>
  <si>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</si>
  <si>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</si>
  <si>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</si>
  <si>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</si>
  <si>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</si>
  <si>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</si>
  <si>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</si>
  <si>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</si>
  <si>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</si>
  <si>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</si>
  <si>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</si>
  <si>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</si>
  <si>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</si>
  <si>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</si>
  <si>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</si>
  <si>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</si>
  <si>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</si>
  <si>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</si>
  <si>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</si>
  <si>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</si>
  <si>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</si>
  <si>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</si>
  <si>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</si>
  <si>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</si>
  <si>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</si>
  <si>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</si>
  <si>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</si>
  <si>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</si>
  <si>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</si>
  <si>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</si>
  <si>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</si>
  <si>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</si>
  <si>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</si>
  <si>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</si>
  <si>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</si>
  <si>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</si>
  <si>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</si>
  <si>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</si>
  <si>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</si>
  <si>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</si>
  <si>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</si>
  <si>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</si>
  <si>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</si>
  <si>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</si>
  <si>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</si>
  <si>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</si>
  <si>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</si>
  <si>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</si>
  <si>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</si>
  <si>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</si>
  <si>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</si>
  <si>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</si>
  <si>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</si>
  <si>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</si>
  <si>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</si>
  <si>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</si>
  <si>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</si>
  <si>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</si>
  <si>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</si>
  <si>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</si>
  <si>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</si>
  <si>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</si>
  <si>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</si>
  <si>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</si>
  <si>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</si>
  <si>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</si>
  <si>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</si>
  <si>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</si>
  <si>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</si>
  <si>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</si>
  <si>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</si>
  <si>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</si>
  <si>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</si>
  <si>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</si>
  <si>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</si>
  <si>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</si>
  <si>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</si>
  <si>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</si>
  <si>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</si>
  <si>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</si>
  <si>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</si>
  <si>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</si>
  <si>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</si>
  <si>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</si>
  <si>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</si>
  <si>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</si>
  <si>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</si>
  <si>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</si>
  <si>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</si>
  <si>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</si>
  <si>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</si>
  <si>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</si>
  <si>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</si>
  <si>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</si>
  <si>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</si>
  <si>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</si>
  <si>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</si>
  <si>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</si>
  <si>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</si>
  <si>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</si>
  <si>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</si>
  <si>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</si>
  <si>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</si>
  <si>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</si>
  <si>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</si>
  <si>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</si>
  <si>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</si>
  <si>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</si>
  <si>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</si>
  <si>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</si>
  <si>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</si>
  <si>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</si>
  <si>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</si>
  <si>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</si>
  <si>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</si>
  <si>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</si>
  <si>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</si>
  <si>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</si>
  <si>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</si>
  <si>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</si>
  <si>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</si>
  <si>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</si>
  <si>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</si>
  <si>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</si>
  <si>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</si>
  <si>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</si>
  <si>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</si>
  <si>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</si>
  <si>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</si>
  <si>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</si>
  <si>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</si>
  <si>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</si>
  <si>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</si>
  <si>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</si>
  <si>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</si>
  <si>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</si>
  <si>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</si>
  <si>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</si>
  <si>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</si>
  <si>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</si>
  <si>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</si>
  <si>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</si>
  <si>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</si>
  <si>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</si>
  <si>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</si>
  <si>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</si>
  <si>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</si>
  <si>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</si>
  <si>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</si>
  <si>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</si>
  <si>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</si>
  <si>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</si>
  <si>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</si>
  <si>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</si>
  <si>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</si>
  <si>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</si>
  <si>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</si>
  <si>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</si>
  <si>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</si>
  <si>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</si>
  <si>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</si>
  <si>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</si>
  <si>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</si>
  <si>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</si>
  <si>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</si>
  <si>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</si>
  <si>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</si>
  <si>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</si>
  <si>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</si>
  <si>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</si>
  <si>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</si>
  <si>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</si>
  <si>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</si>
  <si>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</si>
  <si>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</si>
  <si>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</si>
  <si>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</si>
  <si>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</si>
  <si>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</si>
  <si>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</si>
  <si>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</si>
  <si>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</si>
  <si>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</si>
  <si>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</si>
  <si>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</si>
  <si>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</si>
  <si>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</si>
  <si>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</si>
  <si>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</si>
  <si>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</si>
  <si>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</si>
  <si>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</si>
  <si>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</si>
  <si>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</si>
  <si>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</si>
  <si>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</si>
  <si>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</si>
  <si>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</si>
  <si>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</si>
  <si>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</si>
  <si>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</si>
  <si>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</si>
  <si>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</si>
  <si>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</si>
  <si>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</si>
  <si>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</si>
  <si>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</si>
  <si>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</si>
  <si>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</si>
  <si>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</si>
  <si>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</si>
  <si>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</si>
  <si>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</si>
  <si>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</si>
  <si>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</si>
  <si>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</si>
  <si>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</si>
  <si>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</si>
  <si>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</si>
  <si>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</si>
  <si>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</si>
  <si>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</si>
  <si>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</si>
  <si>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</si>
  <si>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</si>
  <si>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</si>
  <si>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</si>
  <si>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</si>
  <si>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</si>
  <si>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</si>
  <si>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</si>
  <si>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</si>
  <si>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</si>
  <si>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</si>
  <si>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</si>
  <si>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</si>
  <si>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</si>
  <si>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</si>
  <si>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</si>
  <si>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</si>
  <si>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</si>
  <si>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</si>
  <si>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</si>
  <si>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</si>
  <si>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</si>
  <si>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</si>
  <si>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</si>
  <si>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</si>
  <si>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</si>
  <si>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</si>
  <si>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</si>
  <si>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</si>
  <si>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</si>
  <si>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</si>
  <si>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</si>
  <si>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</si>
  <si>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</si>
  <si>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</si>
  <si>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</si>
  <si>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</si>
  <si>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</si>
  <si>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</si>
  <si>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</si>
  <si>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</si>
  <si>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</si>
  <si>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</si>
  <si>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</si>
  <si>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</si>
  <si>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</si>
  <si>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</si>
  <si>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</si>
  <si>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</si>
  <si>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</si>
  <si>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</si>
  <si>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</si>
  <si>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</si>
  <si>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</si>
  <si>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</si>
  <si>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</si>
  <si>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</si>
  <si>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</si>
  <si>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</si>
  <si>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</si>
  <si>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</si>
  <si>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</si>
  <si>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</si>
  <si>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</si>
  <si>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</si>
  <si>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</si>
  <si>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</si>
  <si>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</si>
  <si>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</si>
  <si>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</si>
  <si>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</si>
  <si>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</si>
  <si>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</si>
  <si>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</si>
  <si>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</si>
  <si>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</si>
  <si>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</si>
  <si>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</si>
  <si>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</si>
  <si>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</si>
  <si>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</si>
  <si>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</si>
  <si>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</si>
  <si>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</si>
  <si>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</si>
  <si>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</si>
  <si>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</si>
  <si>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</si>
  <si>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</si>
  <si>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</si>
  <si>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</si>
  <si>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</si>
  <si>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</si>
  <si>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</si>
  <si>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</si>
  <si>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</si>
  <si>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</si>
  <si>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</si>
  <si>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</si>
  <si>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</si>
  <si>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</si>
  <si>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</si>
  <si>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</si>
  <si>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</si>
  <si>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</si>
  <si>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</si>
  <si>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</si>
  <si>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</si>
  <si>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</si>
  <si>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</si>
  <si>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</si>
  <si>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</si>
  <si>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</si>
  <si>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</si>
  <si>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</si>
  <si>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</si>
  <si>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</si>
  <si>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</si>
  <si>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</si>
  <si>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</si>
  <si>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</si>
  <si>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</si>
  <si>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</si>
  <si>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</si>
  <si>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</si>
  <si>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</si>
  <si>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</si>
  <si>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</si>
  <si>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</si>
  <si>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</si>
  <si>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</si>
  <si>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</si>
  <si>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</si>
  <si>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</si>
  <si>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</si>
  <si>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</si>
  <si>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</si>
  <si>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</si>
  <si>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</si>
  <si>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</si>
  <si>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</si>
  <si>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</si>
  <si>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</si>
  <si>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</si>
  <si>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</si>
  <si>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</si>
  <si>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</si>
  <si>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</si>
  <si>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</si>
  <si>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</si>
  <si>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</si>
  <si>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</si>
  <si>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</si>
  <si>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</si>
  <si>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</si>
  <si>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</si>
  <si>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</si>
  <si>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</si>
  <si>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</si>
  <si>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</si>
  <si>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</si>
  <si>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</si>
  <si>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</si>
  <si>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</si>
  <si>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</si>
  <si>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</si>
  <si>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</si>
  <si>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</si>
  <si>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</si>
  <si>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</si>
  <si>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</si>
  <si>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</si>
  <si>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</si>
  <si>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</si>
  <si>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</si>
  <si>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</si>
  <si>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</si>
  <si>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</si>
  <si>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</si>
  <si>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</si>
  <si>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</si>
  <si>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</si>
  <si>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</si>
  <si>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</si>
  <si>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</si>
  <si>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</si>
  <si>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</si>
  <si>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</si>
  <si>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</si>
  <si>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</si>
  <si>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</si>
  <si>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</si>
  <si>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</si>
  <si>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</si>
  <si>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</si>
  <si>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</si>
  <si>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</si>
  <si>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</si>
  <si>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</si>
  <si>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</si>
  <si>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</si>
  <si>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</si>
  <si>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</si>
  <si>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</si>
  <si>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</si>
  <si>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</si>
  <si>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</si>
  <si>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</si>
  <si>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</si>
  <si>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</si>
  <si>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</si>
  <si>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</si>
  <si>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</si>
  <si>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</si>
  <si>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</si>
  <si>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</si>
  <si>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</si>
  <si>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</si>
  <si>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</si>
  <si>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</si>
  <si>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</si>
  <si>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</si>
  <si>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</si>
  <si>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</si>
  <si>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</si>
  <si>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</si>
  <si>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</si>
  <si>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</si>
  <si>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</si>
  <si>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</si>
  <si>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</si>
  <si>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</si>
  <si>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</si>
  <si>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</si>
  <si>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</si>
  <si>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</si>
  <si>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</si>
  <si>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</si>
  <si>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</si>
  <si>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</si>
  <si>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</si>
  <si>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</si>
  <si>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</si>
  <si>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</si>
  <si>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</si>
  <si>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</si>
  <si>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</si>
  <si>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</si>
  <si>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</si>
  <si>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</si>
  <si>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</si>
  <si>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</si>
  <si>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</si>
  <si>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</si>
  <si>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</si>
  <si>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</si>
  <si>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</si>
  <si>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</si>
  <si>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</si>
  <si>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</si>
  <si>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</si>
  <si>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</si>
  <si>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</si>
  <si>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</si>
  <si>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</si>
  <si>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</si>
  <si>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</si>
  <si>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</si>
  <si>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</si>
  <si>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</si>
  <si>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</si>
  <si>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</si>
  <si>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</si>
  <si>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</si>
  <si>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</si>
  <si>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</si>
  <si>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</si>
  <si>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</si>
  <si>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</si>
  <si>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</si>
  <si>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</si>
  <si>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</si>
  <si>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</si>
  <si>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</si>
  <si>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</si>
  <si>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</si>
  <si>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</si>
  <si>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</si>
  <si>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</si>
  <si>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</si>
  <si>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</si>
  <si>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</si>
  <si>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</si>
  <si>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</si>
  <si>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</si>
  <si>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</si>
  <si>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</si>
  <si>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</si>
  <si>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</si>
  <si>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</si>
  <si>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</si>
  <si>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</si>
  <si>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</si>
  <si>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</si>
  <si>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</si>
  <si>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</si>
  <si>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</si>
  <si>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</si>
  <si>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</si>
  <si>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</si>
  <si>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</si>
  <si>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</si>
  <si>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</si>
  <si>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</si>
  <si>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</si>
  <si>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</si>
  <si>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</si>
  <si>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</si>
  <si>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</si>
  <si>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</si>
  <si>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</si>
  <si>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</si>
  <si>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</si>
  <si>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</si>
  <si>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</si>
  <si>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</si>
  <si>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</si>
  <si>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</si>
  <si>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</si>
  <si>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</si>
  <si>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</si>
  <si>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</si>
  <si>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</si>
  <si>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</si>
  <si>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</si>
  <si>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</si>
  <si>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</si>
  <si>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</si>
  <si>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</si>
  <si>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</si>
  <si>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</si>
  <si>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</si>
  <si>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</si>
  <si>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</si>
  <si>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</si>
  <si>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</si>
  <si>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</si>
  <si>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</si>
  <si>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</si>
  <si>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</si>
  <si>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</si>
  <si>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</si>
  <si>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</si>
  <si>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</si>
  <si>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</si>
  <si>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</si>
  <si>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</si>
  <si>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</si>
  <si>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</si>
  <si>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</si>
  <si>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</si>
  <si>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</si>
  <si>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</si>
  <si>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</si>
  <si>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</si>
  <si>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</si>
  <si>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</si>
  <si>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</si>
  <si>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</si>
  <si>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</si>
  <si>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</si>
  <si>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</si>
  <si>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</si>
  <si>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</si>
  <si>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</si>
  <si>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</si>
  <si>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</si>
  <si>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</si>
  <si>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</si>
  <si>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</si>
  <si>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</si>
  <si>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</si>
  <si>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</si>
  <si>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</si>
  <si>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</si>
  <si>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</si>
  <si>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</si>
  <si>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</si>
  <si>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</si>
  <si>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</si>
  <si>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</si>
  <si>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</si>
  <si>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</si>
  <si>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</si>
  <si>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</si>
  <si>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</si>
  <si>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</si>
  <si>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</si>
  <si>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</si>
  <si>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</si>
  <si>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</si>
  <si>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</si>
  <si>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</si>
  <si>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</si>
  <si>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</si>
  <si>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</si>
  <si>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</si>
  <si>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</si>
  <si>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</si>
  <si>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</si>
  <si>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</si>
  <si>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</si>
  <si>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</si>
  <si>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</si>
  <si>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</si>
  <si>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</si>
  <si>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</si>
  <si>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</si>
  <si>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</si>
  <si>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</si>
  <si>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</si>
  <si>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</si>
  <si>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</si>
  <si>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</si>
  <si>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</si>
  <si>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</si>
  <si>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</si>
  <si>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</si>
  <si>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</si>
  <si>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</si>
  <si>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</si>
  <si>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</si>
  <si>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</si>
  <si>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</si>
  <si>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</si>
  <si>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</si>
  <si>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</si>
  <si>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</si>
  <si>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</si>
  <si>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</si>
  <si>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</si>
  <si>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</si>
  <si>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</si>
  <si>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</si>
  <si>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</si>
  <si>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</si>
  <si>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</si>
  <si>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</si>
  <si>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</si>
  <si>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</si>
  <si>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</si>
  <si>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</si>
  <si>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</si>
  <si>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</si>
  <si>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</si>
  <si>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</si>
  <si>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</si>
  <si>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</si>
  <si>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</si>
  <si>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</si>
  <si>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</si>
  <si>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</si>
  <si>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</si>
  <si>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</si>
  <si>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</si>
  <si>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</si>
  <si>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</si>
  <si>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</si>
  <si>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</si>
  <si>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</si>
  <si>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</si>
  <si>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</si>
  <si>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</si>
  <si>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</si>
  <si>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</si>
  <si>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</si>
  <si>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</si>
  <si>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</si>
  <si>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</si>
  <si>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</si>
  <si>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</si>
  <si>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</si>
  <si>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</si>
  <si>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</si>
  <si>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</si>
  <si>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</si>
  <si>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</si>
  <si>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</si>
  <si>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</si>
  <si>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</si>
  <si>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</si>
  <si>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</si>
  <si>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</si>
  <si>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</si>
  <si>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</si>
  <si>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</si>
  <si>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</si>
  <si>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</si>
  <si>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</si>
  <si>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</si>
  <si>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</si>
  <si>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</si>
  <si>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</si>
  <si>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</si>
  <si>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</si>
  <si>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</si>
  <si>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</si>
  <si>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</si>
  <si>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</si>
  <si>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</si>
  <si>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</si>
  <si>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</si>
  <si>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</si>
  <si>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</si>
  <si>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</si>
  <si>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</si>
  <si>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</si>
  <si>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</si>
  <si>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</si>
  <si>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</si>
  <si>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</si>
  <si>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</si>
  <si>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</si>
  <si>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</si>
  <si>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</si>
  <si>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</si>
  <si>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</si>
  <si>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</si>
  <si>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</si>
  <si>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</si>
  <si>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</si>
  <si>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</si>
  <si>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</si>
  <si>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</si>
  <si>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</si>
  <si>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</si>
  <si>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</si>
  <si>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</si>
  <si>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</si>
  <si>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</si>
  <si>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</si>
  <si>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</si>
  <si>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</si>
  <si>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</si>
  <si>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</si>
  <si>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</si>
  <si>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</si>
  <si>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</si>
  <si>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</si>
  <si>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</si>
  <si>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</si>
  <si>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</si>
  <si>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</si>
  <si>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</si>
  <si>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</si>
  <si>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</si>
  <si>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</si>
  <si>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</si>
  <si>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</si>
  <si>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</si>
  <si>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</si>
  <si>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</si>
  <si>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</si>
  <si>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</si>
  <si>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</si>
  <si>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</si>
  <si>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</si>
  <si>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</si>
  <si>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</si>
  <si>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</si>
  <si>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</si>
  <si>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</si>
  <si>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</si>
  <si>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</si>
  <si>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</si>
  <si>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</si>
  <si>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</si>
  <si>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</si>
  <si>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</si>
  <si>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</si>
  <si>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</si>
  <si>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</si>
  <si>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</si>
  <si>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</si>
  <si>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</si>
  <si>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</si>
  <si>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</si>
  <si>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</si>
  <si>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</si>
  <si>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</si>
  <si>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</si>
  <si>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</si>
  <si>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</si>
  <si>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</si>
  <si>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</si>
  <si>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</si>
  <si>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</si>
  <si>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</si>
  <si>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</si>
  <si>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</si>
  <si>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</si>
  <si>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</si>
  <si>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</si>
  <si>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</si>
  <si>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</si>
  <si>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</si>
  <si>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</si>
  <si>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</si>
  <si>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</si>
  <si>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</si>
  <si>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</si>
  <si>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</si>
  <si>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</si>
  <si>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</si>
  <si>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</si>
  <si>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</si>
  <si>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</si>
  <si>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</si>
  <si>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</si>
  <si>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</si>
  <si>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</si>
  <si>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</si>
  <si>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</si>
  <si>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</si>
  <si>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</si>
  <si>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</si>
  <si>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</si>
  <si>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</si>
  <si>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</si>
  <si>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</si>
  <si>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</si>
  <si>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</si>
  <si>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</si>
  <si>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</si>
  <si>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</si>
  <si>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</si>
  <si>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</si>
  <si>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</si>
  <si>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</si>
  <si>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</si>
  <si>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</si>
  <si>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</si>
  <si>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</si>
  <si>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</si>
  <si>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</si>
  <si>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</si>
  <si>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</si>
  <si>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</si>
  <si>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</si>
  <si>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</si>
  <si>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</si>
  <si>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</si>
  <si>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</si>
  <si>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</si>
  <si>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</si>
  <si>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</si>
  <si>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</si>
  <si>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</si>
  <si>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</si>
  <si>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</si>
  <si>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</si>
  <si>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</si>
  <si>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</si>
  <si>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</si>
  <si>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</si>
  <si>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</si>
  <si>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</si>
  <si>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</si>
  <si>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</si>
  <si>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</si>
  <si>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</si>
  <si>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</si>
  <si>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</si>
  <si>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</si>
  <si>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</si>
  <si>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</si>
  <si>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</si>
  <si>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</si>
  <si>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</si>
  <si>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</si>
  <si>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</si>
  <si>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</si>
  <si>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</si>
  <si>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</si>
  <si>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</si>
  <si>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</si>
  <si>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</si>
  <si>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</si>
  <si>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</si>
  <si>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</si>
  <si>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</si>
  <si>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</si>
  <si>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</si>
  <si>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</si>
  <si>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</si>
  <si>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</si>
  <si>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</si>
  <si>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</si>
  <si>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</si>
  <si>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</si>
  <si>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</si>
  <si>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</si>
  <si>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</si>
  <si>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</si>
  <si>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</si>
  <si>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</si>
  <si>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</si>
  <si>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</si>
  <si>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</si>
  <si>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</si>
  <si>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</si>
  <si>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</si>
  <si>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</si>
  <si>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</si>
  <si>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</si>
  <si>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</si>
  <si>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</si>
  <si>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</si>
  <si>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</si>
  <si>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</si>
  <si>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</si>
  <si>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</si>
  <si>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</si>
  <si>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</si>
  <si>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</si>
  <si>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</si>
  <si>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</si>
  <si>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</si>
  <si>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</si>
  <si>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</si>
  <si>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</si>
  <si>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</si>
  <si>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</si>
  <si>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</si>
  <si>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</si>
  <si>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</si>
  <si>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</si>
  <si>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</si>
  <si>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</si>
  <si>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</si>
  <si>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</si>
  <si>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</si>
  <si>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</si>
  <si>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</si>
  <si>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</si>
  <si>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</si>
  <si>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</si>
  <si>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</si>
  <si>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</si>
  <si>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</si>
  <si>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</si>
  <si>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</si>
  <si>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</si>
  <si>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</si>
  <si>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</si>
  <si>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</si>
  <si>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</si>
  <si>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</si>
  <si>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</si>
  <si>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</si>
  <si>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</si>
  <si>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</si>
  <si>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</si>
  <si>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</si>
  <si>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</si>
  <si>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</si>
  <si>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</si>
  <si>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</si>
  <si>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</si>
  <si>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</si>
  <si>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</si>
  <si>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</si>
  <si>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</si>
  <si>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</si>
  <si>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</si>
  <si>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</si>
  <si>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</si>
  <si>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</si>
  <si>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</si>
  <si>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</si>
  <si>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</si>
  <si>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</si>
  <si>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</si>
  <si>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</si>
  <si>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</si>
  <si>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</si>
  <si>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</si>
  <si>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</si>
  <si>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</si>
  <si>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</si>
  <si>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</si>
  <si>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</si>
  <si>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</si>
  <si>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</si>
  <si>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</si>
  <si>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</si>
  <si>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</si>
  <si>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</si>
  <si>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</si>
  <si>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</si>
  <si>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</si>
  <si>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</si>
  <si>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</si>
  <si>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</si>
  <si>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</si>
  <si>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</si>
  <si>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</si>
  <si>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</si>
  <si>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</si>
  <si>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</si>
  <si>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</si>
  <si>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</si>
  <si>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</si>
  <si>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</si>
  <si>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</si>
  <si>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</si>
  <si>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</si>
  <si>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</si>
  <si>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</si>
  <si>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</si>
  <si>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</si>
  <si>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</si>
  <si>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</si>
  <si>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</si>
  <si>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</si>
  <si>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</si>
  <si>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</si>
  <si>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</si>
  <si>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</si>
  <si>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</si>
  <si>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</si>
  <si>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</si>
  <si>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</si>
  <si>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</si>
  <si>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</si>
  <si>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</si>
  <si>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</si>
  <si>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</si>
  <si>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</si>
  <si>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</si>
  <si>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</si>
  <si>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</si>
  <si>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</si>
  <si>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</si>
  <si>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</si>
  <si>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</si>
  <si>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</si>
  <si>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</si>
  <si>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</si>
  <si>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</si>
  <si>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</si>
  <si>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</si>
  <si>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</si>
  <si>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</si>
  <si>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</si>
  <si>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</si>
  <si>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</si>
  <si>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</si>
  <si>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</si>
  <si>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</si>
  <si>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</si>
  <si>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</si>
  <si>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</si>
  <si>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</si>
  <si>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</si>
  <si>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</si>
  <si>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</si>
  <si>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</si>
  <si>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</si>
  <si>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</si>
  <si>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</si>
  <si>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</si>
  <si>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</si>
  <si>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</si>
  <si>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</si>
  <si>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</si>
  <si>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</si>
  <si>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</si>
  <si>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</si>
  <si>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</si>
  <si>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</si>
  <si>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</si>
  <si>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</si>
  <si>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</si>
  <si>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</si>
  <si>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</si>
  <si>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</si>
  <si>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</si>
  <si>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</si>
  <si>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</si>
  <si>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</si>
  <si>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</si>
  <si>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</si>
  <si>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</si>
  <si>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</si>
  <si>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</si>
  <si>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</si>
  <si>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</si>
  <si>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</si>
  <si>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</si>
  <si>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</si>
  <si>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</si>
  <si>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</si>
  <si>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</si>
  <si>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</si>
  <si>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</si>
  <si>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</si>
  <si>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</si>
  <si>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</si>
  <si>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</si>
  <si>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</si>
  <si>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</si>
  <si>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</si>
  <si>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</si>
  <si>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</si>
  <si>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</si>
  <si>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</si>
  <si>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</si>
  <si>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</si>
  <si>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</si>
  <si>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</si>
  <si>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</si>
  <si>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</si>
  <si>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</si>
  <si>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</si>
  <si>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</si>
  <si>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</si>
  <si>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</si>
  <si>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</si>
  <si>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</si>
  <si>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</si>
  <si>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</si>
  <si>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</si>
  <si>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</si>
  <si>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</si>
  <si>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</si>
  <si>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</si>
  <si>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</si>
  <si>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</si>
  <si>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</si>
  <si>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</si>
  <si>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</si>
  <si>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</si>
  <si>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</si>
  <si>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</si>
  <si>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</si>
  <si>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</si>
  <si>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</si>
  <si>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</si>
  <si>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</si>
  <si>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</si>
  <si>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</si>
  <si>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</si>
  <si>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</si>
  <si>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</si>
  <si>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</si>
  <si>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</si>
  <si>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</si>
  <si>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</si>
  <si>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</si>
  <si>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</si>
  <si>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</si>
  <si>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</si>
  <si>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</si>
  <si>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</si>
  <si>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</si>
  <si>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</si>
  <si>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</si>
  <si>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</si>
  <si>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</si>
  <si>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</si>
  <si>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</si>
  <si>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</si>
  <si>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</si>
  <si>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</si>
  <si>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</si>
  <si>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</si>
  <si>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</si>
  <si>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</si>
  <si>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</si>
  <si>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</si>
  <si>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</si>
  <si>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</si>
  <si>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</si>
  <si>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</si>
  <si>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</si>
  <si>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</si>
  <si>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</si>
  <si>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</si>
  <si>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</si>
  <si>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</si>
  <si>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</si>
  <si>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</si>
  <si>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</si>
  <si>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</si>
  <si>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</si>
  <si>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</si>
  <si>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</si>
  <si>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</si>
  <si>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</si>
  <si>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</si>
  <si>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</si>
  <si>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</si>
  <si>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</si>
  <si>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</si>
  <si>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</si>
  <si>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</si>
  <si>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</si>
  <si>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</si>
  <si>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</si>
  <si>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</si>
  <si>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</si>
  <si>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</si>
  <si>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</si>
  <si>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</si>
  <si>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</si>
  <si>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</si>
  <si>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</si>
  <si>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</si>
  <si>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</si>
  <si>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</si>
  <si>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</si>
  <si>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</si>
  <si>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</si>
  <si>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</si>
  <si>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</si>
  <si>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</si>
  <si>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</si>
  <si>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</si>
  <si>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</si>
  <si>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</si>
  <si>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</si>
  <si>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</si>
  <si>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</si>
  <si>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</si>
  <si>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</si>
  <si>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</si>
  <si>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</si>
  <si>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</si>
  <si>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</si>
  <si>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</si>
  <si>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</si>
  <si>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</si>
  <si>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</si>
  <si>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</si>
  <si>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</si>
  <si>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</si>
  <si>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</si>
  <si>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</si>
  <si>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</si>
  <si>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</si>
  <si>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</si>
  <si>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</si>
  <si>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</si>
  <si>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</si>
  <si>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</si>
  <si>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</si>
  <si>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</si>
  <si>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</si>
  <si>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</si>
  <si>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</si>
  <si>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</si>
  <si>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</si>
  <si>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</si>
  <si>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</si>
  <si>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</si>
  <si>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</si>
  <si>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</si>
  <si>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</si>
  <si>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</si>
  <si>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</si>
  <si>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</si>
  <si>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</si>
  <si>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</si>
  <si>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</si>
  <si>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</si>
  <si>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</si>
  <si>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</si>
  <si>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</si>
  <si>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</si>
  <si>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</si>
  <si>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</si>
  <si>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</si>
  <si>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</si>
  <si>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</si>
  <si>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</si>
  <si>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</si>
  <si>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</si>
  <si>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</si>
  <si>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</si>
  <si>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</si>
  <si>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</si>
  <si>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</si>
  <si>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</si>
  <si>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</si>
  <si>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</si>
  <si>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</si>
  <si>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</si>
  <si>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</si>
  <si>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</si>
  <si>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</si>
  <si>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</si>
  <si>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</si>
  <si>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</si>
  <si>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</si>
  <si>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</si>
  <si>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</si>
  <si>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</si>
  <si>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</si>
  <si>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</si>
  <si>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</si>
  <si>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</si>
  <si>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</si>
  <si>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</si>
  <si>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</si>
  <si>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</si>
  <si>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</si>
  <si>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</si>
  <si>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</si>
  <si>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</si>
  <si>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</si>
  <si>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</si>
  <si>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</si>
  <si>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</si>
  <si>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</si>
  <si>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</si>
  <si>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</si>
  <si>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</si>
  <si>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</si>
  <si>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</si>
  <si>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</si>
  <si>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</si>
  <si>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</si>
  <si>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</si>
  <si>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</si>
  <si>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</si>
  <si>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</si>
  <si>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</si>
  <si>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</si>
  <si>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</si>
  <si>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</si>
  <si>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</si>
  <si>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</si>
  <si>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</si>
  <si>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</si>
  <si>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</si>
  <si>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</si>
  <si>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</si>
  <si>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</si>
  <si>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</si>
  <si>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</si>
  <si>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</si>
  <si>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</si>
  <si>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</si>
  <si>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</si>
  <si>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</si>
  <si>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</si>
  <si>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</si>
  <si>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</si>
  <si>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</si>
  <si>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</si>
  <si>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</si>
  <si>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</si>
  <si>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</si>
  <si>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</si>
  <si>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</si>
  <si>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</si>
  <si>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</si>
  <si>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</si>
  <si>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</si>
  <si>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</si>
  <si>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</si>
  <si>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</si>
  <si>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</si>
  <si>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</si>
  <si>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</si>
  <si>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</si>
  <si>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</si>
  <si>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</si>
  <si>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</si>
  <si>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</si>
  <si>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</si>
  <si>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</si>
  <si>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</si>
  <si>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</si>
  <si>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</si>
  <si>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</si>
  <si>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</si>
  <si>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</si>
  <si>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</si>
  <si>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</si>
  <si>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</si>
  <si>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</si>
  <si>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</si>
  <si>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</si>
  <si>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</si>
  <si>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</si>
  <si>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</si>
  <si>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</si>
  <si>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</si>
  <si>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</si>
  <si>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</si>
  <si>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</si>
  <si>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</si>
  <si>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</si>
  <si>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</si>
  <si>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</si>
  <si>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</si>
  <si>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</si>
  <si>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</si>
  <si>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</si>
  <si>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</si>
  <si>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</si>
  <si>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</si>
  <si>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</si>
  <si>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</si>
  <si>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</si>
  <si>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</si>
  <si>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</si>
  <si>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</si>
  <si>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</si>
  <si>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</si>
  <si>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</si>
  <si>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</si>
  <si>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</si>
  <si>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</si>
  <si>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</si>
  <si>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</si>
  <si>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</si>
  <si>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</si>
  <si>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</si>
  <si>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</si>
  <si>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</si>
  <si>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</si>
  <si>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</si>
  <si>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</si>
  <si>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</si>
  <si>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</si>
  <si>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</si>
  <si>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</si>
  <si>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</si>
  <si>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</si>
  <si>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</si>
  <si>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</si>
  <si>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</si>
  <si>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</si>
  <si>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</si>
  <si>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</si>
  <si>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</si>
  <si>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</si>
  <si>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</si>
  <si>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</si>
  <si>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</si>
  <si>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</si>
  <si>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</si>
  <si>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</si>
  <si>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</si>
  <si>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</si>
  <si>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</si>
  <si>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</si>
  <si>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</si>
  <si>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</si>
  <si>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</si>
  <si>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</si>
  <si>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</si>
  <si>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</si>
  <si>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</si>
  <si>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</si>
  <si>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</si>
  <si>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</si>
  <si>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</si>
  <si>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</si>
  <si>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</si>
  <si>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</si>
  <si>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</si>
  <si>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</si>
  <si>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</si>
  <si>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</si>
  <si>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</si>
  <si>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</si>
  <si>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</si>
  <si>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</si>
  <si>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</si>
  <si>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</si>
  <si>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</si>
  <si>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</si>
  <si>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</si>
  <si>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</si>
  <si>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</si>
  <si>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</si>
  <si>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</si>
  <si>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</si>
  <si>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</si>
  <si>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</si>
  <si>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</si>
  <si>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</si>
  <si>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</si>
  <si>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</si>
  <si>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</si>
  <si>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</si>
  <si>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</si>
  <si>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</si>
  <si>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</si>
  <si>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</si>
  <si>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</si>
  <si>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</si>
  <si>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</si>
  <si>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</si>
  <si>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</si>
  <si>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</si>
  <si>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</si>
  <si>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</si>
  <si>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</si>
  <si>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</si>
  <si>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</si>
  <si>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</si>
  <si>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</si>
  <si>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</si>
  <si>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</si>
  <si>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</si>
  <si>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</si>
  <si>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</si>
  <si>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</si>
  <si>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</si>
  <si>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</si>
  <si>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</si>
  <si>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</si>
  <si>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</si>
  <si>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</si>
  <si>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</si>
  <si>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</si>
  <si>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</si>
  <si>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</si>
  <si>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</si>
  <si>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</si>
  <si>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</si>
  <si>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</si>
  <si>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</si>
  <si>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</si>
  <si>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</si>
  <si>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</si>
  <si>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</si>
  <si>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</si>
  <si>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</si>
  <si>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</si>
  <si>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</si>
  <si>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</si>
  <si>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</si>
  <si>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</si>
  <si>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</si>
  <si>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</si>
  <si>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</si>
  <si>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</si>
  <si>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</si>
  <si>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</si>
  <si>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</si>
  <si>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</si>
  <si>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</si>
  <si>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</si>
  <si>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</si>
  <si>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</si>
  <si>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</si>
  <si>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</si>
  <si>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</si>
  <si>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</si>
  <si>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</si>
  <si>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</si>
  <si>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</si>
  <si>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</si>
  <si>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</si>
  <si>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</si>
  <si>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</si>
  <si>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</si>
  <si>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</si>
  <si>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</si>
  <si>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</si>
  <si>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</si>
  <si>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</si>
  <si>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</si>
  <si>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</si>
  <si>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</si>
  <si>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</si>
  <si>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</si>
  <si>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</si>
  <si>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</si>
  <si>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</si>
  <si>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</si>
  <si>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</si>
  <si>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</si>
  <si>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</si>
  <si>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</si>
  <si>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</si>
  <si>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</si>
  <si>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</si>
  <si>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</si>
  <si>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</si>
  <si>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</si>
  <si>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</si>
  <si>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</si>
  <si>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</si>
  <si>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</si>
  <si>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</si>
  <si>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</si>
  <si>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</si>
  <si>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</si>
  <si>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</si>
  <si>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</si>
  <si>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</si>
  <si>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</si>
  <si>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</si>
  <si>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</si>
  <si>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</si>
  <si>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</si>
  <si>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</si>
  <si>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</si>
  <si>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</si>
  <si>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</si>
  <si>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</si>
  <si>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</si>
  <si>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</si>
  <si>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</si>
  <si>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</si>
  <si>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</si>
  <si>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</si>
  <si>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</si>
  <si>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</si>
  <si>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</si>
  <si>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</si>
  <si>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</si>
  <si>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</si>
  <si>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</si>
  <si>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</si>
  <si>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</si>
  <si>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</si>
  <si>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</si>
  <si>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</si>
  <si>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</si>
  <si>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</si>
  <si>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</si>
  <si>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</si>
  <si>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</si>
  <si>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</si>
  <si>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</si>
  <si>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</si>
  <si>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</si>
  <si>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</si>
  <si>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</si>
  <si>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</si>
  <si>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</si>
  <si>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</si>
  <si>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</si>
  <si>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</si>
  <si>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</si>
  <si>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</si>
  <si>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</si>
  <si>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</si>
  <si>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</si>
  <si>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</si>
  <si>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</si>
  <si>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</si>
  <si>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</si>
  <si>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</si>
  <si>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</si>
  <si>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</si>
  <si>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</si>
  <si>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</si>
  <si>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</si>
  <si>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</si>
  <si>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</si>
  <si>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</si>
  <si>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</si>
  <si>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</si>
  <si>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</si>
  <si>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</si>
  <si>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</si>
  <si>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</si>
  <si>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</si>
  <si>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</si>
  <si>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</si>
  <si>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</si>
  <si>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</si>
  <si>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</si>
  <si>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</si>
  <si>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</si>
  <si>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</si>
  <si>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</si>
  <si>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</si>
  <si>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</si>
  <si>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</si>
  <si>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</si>
  <si>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</si>
  <si>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</si>
  <si>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</si>
  <si>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</si>
  <si>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</si>
  <si>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</si>
  <si>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</si>
  <si>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</si>
  <si>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</si>
  <si>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</si>
  <si>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</si>
  <si>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</si>
  <si>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</si>
  <si>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</si>
  <si>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</si>
  <si>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</si>
  <si>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</si>
  <si>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</si>
  <si>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</si>
  <si>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</si>
  <si>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</si>
  <si>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</si>
  <si>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</si>
  <si>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</si>
  <si>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</si>
  <si>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</si>
  <si>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</si>
  <si>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</si>
  <si>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</si>
  <si>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</si>
  <si>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</si>
  <si>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</si>
  <si>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</si>
  <si>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</si>
  <si>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</si>
  <si>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</si>
  <si>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</si>
  <si>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</si>
  <si>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</si>
  <si>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</si>
  <si>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</si>
  <si>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</si>
  <si>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</si>
  <si>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</si>
  <si>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</si>
  <si>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</si>
  <si>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</si>
  <si>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</si>
  <si>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</si>
  <si>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</si>
  <si>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</si>
  <si>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</si>
  <si>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</si>
  <si>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</si>
  <si>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</si>
  <si>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</si>
  <si>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</si>
  <si>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</si>
  <si>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</si>
  <si>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</si>
  <si>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</si>
  <si>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</si>
  <si>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</si>
  <si>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</si>
  <si>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</si>
  <si>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</si>
  <si>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</si>
  <si>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</si>
  <si>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</si>
  <si>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</si>
  <si>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</si>
  <si>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</si>
  <si>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</si>
  <si>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</si>
  <si>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</si>
  <si>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</si>
  <si>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</si>
  <si>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</si>
  <si>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</si>
  <si>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</si>
  <si>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</si>
  <si>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</si>
  <si>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</si>
  <si>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</si>
  <si>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</si>
  <si>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</si>
  <si>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</si>
  <si>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</si>
  <si>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</si>
  <si>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</si>
  <si>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</si>
  <si>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</si>
  <si>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</si>
  <si>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</si>
  <si>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</si>
  <si>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</si>
  <si>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</si>
  <si>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</si>
  <si>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</si>
  <si>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</si>
  <si>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</si>
  <si>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</si>
  <si>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</si>
  <si>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</si>
  <si>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</si>
  <si>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</si>
  <si>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</si>
  <si>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</si>
  <si>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</si>
  <si>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</si>
  <si>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</si>
  <si>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</si>
  <si>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</si>
  <si>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</si>
  <si>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</si>
  <si>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</si>
  <si>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</si>
  <si>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</si>
  <si>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</si>
  <si>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</si>
  <si>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</si>
  <si>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</si>
  <si>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</si>
  <si>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</si>
  <si>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</si>
  <si>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</si>
  <si>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</si>
  <si>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</si>
  <si>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</si>
  <si>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</si>
  <si>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</si>
  <si>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</si>
  <si>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</si>
  <si>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</si>
  <si>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</si>
  <si>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</si>
  <si>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</si>
  <si>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</si>
  <si>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</si>
  <si>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</si>
  <si>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</si>
  <si>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</si>
  <si>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</si>
  <si>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</si>
  <si>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</si>
  <si>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</si>
  <si>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</si>
  <si>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</si>
  <si>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</si>
  <si>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</si>
  <si>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</si>
  <si>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</si>
  <si>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</si>
  <si>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</si>
  <si>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</si>
  <si>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</si>
  <si>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</si>
  <si>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</si>
  <si>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</si>
  <si>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</si>
  <si>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</si>
  <si>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</si>
  <si>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</si>
  <si>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</si>
  <si>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</si>
  <si>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</si>
  <si>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</si>
  <si>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</si>
  <si>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</si>
  <si>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</si>
  <si>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</si>
  <si>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</si>
  <si>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</si>
  <si>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</si>
  <si>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</si>
  <si>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</si>
  <si>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</si>
  <si>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</si>
  <si>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</si>
  <si>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</si>
  <si>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</si>
  <si>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</si>
  <si>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</si>
  <si>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</si>
  <si>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</si>
  <si>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</si>
  <si>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</si>
  <si>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</si>
  <si>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</si>
  <si>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</si>
  <si>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</si>
  <si>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</si>
  <si>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</si>
  <si>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</si>
  <si>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</si>
  <si>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</si>
  <si>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</si>
  <si>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</si>
  <si>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</si>
  <si>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</si>
  <si>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</si>
  <si>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</si>
  <si>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</si>
  <si>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</si>
  <si>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</si>
  <si>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</si>
  <si>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</si>
  <si>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</si>
  <si>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</si>
  <si>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</si>
  <si>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</si>
  <si>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</si>
  <si>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</si>
  <si>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</si>
  <si>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</si>
  <si>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</si>
  <si>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</si>
  <si>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</si>
  <si>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</si>
  <si>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</si>
  <si>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</si>
  <si>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</si>
  <si>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</si>
  <si>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</si>
  <si>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</si>
  <si>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</si>
  <si>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</si>
  <si>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</si>
  <si>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</si>
  <si>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</si>
  <si>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</si>
  <si>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</si>
  <si>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</si>
  <si>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</si>
  <si>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</si>
  <si>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</si>
  <si>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</si>
  <si>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</si>
  <si>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</si>
  <si>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</si>
  <si>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</si>
  <si>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</si>
  <si>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</si>
  <si>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</si>
  <si>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</si>
  <si>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</si>
  <si>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</si>
  <si>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</si>
  <si>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</si>
  <si>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</si>
  <si>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</si>
  <si>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</si>
  <si>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</si>
  <si>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</si>
  <si>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</si>
  <si>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</si>
  <si>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</si>
  <si>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</si>
  <si>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</si>
  <si>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</si>
  <si>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</si>
  <si>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</si>
  <si>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</si>
  <si>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</si>
  <si>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</si>
  <si>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</si>
  <si>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</si>
  <si>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</si>
  <si>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</si>
  <si>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</si>
  <si>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</si>
  <si>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</si>
  <si>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</si>
  <si>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</si>
  <si>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</si>
  <si>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</si>
  <si>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</si>
  <si>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</si>
  <si>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</si>
  <si>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</si>
  <si>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</si>
  <si>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</si>
  <si>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</si>
  <si>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</si>
  <si>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</si>
  <si>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</si>
  <si>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</si>
  <si>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</si>
  <si>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</si>
  <si>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</si>
  <si>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</si>
  <si>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</si>
  <si>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</si>
  <si>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</si>
  <si>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</si>
  <si>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</si>
  <si>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</si>
  <si>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</si>
  <si>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</si>
  <si>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</si>
  <si>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</si>
  <si>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</si>
  <si>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</si>
  <si>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</si>
  <si>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</si>
  <si>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</si>
  <si>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</si>
  <si>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</si>
  <si>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</si>
  <si>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</si>
  <si>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</si>
  <si>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</si>
  <si>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</si>
  <si>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</si>
  <si>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</si>
  <si>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</si>
  <si>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</si>
  <si>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</si>
  <si>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</si>
  <si>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</si>
  <si>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</si>
  <si>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</si>
  <si>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</si>
  <si>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</si>
  <si>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</si>
  <si>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</si>
  <si>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</si>
  <si>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</si>
  <si>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</si>
  <si>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</si>
  <si>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</si>
  <si>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</si>
  <si>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</si>
  <si>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</si>
  <si>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</si>
  <si>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</si>
  <si>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</si>
  <si>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</si>
  <si>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</si>
  <si>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</si>
  <si>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</si>
  <si>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</si>
  <si>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</si>
  <si>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</si>
  <si>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</si>
  <si>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</si>
  <si>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</si>
  <si>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</si>
  <si>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</si>
  <si>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</si>
  <si>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</si>
  <si>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</si>
  <si>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</si>
  <si>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</si>
  <si>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</si>
  <si>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</si>
  <si>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</si>
  <si>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</si>
  <si>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</si>
  <si>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</si>
  <si>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</si>
  <si>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</si>
  <si>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</si>
  <si>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</si>
  <si>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</si>
  <si>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</si>
  <si>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</si>
  <si>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</si>
  <si>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</si>
  <si>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</si>
  <si>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</si>
  <si>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</si>
  <si>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</si>
  <si>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</si>
  <si>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</si>
  <si>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</si>
  <si>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</si>
  <si>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</si>
  <si>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</si>
  <si>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</si>
  <si>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</si>
  <si>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</si>
  <si>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</si>
  <si>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</si>
  <si>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</si>
  <si>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</si>
  <si>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</si>
  <si>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</si>
  <si>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</si>
  <si>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</si>
  <si>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</si>
  <si>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</si>
  <si>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</si>
  <si>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</si>
  <si>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</si>
  <si>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</si>
  <si>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</si>
  <si>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</si>
  <si>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</si>
  <si>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</si>
  <si>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</si>
  <si>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</si>
  <si>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</si>
  <si>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</si>
  <si>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</si>
  <si>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</si>
  <si>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</si>
  <si>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</si>
  <si>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</si>
  <si>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</si>
  <si>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</si>
  <si>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</si>
  <si>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</si>
  <si>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</si>
  <si>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</si>
  <si>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</si>
  <si>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</si>
  <si>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</si>
  <si>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</si>
  <si>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</si>
  <si>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</si>
  <si>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</si>
  <si>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</si>
  <si>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</si>
  <si>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</si>
  <si>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</si>
  <si>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</si>
  <si>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</si>
  <si>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</si>
  <si>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</si>
  <si>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</si>
  <si>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</si>
  <si>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</si>
  <si>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</si>
  <si>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</si>
  <si>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</si>
  <si>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</si>
  <si>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</si>
  <si>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</si>
  <si>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</si>
  <si>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</si>
  <si>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</si>
  <si>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</si>
  <si>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</si>
  <si>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</si>
  <si>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</si>
  <si>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</si>
  <si>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</si>
  <si>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</si>
  <si>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</si>
  <si>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</si>
  <si>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</si>
  <si>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</si>
  <si>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</si>
  <si>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</si>
  <si>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</si>
  <si>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</si>
  <si>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</si>
  <si>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</si>
  <si>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</si>
  <si>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</si>
  <si>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</si>
  <si>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</si>
  <si>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</si>
  <si>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</si>
  <si>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</si>
  <si>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</si>
  <si>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</si>
  <si>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</si>
  <si>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</si>
  <si>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</si>
  <si>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</si>
  <si>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</si>
  <si>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</si>
  <si>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</si>
  <si>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</si>
  <si>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</si>
  <si>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</si>
  <si>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</si>
  <si>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</si>
  <si>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</si>
  <si>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</si>
  <si>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</si>
  <si>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</si>
  <si>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</si>
  <si>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</si>
  <si>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</si>
  <si>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</si>
  <si>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</si>
  <si>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</si>
  <si>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</si>
  <si>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</si>
  <si>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</si>
  <si>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</si>
  <si>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</si>
  <si>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</si>
  <si>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</si>
  <si>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</si>
  <si>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</si>
  <si>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</si>
  <si>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</si>
  <si>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</si>
  <si>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</si>
  <si>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</si>
  <si>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</si>
  <si>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</si>
  <si>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</si>
  <si>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</si>
  <si>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</si>
  <si>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</si>
  <si>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</si>
  <si>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</si>
  <si>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</si>
  <si>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</si>
  <si>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</si>
  <si>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</si>
  <si>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</si>
  <si>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</si>
  <si>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</si>
  <si>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</si>
  <si>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</si>
  <si>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</si>
  <si>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</si>
  <si>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</si>
  <si>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</si>
  <si>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</si>
  <si>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</si>
  <si>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</si>
  <si>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</si>
  <si>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</si>
  <si>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</si>
  <si>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</si>
  <si>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</si>
  <si>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</si>
  <si>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</si>
  <si>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</si>
  <si>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</si>
  <si>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</si>
  <si>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</si>
  <si>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</si>
  <si>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</si>
  <si>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</si>
  <si>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</si>
  <si>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</si>
  <si>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</si>
  <si>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</si>
  <si>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</si>
  <si>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</si>
  <si>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</si>
  <si>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</si>
  <si>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</si>
  <si>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</si>
  <si>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</si>
  <si>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</si>
  <si>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</si>
  <si>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</si>
  <si>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</si>
  <si>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</si>
  <si>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</si>
  <si>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</si>
  <si>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</si>
  <si>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</si>
  <si>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</si>
  <si>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</si>
  <si>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</si>
  <si>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</si>
  <si>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</si>
  <si>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</si>
  <si>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</si>
  <si>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</si>
  <si>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</si>
  <si>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</si>
  <si>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</si>
  <si>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</si>
  <si>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</si>
  <si>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</si>
  <si>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</si>
  <si>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</si>
  <si>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</si>
  <si>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</si>
  <si>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</si>
  <si>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</si>
  <si>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</si>
  <si>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</si>
  <si>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</si>
  <si>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</si>
  <si>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</si>
  <si>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</si>
  <si>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</si>
  <si>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</si>
  <si>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</si>
  <si>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</si>
  <si>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</si>
  <si>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</si>
  <si>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</si>
  <si>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</si>
  <si>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</si>
  <si>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</si>
  <si>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</si>
  <si>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</si>
  <si>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</si>
  <si>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</si>
  <si>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</si>
  <si>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</si>
  <si>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</si>
  <si>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</si>
  <si>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</si>
  <si>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</si>
  <si>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</si>
  <si>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</si>
  <si>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</si>
  <si>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</si>
  <si>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</si>
  <si>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</si>
  <si>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</si>
  <si>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</si>
  <si>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</si>
  <si>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</si>
  <si>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</si>
  <si>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</si>
  <si>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</si>
  <si>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</si>
  <si>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</si>
  <si>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</si>
  <si>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</si>
  <si>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</si>
  <si>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</si>
  <si>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</si>
  <si>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</si>
  <si>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</si>
  <si>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</si>
  <si>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</si>
  <si>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</si>
  <si>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</si>
  <si>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</si>
  <si>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</si>
  <si>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</si>
  <si>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</si>
  <si>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</si>
  <si>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</si>
  <si>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</si>
  <si>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</si>
  <si>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</si>
  <si>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</si>
  <si>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</si>
  <si>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</si>
  <si>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</si>
  <si>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</si>
  <si>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</si>
  <si>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</si>
  <si>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</si>
  <si>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</si>
  <si>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</si>
  <si>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</si>
  <si>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</si>
  <si>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</si>
  <si>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</si>
  <si>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</si>
  <si>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</si>
  <si>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</si>
  <si>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</si>
  <si>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</si>
  <si>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</si>
  <si>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</si>
  <si>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</si>
  <si>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</si>
  <si>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</si>
  <si>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</si>
  <si>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</si>
  <si>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</si>
  <si>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</si>
  <si>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</si>
  <si>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</si>
  <si>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</si>
  <si>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</si>
  <si>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</si>
  <si>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</si>
  <si>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</si>
  <si>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</si>
  <si>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</si>
  <si>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</si>
  <si>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</si>
  <si>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</si>
  <si>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</si>
  <si>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</si>
  <si>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</si>
  <si>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</si>
  <si>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</si>
  <si>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</si>
  <si>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</si>
  <si>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</si>
  <si>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</si>
  <si>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</si>
  <si>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</si>
  <si>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</si>
  <si>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</si>
  <si>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</si>
  <si>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</si>
  <si>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</si>
  <si>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</si>
  <si>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</si>
  <si>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</si>
  <si>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</si>
  <si>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</si>
  <si>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</si>
  <si>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</si>
  <si>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</si>
  <si>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</si>
  <si>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</si>
  <si>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</si>
  <si>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</si>
  <si>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</si>
  <si>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</si>
  <si>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</si>
  <si>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</si>
  <si>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</si>
  <si>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</si>
  <si>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</si>
  <si>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</si>
  <si>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</si>
  <si>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</si>
  <si>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</si>
  <si>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</si>
  <si>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</si>
  <si>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</si>
  <si>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</si>
  <si>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</si>
  <si>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</si>
  <si>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</si>
  <si>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</si>
  <si>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</si>
  <si>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</si>
  <si>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</si>
  <si>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</si>
  <si>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</si>
  <si>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</si>
  <si>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</si>
  <si>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</si>
  <si>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</si>
  <si>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</si>
  <si>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</si>
  <si>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</si>
  <si>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</si>
  <si>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</si>
  <si>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</si>
  <si>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</si>
  <si>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</si>
  <si>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</si>
  <si>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</si>
  <si>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</si>
  <si>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</si>
  <si>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</si>
  <si>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</si>
  <si>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</si>
  <si>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</si>
  <si>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</si>
  <si>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</si>
  <si>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</si>
  <si>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</si>
  <si>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</si>
  <si>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</si>
  <si>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</si>
  <si>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</si>
  <si>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</si>
  <si>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</si>
  <si>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</si>
  <si>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</si>
  <si>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</si>
  <si>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</si>
  <si>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</si>
  <si>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</si>
  <si>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</si>
  <si>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</si>
  <si>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</si>
  <si>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</si>
  <si>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</si>
  <si>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</si>
  <si>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</si>
  <si>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</si>
  <si>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</si>
  <si>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</si>
  <si>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</si>
  <si>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</si>
  <si>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</si>
  <si>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</si>
  <si>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</si>
  <si>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</si>
  <si>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</si>
  <si>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</si>
  <si>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</si>
  <si>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</si>
  <si>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</si>
  <si>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</si>
  <si>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</si>
  <si>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</si>
  <si>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</si>
  <si>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</si>
  <si>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</si>
  <si>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</si>
  <si>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</si>
  <si>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</si>
  <si>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</si>
  <si>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</si>
  <si>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</si>
  <si>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</si>
  <si>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</si>
  <si>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</si>
  <si>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</si>
  <si>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</si>
  <si>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</si>
  <si>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</si>
  <si>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</si>
  <si>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</si>
  <si>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</si>
  <si>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</si>
  <si>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</si>
  <si>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</si>
  <si>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</si>
  <si>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</si>
  <si>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</si>
  <si>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</si>
  <si>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</si>
  <si>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</si>
  <si>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</si>
  <si>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</si>
  <si>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</si>
  <si>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</si>
  <si>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</si>
  <si>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</si>
  <si>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</si>
  <si>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</si>
  <si>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</si>
  <si>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</si>
  <si>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</si>
  <si>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</si>
  <si>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</si>
  <si>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</si>
  <si>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</si>
  <si>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</si>
  <si>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</si>
  <si>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</si>
  <si>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</si>
  <si>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</si>
  <si>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</si>
  <si>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</si>
  <si>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</si>
  <si>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</si>
  <si>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</si>
  <si>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</si>
  <si>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</si>
  <si>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</si>
  <si>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</si>
  <si>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</si>
  <si>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</si>
  <si>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</si>
  <si>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</si>
  <si>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</si>
  <si>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</si>
  <si>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</si>
  <si>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</si>
  <si>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</si>
  <si>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</si>
  <si>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</si>
  <si>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</si>
  <si>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</si>
  <si>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</si>
  <si>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</si>
  <si>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</si>
  <si>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</si>
  <si>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</si>
  <si>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</si>
  <si>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</si>
  <si>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</si>
  <si>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</si>
  <si>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</si>
  <si>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</si>
  <si>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</si>
  <si>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</si>
  <si>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</si>
  <si>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</si>
  <si>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</si>
  <si>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</si>
  <si>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</si>
  <si>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</si>
  <si>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</si>
  <si>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</si>
  <si>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</si>
  <si>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</si>
  <si>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</si>
  <si>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</si>
  <si>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</si>
  <si>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</si>
  <si>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</si>
  <si>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</si>
  <si>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</si>
  <si>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</si>
  <si>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</si>
  <si>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</si>
  <si>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</si>
  <si>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</si>
  <si>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</si>
  <si>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</si>
  <si>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</si>
  <si>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</si>
  <si>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</si>
  <si>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</si>
  <si>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</si>
  <si>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</si>
  <si>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</si>
  <si>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</si>
  <si>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</si>
  <si>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</si>
  <si>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</si>
  <si>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</si>
  <si>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</si>
  <si>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</si>
  <si>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</si>
  <si>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</si>
  <si>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</si>
  <si>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</si>
  <si>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</si>
  <si>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</si>
  <si>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</si>
  <si>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</si>
  <si>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</si>
  <si>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</si>
  <si>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</si>
  <si>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</si>
  <si>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</si>
  <si>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</si>
  <si>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</si>
  <si>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</si>
  <si>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</si>
  <si>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</si>
  <si>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</si>
  <si>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</si>
  <si>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</si>
  <si>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</si>
  <si>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</si>
  <si>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</si>
  <si>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</si>
  <si>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</si>
  <si>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</si>
  <si>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</si>
  <si>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</si>
  <si>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</si>
  <si>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</si>
  <si>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</si>
  <si>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</si>
  <si>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</si>
  <si>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</si>
  <si>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</si>
  <si>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</si>
  <si>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</si>
  <si>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</si>
  <si>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</si>
  <si>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</si>
  <si>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</si>
  <si>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</si>
  <si>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</si>
  <si>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</si>
  <si>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</si>
  <si>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</si>
  <si>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</si>
  <si>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</si>
  <si>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</si>
  <si>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</si>
  <si>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</si>
  <si>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</si>
  <si>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</si>
  <si>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</si>
  <si>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</si>
  <si>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</si>
  <si>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</si>
  <si>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</si>
  <si>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</si>
  <si>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</si>
  <si>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</si>
  <si>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</si>
  <si>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</si>
  <si>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</si>
  <si>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</si>
  <si>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</si>
  <si>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</si>
  <si>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</si>
  <si>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</si>
  <si>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</si>
  <si>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</si>
  <si>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</si>
  <si>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</si>
  <si>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</si>
  <si>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</si>
  <si>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</si>
  <si>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</si>
  <si>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</si>
  <si>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</si>
  <si>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</si>
  <si>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</si>
  <si>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</si>
  <si>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</si>
  <si>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</si>
  <si>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</si>
  <si>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</si>
  <si>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</si>
  <si>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</si>
  <si>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</si>
  <si>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</si>
  <si>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</si>
  <si>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</si>
  <si>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</si>
  <si>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</si>
  <si>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</si>
  <si>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</si>
  <si>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</si>
  <si>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</si>
  <si>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</si>
  <si>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</si>
  <si>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</si>
  <si>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</si>
  <si>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</si>
  <si>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</si>
  <si>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</si>
  <si>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</si>
  <si>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</si>
  <si>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</si>
  <si>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</si>
  <si>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</si>
  <si>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</si>
  <si>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</si>
  <si>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</si>
  <si>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</si>
  <si>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</si>
  <si>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</si>
  <si>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</si>
  <si>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</si>
  <si>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</si>
  <si>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</si>
  <si>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</si>
  <si>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</si>
  <si>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</si>
  <si>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</si>
  <si>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</si>
  <si>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</si>
  <si>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</si>
  <si>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</si>
  <si>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</si>
  <si>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</si>
  <si>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</si>
  <si>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</si>
  <si>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</si>
  <si>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</si>
  <si>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</si>
  <si>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</si>
  <si>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</si>
  <si>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</si>
  <si>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</si>
  <si>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</si>
  <si>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</si>
  <si>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</si>
  <si>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</si>
  <si>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</si>
  <si>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</si>
  <si>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</si>
  <si>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</si>
  <si>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</si>
  <si>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</si>
  <si>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</si>
  <si>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</si>
  <si>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</si>
  <si>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</si>
  <si>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</si>
  <si>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</si>
  <si>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</si>
  <si>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</si>
  <si>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</si>
  <si>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</si>
  <si>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</si>
  <si>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</si>
  <si>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</si>
  <si>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</si>
  <si>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</si>
  <si>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</si>
  <si>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</si>
  <si>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</si>
  <si>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</si>
  <si>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</si>
  <si>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</si>
  <si>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</si>
  <si>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</si>
  <si>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</si>
  <si>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</si>
  <si>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</si>
  <si>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</si>
  <si>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</si>
  <si>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</si>
  <si>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</si>
  <si>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</si>
  <si>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</si>
  <si>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</si>
  <si>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</si>
  <si>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</si>
  <si>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</si>
  <si>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</si>
  <si>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</si>
  <si>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</si>
  <si>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</si>
  <si>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</si>
  <si>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</si>
  <si>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</si>
  <si>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</si>
  <si>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</si>
  <si>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</si>
  <si>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</si>
  <si>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</si>
  <si>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</si>
  <si>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</si>
  <si>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</si>
  <si>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</si>
  <si>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</si>
  <si>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</si>
  <si>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</si>
  <si>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</si>
  <si>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</si>
  <si>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</si>
  <si>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</si>
  <si>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</si>
  <si>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</si>
  <si>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</si>
  <si>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</si>
  <si>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</si>
  <si>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</si>
  <si>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</si>
  <si>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</si>
  <si>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</si>
  <si>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</si>
  <si>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</si>
  <si>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</si>
  <si>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</si>
  <si>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</si>
  <si>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</si>
  <si>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</si>
  <si>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</si>
  <si>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</si>
  <si>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</si>
  <si>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</si>
  <si>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</si>
  <si>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</si>
  <si>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</si>
  <si>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</si>
  <si>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</si>
  <si>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</si>
  <si>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</si>
  <si>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</si>
  <si>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</si>
  <si>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</si>
  <si>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</si>
  <si>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</si>
  <si>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</si>
  <si>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</si>
  <si>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</si>
  <si>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</si>
  <si>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</si>
  <si>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</si>
  <si>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</si>
  <si>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</si>
  <si>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</si>
  <si>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</si>
  <si>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</si>
  <si>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</si>
  <si>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</si>
  <si>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</si>
  <si>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</si>
  <si>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</si>
  <si>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</si>
  <si>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</si>
  <si>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</si>
  <si>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</si>
  <si>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</si>
  <si>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</si>
  <si>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</si>
  <si>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</si>
  <si>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</si>
  <si>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</si>
  <si>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</si>
  <si>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</si>
  <si>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</si>
  <si>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</si>
  <si>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</si>
  <si>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</si>
  <si>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</si>
  <si>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</si>
  <si>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</si>
  <si>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</si>
  <si>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</si>
  <si>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</si>
  <si>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</si>
  <si>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</si>
  <si>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</si>
  <si>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</si>
  <si>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</si>
  <si>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</si>
  <si>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</si>
  <si>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</si>
  <si>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</si>
  <si>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</si>
  <si>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</si>
  <si>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</si>
  <si>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</si>
  <si>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</si>
  <si>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</si>
  <si>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</si>
  <si>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</si>
  <si>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</si>
  <si>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</si>
  <si>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</si>
  <si>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</si>
  <si>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</si>
  <si>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</si>
  <si>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</si>
  <si>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</si>
  <si>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</si>
  <si>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</si>
  <si>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</si>
  <si>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</si>
  <si>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</si>
  <si>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</si>
  <si>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</si>
  <si>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</si>
  <si>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</si>
  <si>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</si>
  <si>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</si>
  <si>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</si>
  <si>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</si>
  <si>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</si>
  <si>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</si>
  <si>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</si>
  <si>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</si>
  <si>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</si>
  <si>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</si>
  <si>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</si>
  <si>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</si>
  <si>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</si>
  <si>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</si>
  <si>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</si>
  <si>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</si>
  <si>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</si>
  <si>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</si>
  <si>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</si>
  <si>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</si>
  <si>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</si>
  <si>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</si>
  <si>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</si>
  <si>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</si>
  <si>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</si>
  <si>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</si>
  <si>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</si>
  <si>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</si>
  <si>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</si>
  <si>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</si>
  <si>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</si>
  <si>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</si>
  <si>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</si>
  <si>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</si>
  <si>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</si>
  <si>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</si>
  <si>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</si>
  <si>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</si>
  <si>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</si>
  <si>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</si>
  <si>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</si>
  <si>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</si>
  <si>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</si>
  <si>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</si>
  <si>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</si>
  <si>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</si>
  <si>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</si>
  <si>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</si>
  <si>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</si>
  <si>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</si>
  <si>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</si>
  <si>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</si>
  <si>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</si>
  <si>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</si>
  <si>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</si>
  <si>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</si>
  <si>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</si>
  <si>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</si>
  <si>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</si>
  <si>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</si>
  <si>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</si>
  <si>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</si>
  <si>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</si>
  <si>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</si>
  <si>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</si>
  <si>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</si>
  <si>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</si>
  <si>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</si>
  <si>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</si>
  <si>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</si>
  <si>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</si>
  <si>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</si>
  <si>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</si>
  <si>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</si>
  <si>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</si>
  <si>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</si>
  <si>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</si>
  <si>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</si>
  <si>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</si>
  <si>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</si>
  <si>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</si>
  <si>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</si>
  <si>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</si>
  <si>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</si>
  <si>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</si>
  <si>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</si>
  <si>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</si>
  <si>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</si>
  <si>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</si>
  <si>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</si>
  <si>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</si>
  <si>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</si>
  <si>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</si>
  <si>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</si>
  <si>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</si>
  <si>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</si>
  <si>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</si>
  <si>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</si>
  <si>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</si>
  <si>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</si>
  <si>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</si>
  <si>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</si>
  <si>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</si>
  <si>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</si>
  <si>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</si>
  <si>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</si>
  <si>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</si>
  <si>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</si>
  <si>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</si>
  <si>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</si>
  <si>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</si>
  <si>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</si>
  <si>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</si>
  <si>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</si>
  <si>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</si>
  <si>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</si>
  <si>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</si>
  <si>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</si>
  <si>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</si>
  <si>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</si>
  <si>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</si>
  <si>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</si>
  <si>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</si>
  <si>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</si>
  <si>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</si>
  <si>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</si>
  <si>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</si>
  <si>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</si>
  <si>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</si>
  <si>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</si>
  <si>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</si>
  <si>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</si>
  <si>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</si>
  <si>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</si>
  <si>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</si>
  <si>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</si>
  <si>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</si>
  <si>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</si>
  <si>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</si>
  <si>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</si>
  <si>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</si>
  <si>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</si>
  <si>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</si>
  <si>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</si>
  <si>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</si>
  <si>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</si>
  <si>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</si>
  <si>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</si>
  <si>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</si>
  <si>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</si>
  <si>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</si>
  <si>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</si>
  <si>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</si>
  <si>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</si>
  <si>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</si>
  <si>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</si>
  <si>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</si>
  <si>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</si>
  <si>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</si>
  <si>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</si>
  <si>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</si>
  <si>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</si>
  <si>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</si>
  <si>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</si>
  <si>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</si>
  <si>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</si>
  <si>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</si>
  <si>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</si>
  <si>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</si>
  <si>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</si>
  <si>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</si>
  <si>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</si>
  <si>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</si>
  <si>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</si>
  <si>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</si>
  <si>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</si>
  <si>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</si>
  <si>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</si>
  <si>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</si>
  <si>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</si>
  <si>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</si>
  <si>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</si>
  <si>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</si>
  <si>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</si>
  <si>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</si>
  <si>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</si>
  <si>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</si>
  <si>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</si>
  <si>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</si>
  <si>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</si>
  <si>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</si>
  <si>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</si>
  <si>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</si>
  <si>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</si>
  <si>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</si>
  <si>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</si>
  <si>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</si>
  <si>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</si>
  <si>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</si>
  <si>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</si>
  <si>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</si>
  <si>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</si>
  <si>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</si>
  <si>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</si>
  <si>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</si>
  <si>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</si>
  <si>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</si>
  <si>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</si>
  <si>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</si>
  <si>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</si>
  <si>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</si>
  <si>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</si>
  <si>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</si>
  <si>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</si>
  <si>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</si>
  <si>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</si>
  <si>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</si>
  <si>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</si>
  <si>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</si>
  <si>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</si>
  <si>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</si>
  <si>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</si>
  <si>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</si>
  <si>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</si>
  <si>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</si>
  <si>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</si>
  <si>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</si>
  <si>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</si>
  <si>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</si>
  <si>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</si>
  <si>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</si>
  <si>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</si>
  <si>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</si>
  <si>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</si>
  <si>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</si>
  <si>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</si>
  <si>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</si>
  <si>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</si>
  <si>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</si>
  <si>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</si>
  <si>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</si>
  <si>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</si>
  <si>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</si>
  <si>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</si>
  <si>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</si>
  <si>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</si>
  <si>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</si>
  <si>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</si>
  <si>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</si>
  <si>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</si>
  <si>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</si>
  <si>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</si>
  <si>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</si>
  <si>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</si>
  <si>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</si>
  <si>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</si>
  <si>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</si>
  <si>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</si>
  <si>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</si>
  <si>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</si>
  <si>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</si>
  <si>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</si>
  <si>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</si>
  <si>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</si>
  <si>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</si>
  <si>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</si>
  <si>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</si>
  <si>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</si>
  <si>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金钟股份</t>
  </si>
  <si>
    <t>www.lixinger.com/analytics/company/sz/301133/301133/detail</t>
  </si>
  <si>
    <t>招标股份</t>
  </si>
  <si>
    <t>www.lixinger.com/analytics/company/sz/301136/301136/detail</t>
  </si>
  <si>
    <t>华研精机</t>
  </si>
  <si>
    <t>www.lixinger.com/analytics/company/sz/301138/301138/detail</t>
  </si>
  <si>
    <t>隆华新材</t>
  </si>
  <si>
    <t>www.lixinger.com/analytics/company/sz/301149/301149/detail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</si>
  <si>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</si>
  <si>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</si>
  <si>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</si>
  <si>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</si>
  <si>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</si>
  <si>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</si>
  <si>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</si>
  <si>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</si>
  <si>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</si>
  <si>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</si>
  <si>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</si>
  <si>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</si>
  <si>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</si>
  <si>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</si>
  <si>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</si>
  <si>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</si>
  <si>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</si>
  <si>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</si>
  <si>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</si>
  <si>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</si>
  <si>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</si>
  <si>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</si>
  <si>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</si>
  <si>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</si>
  <si>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</si>
  <si>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</si>
  <si>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</si>
  <si>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</si>
  <si>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</si>
  <si>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</si>
  <si>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</si>
  <si>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</si>
  <si>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</si>
  <si>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</si>
  <si>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</si>
  <si>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</si>
  <si>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</si>
  <si>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</si>
  <si>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</si>
  <si>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</si>
  <si>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</si>
  <si>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</si>
  <si>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</si>
  <si>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</si>
  <si>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</si>
  <si>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</si>
  <si>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</si>
  <si>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</si>
  <si>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</si>
  <si>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</si>
  <si>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</si>
  <si>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</si>
  <si>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</si>
  <si>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</si>
  <si>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</si>
  <si>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</si>
  <si>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</si>
  <si>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</si>
  <si>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</si>
  <si>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</si>
  <si>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铜冠铜箔</t>
  </si>
  <si>
    <t>www.lixinger.com/analytics/company/sz/301217/301217/detail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</si>
  <si>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</si>
  <si>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</si>
  <si>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</si>
  <si>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</si>
  <si>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</si>
  <si>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</si>
  <si>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</si>
  <si>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</si>
  <si>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</si>
  <si>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</si>
  <si>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</si>
  <si>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</si>
  <si>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</si>
  <si>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</si>
  <si>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铭利达</t>
  </si>
  <si>
    <t>www.lixinger.com/analytics/company/sz/301268/301268/detail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</si>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</sst>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86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3633428307</v>
      </c>
      <c r="G3">
        <v>3605328290</v>
      </c>
      <c r="H3">
        <v>5983037354</v>
      </c>
      <c r="I3">
        <v>5877994678</v>
      </c>
      <c r="J3">
        <v>4715182016</v>
      </c>
      <c r="K3">
        <v>4398519489</v>
      </c>
      <c r="L3">
        <v>4183998348</v>
      </c>
      <c r="M3">
        <v>3967893768</v>
      </c>
      <c r="N3">
        <v>3841975921</v>
      </c>
      <c r="O3">
        <v>3574576603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54848789819.519997</v>
      </c>
      <c r="L4">
        <v>48388145869.970001</v>
      </c>
      <c r="M4">
        <v>28623776114.98</v>
      </c>
      <c r="N4">
        <v>27285298675.560001</v>
      </c>
      <c r="O4">
        <v>27723701344.360001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12006687140</v>
      </c>
      <c r="G5">
        <v>10547656051</v>
      </c>
      <c r="H5">
        <v>9931368964</v>
      </c>
      <c r="I5">
        <v>9537440009</v>
      </c>
      <c r="J5">
        <v>12777547184</v>
      </c>
      <c r="K5">
        <v>12228278740</v>
      </c>
      <c r="L5">
        <v>12513318493</v>
      </c>
      <c r="M5">
        <v>14170011380</v>
      </c>
      <c r="N5">
        <v>12249911284</v>
      </c>
      <c r="O5">
        <v>13504726153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2885933399</v>
      </c>
      <c r="G6">
        <v>2283392504</v>
      </c>
      <c r="H6">
        <v>2653005963</v>
      </c>
      <c r="I6">
        <v>2478603045</v>
      </c>
      <c r="J6">
        <v>2063572030</v>
      </c>
      <c r="K6">
        <v>1731189130</v>
      </c>
      <c r="L6">
        <v>1701443337</v>
      </c>
      <c r="M6">
        <v>1655372076</v>
      </c>
      <c r="N6">
        <v>1542539566</v>
      </c>
      <c r="O6">
        <v>1468998833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11756407172</v>
      </c>
      <c r="G7">
        <v>10306575516</v>
      </c>
      <c r="H7">
        <v>9179403290</v>
      </c>
      <c r="I7">
        <v>7733624400</v>
      </c>
      <c r="J7">
        <v>6635064558</v>
      </c>
      <c r="K7">
        <v>5479701110</v>
      </c>
      <c r="L7">
        <v>2952341533</v>
      </c>
      <c r="M7">
        <v>2570054292</v>
      </c>
      <c r="N7">
        <v>2752540299</v>
      </c>
      <c r="O7">
        <v>2139195569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3485495090</v>
      </c>
      <c r="G8">
        <v>3035250777</v>
      </c>
      <c r="H8">
        <v>8180978300</v>
      </c>
      <c r="I8">
        <v>6936162931</v>
      </c>
      <c r="J8">
        <v>5808570927</v>
      </c>
      <c r="K8">
        <v>4825843860</v>
      </c>
      <c r="L8">
        <v>4243395346</v>
      </c>
      <c r="M8">
        <v>3990057295</v>
      </c>
      <c r="N8">
        <v>3744205812</v>
      </c>
      <c r="O8">
        <v>3284659959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49831096958</v>
      </c>
      <c r="G9">
        <v>40740399567</v>
      </c>
      <c r="H9">
        <v>43872246888</v>
      </c>
      <c r="I9">
        <v>47620086059</v>
      </c>
      <c r="J9">
        <v>35299660681</v>
      </c>
      <c r="K9">
        <v>22661010101</v>
      </c>
      <c r="L9">
        <v>22868455595</v>
      </c>
      <c r="M9">
        <v>26808441267</v>
      </c>
      <c r="N9">
        <v>33470404226</v>
      </c>
      <c r="O9">
        <v>35318287043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162200420031</v>
      </c>
      <c r="G10">
        <v>129855862435</v>
      </c>
      <c r="H10">
        <v>141095909623</v>
      </c>
      <c r="I10">
        <v>141172776353</v>
      </c>
      <c r="J10">
        <v>123839910634</v>
      </c>
      <c r="K10">
        <v>95293166166</v>
      </c>
      <c r="L10">
        <v>112387332085</v>
      </c>
      <c r="M10">
        <v>108561940268</v>
      </c>
      <c r="N10">
        <v>113244411604</v>
      </c>
      <c r="O10">
        <v>114244865585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2625460874</v>
      </c>
      <c r="G11">
        <v>1720495419</v>
      </c>
      <c r="H11">
        <v>2230945748</v>
      </c>
      <c r="I11">
        <v>2285434900</v>
      </c>
      <c r="J11">
        <v>2172413674</v>
      </c>
      <c r="K11">
        <v>1938334234</v>
      </c>
      <c r="L11">
        <v>1797012529</v>
      </c>
      <c r="M11">
        <v>1745413708</v>
      </c>
      <c r="N11">
        <v>1689280334</v>
      </c>
      <c r="O11">
        <v>1694429466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4314534370</v>
      </c>
      <c r="G14">
        <v>3277376693</v>
      </c>
      <c r="H14">
        <v>3476385919</v>
      </c>
      <c r="I14">
        <v>3615946794</v>
      </c>
      <c r="J14">
        <v>3229186456</v>
      </c>
      <c r="K14">
        <v>2830586572</v>
      </c>
      <c r="L14">
        <v>3028387131</v>
      </c>
      <c r="M14">
        <v>3332534211</v>
      </c>
      <c r="N14">
        <v>3095121944</v>
      </c>
      <c r="O14">
        <v>3063014097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30954768681</v>
      </c>
      <c r="G15">
        <v>22474833909</v>
      </c>
      <c r="H15">
        <v>24691683923</v>
      </c>
      <c r="I15">
        <v>25176328743</v>
      </c>
      <c r="J15">
        <v>27903381361</v>
      </c>
      <c r="K15">
        <v>20743360843</v>
      </c>
      <c r="L15">
        <v>22172517346</v>
      </c>
      <c r="M15">
        <v>21345231950</v>
      </c>
      <c r="N15">
        <v>20931979672</v>
      </c>
      <c r="O15">
        <v>20369129877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305433600287</v>
      </c>
      <c r="G16">
        <v>217871786091</v>
      </c>
      <c r="H16">
        <v>250054638133</v>
      </c>
      <c r="I16">
        <v>262048522372</v>
      </c>
      <c r="J16">
        <v>278463217321</v>
      </c>
      <c r="K16">
        <v>157383505993</v>
      </c>
      <c r="L16">
        <v>143765436584</v>
      </c>
      <c r="M16">
        <v>168718215141</v>
      </c>
      <c r="N16">
        <v>163567953056</v>
      </c>
      <c r="O16">
        <v>166121416594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3910501079</v>
      </c>
      <c r="G17">
        <v>2859930887</v>
      </c>
      <c r="H17">
        <v>5021630542</v>
      </c>
      <c r="I17">
        <v>4270433772</v>
      </c>
      <c r="J17">
        <v>3566230434</v>
      </c>
      <c r="K17">
        <v>3385121219</v>
      </c>
      <c r="L17">
        <v>2780254959</v>
      </c>
      <c r="M17">
        <v>2980265071</v>
      </c>
      <c r="N17">
        <v>2883747383</v>
      </c>
      <c r="O17">
        <v>2314486099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20725628065</v>
      </c>
      <c r="G18">
        <v>18122919268</v>
      </c>
      <c r="H18">
        <v>17726958162</v>
      </c>
      <c r="I18">
        <v>19431439520</v>
      </c>
      <c r="J18">
        <v>15065933758</v>
      </c>
      <c r="K18">
        <v>13557714426</v>
      </c>
      <c r="L18">
        <v>14906309900</v>
      </c>
      <c r="M18">
        <v>13378313704</v>
      </c>
      <c r="N18">
        <v>13894982272</v>
      </c>
      <c r="O18">
        <v>13141032268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69740219749</v>
      </c>
      <c r="G19">
        <v>52007048485</v>
      </c>
      <c r="H19">
        <v>34201899365</v>
      </c>
      <c r="I19">
        <v>23641504937</v>
      </c>
      <c r="J19">
        <v>20626433142</v>
      </c>
      <c r="K19">
        <v>21191144851</v>
      </c>
      <c r="L19">
        <v>19006112127</v>
      </c>
      <c r="M19">
        <v>23177284008</v>
      </c>
      <c r="N19">
        <v>29004342958</v>
      </c>
      <c r="O19">
        <v>39547586419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56296548417</v>
      </c>
      <c r="G20">
        <v>39650330922</v>
      </c>
      <c r="H20">
        <v>44894982070</v>
      </c>
      <c r="I20">
        <v>50720757467</v>
      </c>
      <c r="J20">
        <v>43721457100</v>
      </c>
      <c r="K20">
        <v>34844965401</v>
      </c>
      <c r="L20">
        <v>36486233459</v>
      </c>
      <c r="M20">
        <v>36475261935</v>
      </c>
      <c r="N20">
        <v>48987749005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17864022097</v>
      </c>
      <c r="G21">
        <v>15129271140</v>
      </c>
      <c r="H21">
        <v>16590254235</v>
      </c>
      <c r="I21">
        <v>11731334549</v>
      </c>
      <c r="J21">
        <v>8610297770</v>
      </c>
      <c r="K21">
        <v>8933123363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9451970004</v>
      </c>
      <c r="G22">
        <v>13751341522</v>
      </c>
      <c r="H22">
        <v>10408065523</v>
      </c>
      <c r="I22">
        <v>7543103989</v>
      </c>
      <c r="J22">
        <v>7858576217</v>
      </c>
      <c r="K22">
        <v>10723188891</v>
      </c>
      <c r="L22">
        <v>8285339401</v>
      </c>
      <c r="M22">
        <v>9374214440</v>
      </c>
      <c r="N22">
        <v>8358717336</v>
      </c>
      <c r="O22">
        <v>8077454351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85777649000</v>
      </c>
      <c r="G23">
        <v>73370552000</v>
      </c>
      <c r="H23">
        <v>74784541000</v>
      </c>
      <c r="I23">
        <v>72691619000</v>
      </c>
      <c r="J23">
        <v>66196803000</v>
      </c>
      <c r="K23">
        <v>52198717000</v>
      </c>
      <c r="L23">
        <v>59745283000</v>
      </c>
      <c r="M23">
        <v>58641995000</v>
      </c>
      <c r="N23">
        <v>56927291000</v>
      </c>
      <c r="O23">
        <v>50571271000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2113844000000</v>
      </c>
      <c r="G24">
        <v>1709099000000</v>
      </c>
      <c r="H24">
        <v>2366716000000</v>
      </c>
      <c r="I24">
        <v>2310756000000</v>
      </c>
      <c r="J24">
        <v>1976601000000</v>
      </c>
      <c r="K24">
        <v>1615777000000</v>
      </c>
      <c r="L24">
        <v>1757763000000</v>
      </c>
      <c r="M24">
        <v>2322186000000</v>
      </c>
      <c r="N24">
        <v>2358855000000</v>
      </c>
      <c r="O24">
        <v>2325350000000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85440000000</v>
      </c>
      <c r="G25">
        <v>64528000000</v>
      </c>
      <c r="H25">
        <v>126797000000</v>
      </c>
      <c r="I25">
        <v>119284000000</v>
      </c>
      <c r="J25">
        <v>102151000000</v>
      </c>
      <c r="K25">
        <v>92532000000</v>
      </c>
      <c r="L25">
        <v>91369000000</v>
      </c>
      <c r="M25">
        <v>82544000000</v>
      </c>
      <c r="N25">
        <v>82029000000</v>
      </c>
      <c r="O25">
        <v>78104000000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91480193000</v>
      </c>
      <c r="G27">
        <v>71379120000</v>
      </c>
      <c r="H27">
        <v>59293130000</v>
      </c>
      <c r="I27">
        <v>44826625000</v>
      </c>
      <c r="J27">
        <v>30448140000</v>
      </c>
      <c r="K27">
        <v>16901661000</v>
      </c>
      <c r="L27">
        <v>16969759000</v>
      </c>
      <c r="M27">
        <v>25415921000</v>
      </c>
      <c r="N27">
        <v>26582164000</v>
      </c>
      <c r="O27">
        <v>39531931207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1303628291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2240202636</v>
      </c>
      <c r="G29">
        <v>1805859991</v>
      </c>
      <c r="H29">
        <v>1577737466</v>
      </c>
      <c r="I29">
        <v>1930083460</v>
      </c>
      <c r="J29">
        <v>1889552205</v>
      </c>
      <c r="K29">
        <v>1765301567</v>
      </c>
      <c r="L29">
        <v>2254182994</v>
      </c>
      <c r="M29">
        <v>1864313949</v>
      </c>
      <c r="N29">
        <v>1845358539</v>
      </c>
      <c r="O29">
        <v>1396069667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2273460155</v>
      </c>
      <c r="G30">
        <v>1692675875</v>
      </c>
      <c r="H30">
        <v>2063476333</v>
      </c>
      <c r="I30">
        <v>2304683524</v>
      </c>
      <c r="J30">
        <v>1777656988</v>
      </c>
      <c r="K30">
        <v>980180313</v>
      </c>
      <c r="L30">
        <v>918474310</v>
      </c>
      <c r="M30">
        <v>827935881</v>
      </c>
      <c r="N30">
        <v>720961891</v>
      </c>
      <c r="O30">
        <v>720233012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1851712718</v>
      </c>
      <c r="G32">
        <v>2070036762</v>
      </c>
      <c r="H32">
        <v>1972570259</v>
      </c>
      <c r="I32">
        <v>2005569576</v>
      </c>
      <c r="J32">
        <v>1908543922</v>
      </c>
      <c r="K32">
        <v>1842008320</v>
      </c>
      <c r="L32">
        <v>1780798028</v>
      </c>
      <c r="M32">
        <v>1557499900</v>
      </c>
      <c r="N32">
        <v>1517998967</v>
      </c>
      <c r="O32">
        <v>1342945597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9550709950</v>
      </c>
      <c r="G33">
        <v>10064335919</v>
      </c>
      <c r="H33">
        <v>9201881502</v>
      </c>
      <c r="I33">
        <v>7002527648</v>
      </c>
      <c r="J33">
        <v>7472453669</v>
      </c>
      <c r="K33">
        <v>6070747252</v>
      </c>
      <c r="L33">
        <v>5542830361</v>
      </c>
      <c r="M33">
        <v>5428422868</v>
      </c>
      <c r="N33">
        <v>2150552708</v>
      </c>
      <c r="O33">
        <v>1809222488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43194749616</v>
      </c>
      <c r="G34">
        <v>38220940746</v>
      </c>
      <c r="H34">
        <v>32061526825</v>
      </c>
      <c r="I34">
        <v>23977032393</v>
      </c>
      <c r="J34">
        <v>20839820251</v>
      </c>
      <c r="K34">
        <v>19431231080</v>
      </c>
      <c r="L34">
        <v>18162240411</v>
      </c>
      <c r="M34">
        <v>15519289489</v>
      </c>
      <c r="N34">
        <v>12268581974</v>
      </c>
      <c r="O34">
        <v>16053496023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248638334088</v>
      </c>
      <c r="G35">
        <v>202545863001</v>
      </c>
      <c r="H35">
        <v>201524078306</v>
      </c>
      <c r="I35">
        <v>191679986830</v>
      </c>
      <c r="J35">
        <v>140718804566</v>
      </c>
      <c r="K35">
        <v>131633751876</v>
      </c>
      <c r="L35">
        <v>101906240161</v>
      </c>
      <c r="M35">
        <v>76039753436</v>
      </c>
      <c r="N35">
        <v>79894675843</v>
      </c>
      <c r="O35">
        <v>60851809059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248216664599</v>
      </c>
      <c r="G36">
        <v>225998362662</v>
      </c>
      <c r="H36">
        <v>215635731290</v>
      </c>
      <c r="I36">
        <v>220631273482</v>
      </c>
      <c r="J36">
        <v>211384848713</v>
      </c>
      <c r="K36">
        <v>208114622229</v>
      </c>
      <c r="L36">
        <v>219057313946</v>
      </c>
      <c r="M36">
        <v>205524427070</v>
      </c>
      <c r="N36">
        <v>217123747149</v>
      </c>
      <c r="O36">
        <v>177454114004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2339804696</v>
      </c>
      <c r="G37">
        <v>3963969140</v>
      </c>
      <c r="H37">
        <v>4473012219</v>
      </c>
      <c r="I37">
        <v>4041205665</v>
      </c>
      <c r="J37">
        <v>3488971845</v>
      </c>
      <c r="K37">
        <v>3445688275</v>
      </c>
      <c r="L37">
        <v>3004061819</v>
      </c>
      <c r="M37">
        <v>2707002000</v>
      </c>
      <c r="N37">
        <v>2885887677</v>
      </c>
      <c r="O37">
        <v>2332683015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161012945</v>
      </c>
      <c r="G38">
        <v>138285923</v>
      </c>
      <c r="H38">
        <v>1300579856</v>
      </c>
      <c r="I38">
        <v>793259494</v>
      </c>
      <c r="J38">
        <v>1055042179</v>
      </c>
      <c r="K38">
        <v>1729897471</v>
      </c>
      <c r="L38">
        <v>1125042682</v>
      </c>
      <c r="M38">
        <v>1203400363</v>
      </c>
      <c r="N38">
        <v>1879201810</v>
      </c>
      <c r="O38">
        <v>1321749082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170748372</v>
      </c>
      <c r="G39">
        <v>275602266</v>
      </c>
      <c r="H39">
        <v>674738067</v>
      </c>
      <c r="I39">
        <v>2122288558</v>
      </c>
      <c r="J39">
        <v>618134067</v>
      </c>
      <c r="K39">
        <v>1075605144</v>
      </c>
      <c r="L39">
        <v>575374293</v>
      </c>
      <c r="M39">
        <v>517339228</v>
      </c>
      <c r="N39">
        <v>668896456</v>
      </c>
      <c r="O39">
        <v>411199588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673626590</v>
      </c>
      <c r="G40">
        <v>464858133</v>
      </c>
      <c r="H40">
        <v>1286102503</v>
      </c>
      <c r="I40">
        <v>1223646765</v>
      </c>
      <c r="J40">
        <v>1366790082</v>
      </c>
      <c r="K40">
        <v>1204795600</v>
      </c>
      <c r="L40">
        <v>1142204526</v>
      </c>
      <c r="M40">
        <v>982113975</v>
      </c>
      <c r="N40">
        <v>1143098523</v>
      </c>
      <c r="O40">
        <v>1315067281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810986874</v>
      </c>
      <c r="G41">
        <v>970174892</v>
      </c>
      <c r="H41">
        <v>631735096</v>
      </c>
      <c r="I41">
        <v>660553974</v>
      </c>
      <c r="J41">
        <v>551626378</v>
      </c>
      <c r="K41">
        <v>552589487</v>
      </c>
      <c r="L41">
        <v>527879169</v>
      </c>
      <c r="M41">
        <v>458427366</v>
      </c>
      <c r="N41">
        <v>470306148</v>
      </c>
      <c r="O41">
        <v>396907985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24758906643</v>
      </c>
      <c r="G42">
        <v>31242949133</v>
      </c>
      <c r="H42">
        <v>24620628332</v>
      </c>
      <c r="I42">
        <v>21486547619</v>
      </c>
      <c r="J42">
        <v>19733482764</v>
      </c>
      <c r="K42">
        <v>17246558015</v>
      </c>
      <c r="L42">
        <v>13437114957</v>
      </c>
      <c r="M42">
        <v>12129953982</v>
      </c>
      <c r="N42">
        <v>11013887717</v>
      </c>
      <c r="O42">
        <v>8433056595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376230972496</v>
      </c>
      <c r="G43">
        <v>298762141037</v>
      </c>
      <c r="H43">
        <v>221270270965</v>
      </c>
      <c r="I43">
        <v>195132937128</v>
      </c>
      <c r="J43">
        <v>172443506819</v>
      </c>
      <c r="K43">
        <v>89462249500</v>
      </c>
      <c r="L43">
        <v>48729381965</v>
      </c>
      <c r="M43">
        <v>36990219875</v>
      </c>
      <c r="N43">
        <v>27056543340</v>
      </c>
      <c r="O43">
        <v>25072980955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66405064142</v>
      </c>
      <c r="G44">
        <v>53281579054</v>
      </c>
      <c r="H44">
        <v>47773082315</v>
      </c>
      <c r="I44">
        <v>40301285225</v>
      </c>
      <c r="J44">
        <v>45562619354</v>
      </c>
      <c r="K44">
        <v>30603499198</v>
      </c>
      <c r="L44">
        <v>56424693042</v>
      </c>
      <c r="M44">
        <v>116250943161</v>
      </c>
      <c r="N44">
        <v>131920313323</v>
      </c>
      <c r="O44">
        <v>109425161197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1098008736</v>
      </c>
      <c r="G45">
        <v>886847342</v>
      </c>
      <c r="H45">
        <v>1259097747</v>
      </c>
      <c r="I45">
        <v>1316835506</v>
      </c>
      <c r="J45">
        <v>1288004734</v>
      </c>
      <c r="K45">
        <v>1138596190</v>
      </c>
      <c r="L45">
        <v>1011900603</v>
      </c>
      <c r="M45">
        <v>1005590555</v>
      </c>
      <c r="N45">
        <v>1170339118</v>
      </c>
      <c r="O45">
        <v>1293826623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31550204749</v>
      </c>
      <c r="G46">
        <v>26454414449</v>
      </c>
      <c r="H46">
        <v>27129135039</v>
      </c>
      <c r="I46">
        <v>27233690502</v>
      </c>
      <c r="J46">
        <v>24738640394</v>
      </c>
      <c r="K46">
        <v>25043310321</v>
      </c>
      <c r="L46">
        <v>22389291461</v>
      </c>
      <c r="M46">
        <v>21712515390</v>
      </c>
      <c r="N46">
        <v>20112837289</v>
      </c>
      <c r="O46">
        <v>18144872776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958817420</v>
      </c>
      <c r="G47">
        <v>301703908</v>
      </c>
      <c r="H47">
        <v>1363354335</v>
      </c>
      <c r="I47">
        <v>2583328888</v>
      </c>
      <c r="J47">
        <v>484777291</v>
      </c>
      <c r="K47">
        <v>389547503</v>
      </c>
      <c r="L47">
        <v>1803618547</v>
      </c>
      <c r="M47">
        <v>3626240947</v>
      </c>
      <c r="N47">
        <v>3457856087</v>
      </c>
      <c r="O47">
        <v>2259935206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6863112100</v>
      </c>
      <c r="G48">
        <v>6130367705</v>
      </c>
      <c r="H48">
        <v>7080220304</v>
      </c>
      <c r="I48">
        <v>6133316949</v>
      </c>
      <c r="J48">
        <v>4477307696</v>
      </c>
      <c r="K48">
        <v>3684903080</v>
      </c>
      <c r="L48">
        <v>2710668411</v>
      </c>
      <c r="M48">
        <v>2857205447</v>
      </c>
      <c r="N48">
        <v>4616596509</v>
      </c>
      <c r="O48">
        <v>3862448095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5048902932</v>
      </c>
      <c r="G49">
        <v>3984626432</v>
      </c>
      <c r="H49">
        <v>4144566288</v>
      </c>
      <c r="I49">
        <v>2787105599</v>
      </c>
      <c r="J49">
        <v>3537640265</v>
      </c>
      <c r="K49">
        <v>2791278616</v>
      </c>
      <c r="L49">
        <v>2947601111</v>
      </c>
      <c r="M49">
        <v>3608548888</v>
      </c>
      <c r="N49">
        <v>2623203839</v>
      </c>
      <c r="O49">
        <v>2279313975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2250910438</v>
      </c>
      <c r="G50">
        <v>1500089931</v>
      </c>
      <c r="H50">
        <v>3261614797</v>
      </c>
      <c r="I50">
        <v>1620692884</v>
      </c>
      <c r="J50">
        <v>2013203839</v>
      </c>
      <c r="K50">
        <v>5533129194</v>
      </c>
      <c r="L50">
        <v>4009727965</v>
      </c>
      <c r="M50">
        <v>3165670843</v>
      </c>
      <c r="N50">
        <v>2932479094</v>
      </c>
      <c r="O50">
        <v>2316127333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370340874.80000001</v>
      </c>
      <c r="L51">
        <v>1124939851.6800001</v>
      </c>
      <c r="M51">
        <v>1712784200.4400001</v>
      </c>
      <c r="N51">
        <v>2548339865.9299998</v>
      </c>
      <c r="O51">
        <v>2452788575.21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17740594288</v>
      </c>
      <c r="G52">
        <v>18212765821</v>
      </c>
      <c r="H52">
        <v>25041543041</v>
      </c>
      <c r="I52">
        <v>21270526265</v>
      </c>
      <c r="J52">
        <v>18476249243</v>
      </c>
      <c r="K52">
        <v>17704140973</v>
      </c>
      <c r="L52">
        <v>20548394273</v>
      </c>
      <c r="M52">
        <v>13642476528</v>
      </c>
      <c r="N52">
        <v>12906965398</v>
      </c>
      <c r="O52">
        <v>11132049226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6978394438</v>
      </c>
      <c r="G53">
        <v>4981351545</v>
      </c>
      <c r="H53">
        <v>7396714727</v>
      </c>
      <c r="I53">
        <v>5552125398</v>
      </c>
      <c r="J53">
        <v>5168239411</v>
      </c>
      <c r="K53">
        <v>6005864403</v>
      </c>
      <c r="L53">
        <v>4701117935</v>
      </c>
      <c r="M53">
        <v>5535052117</v>
      </c>
      <c r="N53">
        <v>4127620374</v>
      </c>
      <c r="O53">
        <v>4829577234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76300972533</v>
      </c>
      <c r="H54">
        <v>81634618061</v>
      </c>
      <c r="I54">
        <v>73980513934</v>
      </c>
      <c r="J54">
        <v>69763421963</v>
      </c>
      <c r="K54">
        <v>52407409542</v>
      </c>
      <c r="L54">
        <v>42631583970</v>
      </c>
      <c r="M54">
        <v>41129492862</v>
      </c>
      <c r="N54">
        <v>40004572409</v>
      </c>
      <c r="O54">
        <v>39544352601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1336409684</v>
      </c>
      <c r="I55">
        <v>1405756010</v>
      </c>
      <c r="J55">
        <v>1331890281</v>
      </c>
      <c r="K55">
        <v>1308538360</v>
      </c>
      <c r="L55">
        <v>1126596403</v>
      </c>
      <c r="M55">
        <v>1111220600</v>
      </c>
      <c r="N55">
        <v>1196045103</v>
      </c>
      <c r="O55">
        <v>1578663555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1045869906</v>
      </c>
      <c r="G56">
        <v>1631357247</v>
      </c>
      <c r="H56">
        <v>1644558446</v>
      </c>
      <c r="I56">
        <v>1172595821</v>
      </c>
      <c r="J56">
        <v>998394114</v>
      </c>
      <c r="K56">
        <v>483225021</v>
      </c>
      <c r="L56">
        <v>418718289</v>
      </c>
      <c r="M56">
        <v>425126076</v>
      </c>
      <c r="N56">
        <v>545306309</v>
      </c>
      <c r="O56">
        <v>510120405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1098238409</v>
      </c>
      <c r="G57">
        <v>782968029</v>
      </c>
      <c r="H57">
        <v>494843972</v>
      </c>
      <c r="I57">
        <v>458773676</v>
      </c>
      <c r="J57">
        <v>465288011</v>
      </c>
      <c r="K57">
        <v>446927961</v>
      </c>
      <c r="L57">
        <v>486292828</v>
      </c>
      <c r="M57">
        <v>547125453</v>
      </c>
      <c r="N57">
        <v>479343403</v>
      </c>
      <c r="O57">
        <v>1091732485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2388661895</v>
      </c>
      <c r="G58">
        <v>2129350009</v>
      </c>
      <c r="H58">
        <v>2365204929</v>
      </c>
      <c r="I58">
        <v>1758525490</v>
      </c>
      <c r="J58">
        <v>1623361445</v>
      </c>
      <c r="K58">
        <v>534413047</v>
      </c>
      <c r="L58">
        <v>767419055</v>
      </c>
      <c r="M58">
        <v>700168405</v>
      </c>
      <c r="N58">
        <v>765700711</v>
      </c>
      <c r="O58">
        <v>764000238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17576720539</v>
      </c>
      <c r="G59">
        <v>19336906132</v>
      </c>
      <c r="H59">
        <v>18169668400</v>
      </c>
      <c r="I59">
        <v>17660715492</v>
      </c>
      <c r="J59">
        <v>18401960331</v>
      </c>
      <c r="K59">
        <v>11005360755</v>
      </c>
      <c r="L59">
        <v>9675525089</v>
      </c>
      <c r="M59">
        <v>9125964534</v>
      </c>
      <c r="N59">
        <v>8472132748</v>
      </c>
      <c r="O59">
        <v>5408892116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82616920</v>
      </c>
      <c r="I60">
        <v>124584692</v>
      </c>
      <c r="J60">
        <v>2111568797</v>
      </c>
      <c r="K60">
        <v>2678439217</v>
      </c>
      <c r="L60">
        <v>846447936</v>
      </c>
      <c r="M60">
        <v>420388331</v>
      </c>
      <c r="N60">
        <v>894714458</v>
      </c>
      <c r="O60">
        <v>1248741379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9241136731</v>
      </c>
      <c r="G61">
        <v>7070290479</v>
      </c>
      <c r="H61">
        <v>4074875433</v>
      </c>
      <c r="I61">
        <v>4123729744</v>
      </c>
      <c r="J61">
        <v>4068316028</v>
      </c>
      <c r="K61">
        <v>4609112266</v>
      </c>
      <c r="L61">
        <v>1800356766</v>
      </c>
      <c r="M61">
        <v>3522407401</v>
      </c>
      <c r="N61">
        <v>2900531682</v>
      </c>
      <c r="O61">
        <v>3425726267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1311421941</v>
      </c>
      <c r="G62">
        <v>894133592</v>
      </c>
      <c r="H62">
        <v>1634075663</v>
      </c>
      <c r="I62">
        <v>2082852853</v>
      </c>
      <c r="J62">
        <v>1345679730</v>
      </c>
      <c r="K62">
        <v>999187955</v>
      </c>
      <c r="L62">
        <v>65886699</v>
      </c>
      <c r="M62">
        <v>57753421</v>
      </c>
      <c r="N62">
        <v>40766061</v>
      </c>
      <c r="O62">
        <v>5146057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8040325910</v>
      </c>
      <c r="G63">
        <v>6102067892</v>
      </c>
      <c r="H63">
        <v>7936197211</v>
      </c>
      <c r="I63">
        <v>6977869546</v>
      </c>
      <c r="J63">
        <v>3729235696</v>
      </c>
      <c r="K63">
        <v>4576414974</v>
      </c>
      <c r="L63">
        <v>2812731030</v>
      </c>
      <c r="M63">
        <v>1659666641</v>
      </c>
      <c r="N63">
        <v>1860321936</v>
      </c>
      <c r="O63">
        <v>2143195114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1977421755</v>
      </c>
      <c r="G64">
        <v>1744798064</v>
      </c>
      <c r="H64">
        <v>1840712195</v>
      </c>
      <c r="I64">
        <v>1695825864</v>
      </c>
      <c r="J64">
        <v>2618799306</v>
      </c>
      <c r="K64">
        <v>2760943534</v>
      </c>
      <c r="L64">
        <v>2137343593</v>
      </c>
      <c r="M64">
        <v>1801659088</v>
      </c>
      <c r="N64">
        <v>2331992044</v>
      </c>
      <c r="O64">
        <v>1943152093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13580681723</v>
      </c>
      <c r="G65">
        <v>14210296481</v>
      </c>
      <c r="H65">
        <v>14208656914</v>
      </c>
      <c r="I65">
        <v>13522494710</v>
      </c>
      <c r="J65">
        <v>11338935698</v>
      </c>
      <c r="K65">
        <v>9155781880</v>
      </c>
      <c r="L65">
        <v>7124316501</v>
      </c>
      <c r="M65">
        <v>5516216992</v>
      </c>
      <c r="N65">
        <v>4307814974</v>
      </c>
      <c r="O65">
        <v>3550190653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415478487</v>
      </c>
      <c r="G66">
        <v>488236934</v>
      </c>
      <c r="H66">
        <v>583222680</v>
      </c>
      <c r="I66">
        <v>564686064</v>
      </c>
      <c r="J66">
        <v>632691371</v>
      </c>
      <c r="K66">
        <v>501500493</v>
      </c>
      <c r="L66">
        <v>633614768</v>
      </c>
      <c r="M66">
        <v>433559909</v>
      </c>
      <c r="N66">
        <v>343340663</v>
      </c>
      <c r="O66">
        <v>348982607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4612839256</v>
      </c>
      <c r="G67">
        <v>2983479313</v>
      </c>
      <c r="H67">
        <v>3083436648</v>
      </c>
      <c r="I67">
        <v>3657696104</v>
      </c>
      <c r="J67">
        <v>3391721045</v>
      </c>
      <c r="K67">
        <v>3110395976</v>
      </c>
      <c r="L67">
        <v>3319347166</v>
      </c>
      <c r="M67">
        <v>3322612086</v>
      </c>
      <c r="N67">
        <v>1451512209</v>
      </c>
      <c r="O67">
        <v>1358599776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477758335</v>
      </c>
      <c r="G68">
        <v>338142588</v>
      </c>
      <c r="H68">
        <v>459311722</v>
      </c>
      <c r="I68">
        <v>398954710</v>
      </c>
      <c r="J68">
        <v>455834103</v>
      </c>
      <c r="K68">
        <v>445260652</v>
      </c>
      <c r="L68">
        <v>602195113</v>
      </c>
      <c r="M68">
        <v>679232051</v>
      </c>
      <c r="N68">
        <v>587020345</v>
      </c>
      <c r="O68">
        <v>428478156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390242134</v>
      </c>
      <c r="G69">
        <v>23108767</v>
      </c>
      <c r="H69">
        <v>189854098</v>
      </c>
      <c r="I69">
        <v>1396883245</v>
      </c>
      <c r="J69">
        <v>52494523</v>
      </c>
      <c r="K69">
        <v>68938550</v>
      </c>
      <c r="L69">
        <v>75511900</v>
      </c>
      <c r="M69">
        <v>40628135</v>
      </c>
      <c r="N69">
        <v>36983350</v>
      </c>
      <c r="O69">
        <v>7130671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149995193</v>
      </c>
      <c r="G70">
        <v>68653341</v>
      </c>
      <c r="H70">
        <v>143954208</v>
      </c>
      <c r="I70">
        <v>294244595</v>
      </c>
      <c r="J70">
        <v>284442029</v>
      </c>
      <c r="K70">
        <v>188306098</v>
      </c>
      <c r="L70">
        <v>190005591</v>
      </c>
      <c r="M70">
        <v>135365121</v>
      </c>
      <c r="N70">
        <v>295898538</v>
      </c>
      <c r="O70">
        <v>325155185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11386650670</v>
      </c>
      <c r="G71">
        <v>10235076148</v>
      </c>
      <c r="H71">
        <v>10472948722</v>
      </c>
      <c r="I71">
        <v>10739990105</v>
      </c>
      <c r="J71">
        <v>9751260727</v>
      </c>
      <c r="K71">
        <v>8719796315</v>
      </c>
      <c r="L71">
        <v>7876512930</v>
      </c>
      <c r="M71">
        <v>7105799596</v>
      </c>
      <c r="N71">
        <v>6453426957</v>
      </c>
      <c r="O71">
        <v>5970643901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1130509</v>
      </c>
      <c r="H72">
        <v>34223952</v>
      </c>
      <c r="I72">
        <v>2369225957</v>
      </c>
      <c r="J72">
        <v>7726142293</v>
      </c>
      <c r="K72">
        <v>6155350283</v>
      </c>
      <c r="L72">
        <v>6366955010</v>
      </c>
      <c r="M72">
        <v>3864676800</v>
      </c>
      <c r="N72">
        <v>5368968101</v>
      </c>
      <c r="O72">
        <v>3158298915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4343019414.5200005</v>
      </c>
      <c r="L73">
        <v>4010216192.3000002</v>
      </c>
      <c r="M73">
        <v>3989619446.52</v>
      </c>
      <c r="N73">
        <v>5724031751.3599997</v>
      </c>
      <c r="O73">
        <v>4341079841.4700003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475935245</v>
      </c>
      <c r="G74">
        <v>437086164</v>
      </c>
      <c r="H74">
        <v>530854566</v>
      </c>
      <c r="I74">
        <v>569533010</v>
      </c>
      <c r="J74">
        <v>501018214</v>
      </c>
      <c r="K74">
        <v>303196649</v>
      </c>
      <c r="L74">
        <v>332861255</v>
      </c>
      <c r="M74">
        <v>498472565</v>
      </c>
      <c r="N74">
        <v>946404407</v>
      </c>
      <c r="O74">
        <v>817981594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41298574701</v>
      </c>
      <c r="G75">
        <v>30976471490</v>
      </c>
      <c r="H75">
        <v>29505854979</v>
      </c>
      <c r="I75">
        <v>26346608293</v>
      </c>
      <c r="J75">
        <v>25156841833</v>
      </c>
      <c r="K75">
        <v>24711748048</v>
      </c>
      <c r="L75">
        <v>23015541068</v>
      </c>
      <c r="M75">
        <v>23301656611</v>
      </c>
      <c r="N75">
        <v>13557114725</v>
      </c>
      <c r="O75">
        <v>12823458359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530283353</v>
      </c>
      <c r="G76">
        <v>2668887038</v>
      </c>
      <c r="H76">
        <v>8907071040</v>
      </c>
      <c r="I76">
        <v>8249540362</v>
      </c>
      <c r="J76">
        <v>8207790345</v>
      </c>
      <c r="K76">
        <v>6608716990</v>
      </c>
      <c r="L76">
        <v>1440968835</v>
      </c>
      <c r="M76">
        <v>1426482968</v>
      </c>
      <c r="N76">
        <v>1306916524</v>
      </c>
      <c r="O76">
        <v>1217550497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8100278</v>
      </c>
      <c r="G77">
        <v>20611861</v>
      </c>
      <c r="H77">
        <v>14697742</v>
      </c>
      <c r="I77">
        <v>7260502</v>
      </c>
      <c r="J77">
        <v>2433467</v>
      </c>
      <c r="K77">
        <v>14781991</v>
      </c>
      <c r="L77">
        <v>14117004</v>
      </c>
      <c r="M77">
        <v>12207636</v>
      </c>
      <c r="N77">
        <v>25266018</v>
      </c>
      <c r="O77">
        <v>5602306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540029</v>
      </c>
      <c r="L78">
        <v>1122408</v>
      </c>
      <c r="M78">
        <v>298982.59999999998</v>
      </c>
      <c r="N78">
        <v>611386.56999999995</v>
      </c>
      <c r="O78">
        <v>1079718.48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1660987226</v>
      </c>
      <c r="G79">
        <v>6810804707</v>
      </c>
      <c r="H79">
        <v>10198652476</v>
      </c>
      <c r="I79">
        <v>13221941530</v>
      </c>
      <c r="J79">
        <v>10336923913</v>
      </c>
      <c r="K79">
        <v>11055032858</v>
      </c>
      <c r="L79">
        <v>1561636809</v>
      </c>
      <c r="M79">
        <v>307769025</v>
      </c>
      <c r="N79">
        <v>268795636</v>
      </c>
      <c r="O79">
        <v>263335742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9225688776</v>
      </c>
      <c r="G80">
        <v>8819546434</v>
      </c>
      <c r="H80">
        <v>11102176233</v>
      </c>
      <c r="I80">
        <v>9975208240</v>
      </c>
      <c r="J80">
        <v>10499614214</v>
      </c>
      <c r="K80">
        <v>8744423949</v>
      </c>
      <c r="L80">
        <v>4402320661</v>
      </c>
      <c r="M80">
        <v>4780119068</v>
      </c>
      <c r="N80">
        <v>1930886005</v>
      </c>
      <c r="O80">
        <v>1499241444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2498328300</v>
      </c>
      <c r="G81">
        <v>640534247</v>
      </c>
      <c r="H81">
        <v>394837593</v>
      </c>
      <c r="I81">
        <v>160400845</v>
      </c>
      <c r="J81">
        <v>138164883</v>
      </c>
      <c r="K81">
        <v>153424199</v>
      </c>
      <c r="L81">
        <v>204428551</v>
      </c>
      <c r="M81">
        <v>264362827</v>
      </c>
      <c r="N81">
        <v>358831245</v>
      </c>
      <c r="O81">
        <v>304183207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51933649863</v>
      </c>
      <c r="G82">
        <v>43513525584</v>
      </c>
      <c r="H82">
        <v>43250361762</v>
      </c>
      <c r="I82">
        <v>37696270398</v>
      </c>
      <c r="J82">
        <v>47597981244</v>
      </c>
      <c r="K82">
        <v>29820105826</v>
      </c>
      <c r="L82">
        <v>35825125168</v>
      </c>
      <c r="M82">
        <v>37942638203</v>
      </c>
      <c r="N82">
        <v>35482707376</v>
      </c>
      <c r="O82">
        <v>8661476233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1594077582</v>
      </c>
      <c r="G83">
        <v>1504682889</v>
      </c>
      <c r="H83">
        <v>1725811391</v>
      </c>
      <c r="I83">
        <v>1550420101</v>
      </c>
      <c r="J83">
        <v>1256188452</v>
      </c>
      <c r="K83">
        <v>731746965</v>
      </c>
      <c r="L83">
        <v>423662342</v>
      </c>
      <c r="M83">
        <v>577418888</v>
      </c>
      <c r="N83">
        <v>534441056</v>
      </c>
      <c r="O83">
        <v>547755910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34362333590</v>
      </c>
      <c r="G84">
        <v>25871832320</v>
      </c>
      <c r="H84">
        <v>24082448025</v>
      </c>
      <c r="I84">
        <v>21196992512</v>
      </c>
      <c r="J84">
        <v>19996479003</v>
      </c>
      <c r="K84">
        <v>17216784444</v>
      </c>
      <c r="L84">
        <v>15272250226</v>
      </c>
      <c r="M84">
        <v>16361226533</v>
      </c>
      <c r="N84">
        <v>13872830414</v>
      </c>
      <c r="O84">
        <v>13377334258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392986127</v>
      </c>
      <c r="G85">
        <v>265708295</v>
      </c>
      <c r="H85">
        <v>259536996</v>
      </c>
      <c r="I85">
        <v>250983155</v>
      </c>
      <c r="J85">
        <v>222821499</v>
      </c>
      <c r="K85">
        <v>195765653</v>
      </c>
      <c r="L85">
        <v>149363602</v>
      </c>
      <c r="M85">
        <v>207262604</v>
      </c>
      <c r="N85">
        <v>125295738</v>
      </c>
      <c r="O85">
        <v>117378248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19017699594</v>
      </c>
      <c r="G86">
        <v>14949478425</v>
      </c>
      <c r="H86">
        <v>15142240614</v>
      </c>
      <c r="I86">
        <v>16084606987</v>
      </c>
      <c r="J86">
        <v>15852085435</v>
      </c>
      <c r="K86">
        <v>16800687849</v>
      </c>
      <c r="L86">
        <v>18027155145</v>
      </c>
      <c r="M86">
        <v>18581485492</v>
      </c>
      <c r="N86">
        <v>14284250309</v>
      </c>
      <c r="O86">
        <v>15203098218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1454845038</v>
      </c>
      <c r="G87">
        <v>1381103305</v>
      </c>
      <c r="H87">
        <v>1371704585</v>
      </c>
      <c r="I87">
        <v>1403694660</v>
      </c>
      <c r="J87">
        <v>1338491458</v>
      </c>
      <c r="K87">
        <v>1220937325</v>
      </c>
      <c r="L87">
        <v>1166597880</v>
      </c>
      <c r="M87">
        <v>1127151625</v>
      </c>
      <c r="N87">
        <v>983947149</v>
      </c>
      <c r="O87">
        <v>817027812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29004342957.650002</v>
      </c>
      <c r="O88">
        <v>39547586418.940002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1643465067</v>
      </c>
      <c r="G89">
        <v>1307994181</v>
      </c>
      <c r="H89">
        <v>1322574576</v>
      </c>
      <c r="I89">
        <v>2440020570</v>
      </c>
      <c r="J89">
        <v>2021009428</v>
      </c>
      <c r="K89">
        <v>1926622097</v>
      </c>
      <c r="L89">
        <v>1721635207</v>
      </c>
      <c r="M89">
        <v>1582823939</v>
      </c>
      <c r="N89">
        <v>1383973604</v>
      </c>
      <c r="O89">
        <v>1441838665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516028571327</v>
      </c>
      <c r="G90">
        <v>432718023220</v>
      </c>
      <c r="H90">
        <v>512812713925</v>
      </c>
      <c r="I90">
        <v>629656137491</v>
      </c>
      <c r="J90">
        <v>578180826306</v>
      </c>
      <c r="K90">
        <v>525521145062</v>
      </c>
      <c r="L90">
        <v>461950827781</v>
      </c>
      <c r="M90">
        <v>485190240343</v>
      </c>
      <c r="N90">
        <v>428874664749</v>
      </c>
      <c r="O90">
        <v>379329296151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2545327429</v>
      </c>
      <c r="G91">
        <v>2282426943</v>
      </c>
      <c r="H91">
        <v>2708602277</v>
      </c>
      <c r="I91">
        <v>2619776273</v>
      </c>
      <c r="J91">
        <v>2111547956</v>
      </c>
      <c r="K91">
        <v>2034166339</v>
      </c>
      <c r="L91">
        <v>1786858595</v>
      </c>
      <c r="M91">
        <v>1382547950</v>
      </c>
      <c r="N91">
        <v>927257968</v>
      </c>
      <c r="O91">
        <v>1169536952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177544547</v>
      </c>
      <c r="G92">
        <v>261638457</v>
      </c>
      <c r="H92">
        <v>349727590</v>
      </c>
      <c r="I92">
        <v>116612602</v>
      </c>
      <c r="J92">
        <v>209675229</v>
      </c>
      <c r="K92">
        <v>193415414</v>
      </c>
      <c r="L92">
        <v>304155502</v>
      </c>
      <c r="M92">
        <v>223822778</v>
      </c>
      <c r="N92">
        <v>292135207</v>
      </c>
      <c r="O92">
        <v>270893852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393987466</v>
      </c>
      <c r="G93">
        <v>252036362</v>
      </c>
      <c r="H93">
        <v>365616011</v>
      </c>
      <c r="I93">
        <v>416415316</v>
      </c>
      <c r="J93">
        <v>371828792</v>
      </c>
      <c r="K93">
        <v>383098521</v>
      </c>
      <c r="L93">
        <v>395643854</v>
      </c>
      <c r="M93">
        <v>423277960</v>
      </c>
      <c r="N93">
        <v>430860632</v>
      </c>
      <c r="O93">
        <v>364710216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2009344562</v>
      </c>
      <c r="G94">
        <v>1692692148</v>
      </c>
      <c r="H94">
        <v>1485367242</v>
      </c>
      <c r="I94">
        <v>1284350046</v>
      </c>
      <c r="J94">
        <v>1179556991</v>
      </c>
      <c r="K94">
        <v>1272055488</v>
      </c>
      <c r="L94">
        <v>1406251726</v>
      </c>
      <c r="M94">
        <v>1342645385</v>
      </c>
      <c r="N94">
        <v>1576152769</v>
      </c>
      <c r="O94">
        <v>1394540528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6930100484</v>
      </c>
      <c r="G96">
        <v>3443803846</v>
      </c>
      <c r="H96">
        <v>3189411629</v>
      </c>
      <c r="I96">
        <v>2104806849</v>
      </c>
      <c r="J96">
        <v>2079577013</v>
      </c>
      <c r="K96">
        <v>1593764169</v>
      </c>
      <c r="L96">
        <v>1349357873</v>
      </c>
      <c r="M96">
        <v>1484455815</v>
      </c>
      <c r="N96">
        <v>1475562749</v>
      </c>
      <c r="O96">
        <v>1890782558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20699751985</v>
      </c>
      <c r="G97">
        <v>11865733784</v>
      </c>
      <c r="H97">
        <v>12062374231</v>
      </c>
      <c r="I97">
        <v>8463550248</v>
      </c>
      <c r="J97">
        <v>5271366336</v>
      </c>
      <c r="K97">
        <v>3466217682</v>
      </c>
      <c r="L97">
        <v>5951021358</v>
      </c>
      <c r="M97">
        <v>3950060484</v>
      </c>
      <c r="N97">
        <v>7301031037</v>
      </c>
      <c r="O97">
        <v>7170534664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61655705</v>
      </c>
      <c r="G98">
        <v>104613430</v>
      </c>
      <c r="H98">
        <v>163015898</v>
      </c>
      <c r="I98">
        <v>385108604</v>
      </c>
      <c r="J98">
        <v>638862857</v>
      </c>
      <c r="K98">
        <v>475549144</v>
      </c>
      <c r="L98">
        <v>590629746</v>
      </c>
      <c r="M98">
        <v>502184255</v>
      </c>
      <c r="N98">
        <v>451344829</v>
      </c>
      <c r="O98">
        <v>435603803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634715087</v>
      </c>
      <c r="G99">
        <v>389997887</v>
      </c>
      <c r="H99">
        <v>362492882</v>
      </c>
      <c r="I99">
        <v>298755657</v>
      </c>
      <c r="J99">
        <v>264320150</v>
      </c>
      <c r="K99">
        <v>258142308</v>
      </c>
      <c r="L99">
        <v>487247252</v>
      </c>
      <c r="M99">
        <v>477476219</v>
      </c>
      <c r="N99">
        <v>274119468</v>
      </c>
      <c r="O99">
        <v>238908635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2224803241</v>
      </c>
      <c r="G100">
        <v>1746043934</v>
      </c>
      <c r="H100">
        <v>1125631391</v>
      </c>
      <c r="I100">
        <v>1053384345</v>
      </c>
      <c r="J100">
        <v>930143394</v>
      </c>
      <c r="K100">
        <v>882727566</v>
      </c>
      <c r="L100">
        <v>814371873</v>
      </c>
      <c r="M100">
        <v>711763555</v>
      </c>
      <c r="N100">
        <v>647996450</v>
      </c>
      <c r="O100">
        <v>666046949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54371000000</v>
      </c>
      <c r="G101">
        <v>42756000000</v>
      </c>
      <c r="H101">
        <v>97607000000</v>
      </c>
      <c r="I101">
        <v>96324000000</v>
      </c>
      <c r="J101">
        <v>81236000000</v>
      </c>
      <c r="K101">
        <v>79314000000</v>
      </c>
      <c r="L101">
        <v>76448000000</v>
      </c>
      <c r="M101">
        <v>72191000000</v>
      </c>
      <c r="N101">
        <v>69790279000</v>
      </c>
      <c r="O101">
        <v>66409838000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6738738423</v>
      </c>
      <c r="G102">
        <v>2791829151</v>
      </c>
      <c r="H102">
        <v>1045602137</v>
      </c>
      <c r="I102">
        <v>1016619440</v>
      </c>
      <c r="J102">
        <v>939235626</v>
      </c>
      <c r="K102">
        <v>994414415</v>
      </c>
      <c r="L102">
        <v>1078093854</v>
      </c>
      <c r="M102">
        <v>1043442989</v>
      </c>
      <c r="N102">
        <v>1025634980</v>
      </c>
      <c r="O102">
        <v>763718450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5109283582</v>
      </c>
      <c r="G103">
        <v>3290786836</v>
      </c>
      <c r="H103">
        <v>2390394221</v>
      </c>
      <c r="I103">
        <v>2315324371</v>
      </c>
      <c r="J103">
        <v>2226507721</v>
      </c>
      <c r="K103">
        <v>1746486681</v>
      </c>
      <c r="L103">
        <v>3374056943</v>
      </c>
      <c r="M103">
        <v>2858936527</v>
      </c>
      <c r="N103">
        <v>1830142252</v>
      </c>
      <c r="O103">
        <v>2680224205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2657949972</v>
      </c>
      <c r="G104">
        <v>3024064994</v>
      </c>
      <c r="H104">
        <v>2183658120</v>
      </c>
      <c r="I104">
        <v>1954403067</v>
      </c>
      <c r="J104">
        <v>2368575255</v>
      </c>
      <c r="K104">
        <v>1289160501</v>
      </c>
      <c r="L104">
        <v>1430246883</v>
      </c>
      <c r="M104">
        <v>1290354619</v>
      </c>
      <c r="N104">
        <v>1289426952</v>
      </c>
      <c r="O104">
        <v>1373472545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712810506</v>
      </c>
      <c r="G105">
        <v>396497336</v>
      </c>
      <c r="H105">
        <v>619833472</v>
      </c>
      <c r="I105">
        <v>909041288</v>
      </c>
      <c r="J105">
        <v>2837575037</v>
      </c>
      <c r="K105">
        <v>1269724680</v>
      </c>
      <c r="L105">
        <v>1966388992</v>
      </c>
      <c r="M105">
        <v>1291637132</v>
      </c>
      <c r="N105">
        <v>824085994</v>
      </c>
      <c r="O105">
        <v>798625190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14832835262</v>
      </c>
      <c r="G106">
        <v>11116750310</v>
      </c>
      <c r="H106">
        <v>7832582552</v>
      </c>
      <c r="I106">
        <v>7552318004</v>
      </c>
      <c r="J106">
        <v>8384625729</v>
      </c>
      <c r="K106">
        <v>3641252118</v>
      </c>
      <c r="L106">
        <v>6180627624</v>
      </c>
      <c r="M106">
        <v>7575226250</v>
      </c>
      <c r="N106">
        <v>7272739590</v>
      </c>
      <c r="O106">
        <v>4315372023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2057197643</v>
      </c>
      <c r="G107">
        <v>2052906415</v>
      </c>
      <c r="H107">
        <v>2918358126</v>
      </c>
      <c r="I107">
        <v>3455480781</v>
      </c>
      <c r="J107">
        <v>4606557728</v>
      </c>
      <c r="K107">
        <v>7438298986</v>
      </c>
      <c r="L107">
        <v>9795029620</v>
      </c>
      <c r="M107">
        <v>11370181376</v>
      </c>
      <c r="N107">
        <v>15101900210</v>
      </c>
      <c r="O107">
        <v>13390822325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1045135283</v>
      </c>
      <c r="G108">
        <v>2105321928</v>
      </c>
      <c r="H108">
        <v>2291786430</v>
      </c>
      <c r="I108">
        <v>13001844197</v>
      </c>
      <c r="J108">
        <v>16308407920</v>
      </c>
      <c r="K108">
        <v>17319072747</v>
      </c>
      <c r="L108">
        <v>16382426289</v>
      </c>
      <c r="M108">
        <v>15355393032</v>
      </c>
      <c r="N108">
        <v>14060898303</v>
      </c>
      <c r="O108">
        <v>12812370058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6478474465</v>
      </c>
      <c r="G109">
        <v>3310429968</v>
      </c>
      <c r="H109">
        <v>4740781025</v>
      </c>
      <c r="I109">
        <v>4528239736</v>
      </c>
      <c r="J109">
        <v>4853691837</v>
      </c>
      <c r="K109">
        <v>2348898828</v>
      </c>
      <c r="L109">
        <v>2859461315</v>
      </c>
      <c r="M109">
        <v>3452680068</v>
      </c>
      <c r="N109">
        <v>3759564227</v>
      </c>
      <c r="O109">
        <v>4948255687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14186278729</v>
      </c>
      <c r="G110">
        <v>10686060400</v>
      </c>
      <c r="H110">
        <v>12318174481</v>
      </c>
      <c r="I110">
        <v>10445820630</v>
      </c>
      <c r="J110">
        <v>9302921162</v>
      </c>
      <c r="K110">
        <v>5103354299</v>
      </c>
      <c r="L110">
        <v>5413402022</v>
      </c>
      <c r="M110">
        <v>4835505902</v>
      </c>
      <c r="N110">
        <v>2768797163</v>
      </c>
      <c r="O110">
        <v>2825697736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40005435722</v>
      </c>
      <c r="G111">
        <v>24499644573</v>
      </c>
      <c r="H111">
        <v>18799844717</v>
      </c>
      <c r="I111">
        <v>22239301589</v>
      </c>
      <c r="J111">
        <v>23582224320</v>
      </c>
      <c r="K111">
        <v>15777507704</v>
      </c>
      <c r="L111">
        <v>9462571949</v>
      </c>
      <c r="M111">
        <v>13923460820</v>
      </c>
      <c r="N111">
        <v>14259285437</v>
      </c>
      <c r="O111">
        <v>15202315924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5353222111</v>
      </c>
      <c r="G112">
        <v>4533189143</v>
      </c>
      <c r="H112">
        <v>3202430716</v>
      </c>
      <c r="I112">
        <v>2379310497</v>
      </c>
      <c r="J112">
        <v>2084268239</v>
      </c>
      <c r="K112">
        <v>1707582198</v>
      </c>
      <c r="L112">
        <v>1656988809</v>
      </c>
      <c r="M112">
        <v>1285244688</v>
      </c>
      <c r="N112">
        <v>1320860942</v>
      </c>
      <c r="O112">
        <v>1182692446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3760520289</v>
      </c>
      <c r="G113">
        <v>2896397868</v>
      </c>
      <c r="H113">
        <v>2683150884</v>
      </c>
      <c r="I113">
        <v>3276086792</v>
      </c>
      <c r="J113">
        <v>2809340332</v>
      </c>
      <c r="K113">
        <v>2316175290</v>
      </c>
      <c r="L113">
        <v>3069800715</v>
      </c>
      <c r="M113">
        <v>2860874917</v>
      </c>
      <c r="N113">
        <v>2906584489</v>
      </c>
      <c r="O113">
        <v>2613859277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7823098284</v>
      </c>
      <c r="G114">
        <v>6891090219</v>
      </c>
      <c r="H114">
        <v>7239401569</v>
      </c>
      <c r="I114">
        <v>6500386775</v>
      </c>
      <c r="J114">
        <v>6159358916</v>
      </c>
      <c r="K114">
        <v>5877797746</v>
      </c>
      <c r="L114">
        <v>5848168004</v>
      </c>
      <c r="M114">
        <v>5532777953</v>
      </c>
      <c r="N114">
        <v>5488884112</v>
      </c>
      <c r="O114">
        <v>5342706261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628400404</v>
      </c>
      <c r="G115">
        <v>269505027</v>
      </c>
      <c r="H115">
        <v>406265669</v>
      </c>
      <c r="I115">
        <v>500374696</v>
      </c>
      <c r="J115">
        <v>1372786459</v>
      </c>
      <c r="K115">
        <v>2517414776</v>
      </c>
      <c r="L115">
        <v>1235644284</v>
      </c>
      <c r="M115">
        <v>1102838435</v>
      </c>
      <c r="N115">
        <v>950224986</v>
      </c>
      <c r="O115">
        <v>848422103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3817812474</v>
      </c>
      <c r="G116">
        <v>3184678127</v>
      </c>
      <c r="H116">
        <v>871121850</v>
      </c>
      <c r="I116">
        <v>928260757</v>
      </c>
      <c r="J116">
        <v>634665470</v>
      </c>
      <c r="K116">
        <v>920170676</v>
      </c>
      <c r="L116">
        <v>721744896</v>
      </c>
      <c r="M116">
        <v>637287342</v>
      </c>
      <c r="N116">
        <v>648568640</v>
      </c>
      <c r="O116">
        <v>632701867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12652650798</v>
      </c>
      <c r="G117">
        <v>3446601053</v>
      </c>
      <c r="H117">
        <v>3413691912</v>
      </c>
      <c r="I117">
        <v>3287689665</v>
      </c>
      <c r="J117">
        <v>3076027978</v>
      </c>
      <c r="K117">
        <v>3190836264</v>
      </c>
      <c r="L117">
        <v>3281121447</v>
      </c>
      <c r="M117">
        <v>3074636940</v>
      </c>
      <c r="N117">
        <v>3192119280</v>
      </c>
      <c r="O117">
        <v>3029362481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7201587458</v>
      </c>
      <c r="G118">
        <v>8075896157</v>
      </c>
      <c r="H118">
        <v>6130760013</v>
      </c>
      <c r="I118">
        <v>5970298106</v>
      </c>
      <c r="J118">
        <v>5028753490</v>
      </c>
      <c r="K118">
        <v>4895155300</v>
      </c>
      <c r="L118">
        <v>3031228211</v>
      </c>
      <c r="M118">
        <v>2460274842</v>
      </c>
      <c r="N118">
        <v>2152699203</v>
      </c>
      <c r="O118">
        <v>634254776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1227558949</v>
      </c>
      <c r="G119">
        <v>1056320934</v>
      </c>
      <c r="H119">
        <v>1662665986</v>
      </c>
      <c r="I119">
        <v>1147490325</v>
      </c>
      <c r="J119">
        <v>1063378607</v>
      </c>
      <c r="K119">
        <v>998772247</v>
      </c>
      <c r="L119">
        <v>719160304</v>
      </c>
      <c r="M119">
        <v>644483977</v>
      </c>
      <c r="N119">
        <v>692407028</v>
      </c>
      <c r="O119">
        <v>736717885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1161750302</v>
      </c>
      <c r="G120">
        <v>856546782</v>
      </c>
      <c r="H120">
        <v>1656661751</v>
      </c>
      <c r="I120">
        <v>1507417503</v>
      </c>
      <c r="J120">
        <v>312024076</v>
      </c>
      <c r="K120">
        <v>337062554</v>
      </c>
      <c r="L120">
        <v>96218259</v>
      </c>
      <c r="M120">
        <v>47251374</v>
      </c>
      <c r="N120">
        <v>40024044</v>
      </c>
      <c r="O120">
        <v>48604343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282543206</v>
      </c>
      <c r="G121">
        <v>210723738</v>
      </c>
      <c r="H121">
        <v>229992279</v>
      </c>
      <c r="I121">
        <v>228152722</v>
      </c>
      <c r="J121">
        <v>197986262</v>
      </c>
      <c r="K121">
        <v>163773919</v>
      </c>
      <c r="L121">
        <v>164574179</v>
      </c>
      <c r="M121">
        <v>287081076</v>
      </c>
      <c r="N121">
        <v>350306569</v>
      </c>
      <c r="O121">
        <v>240938767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6931388326</v>
      </c>
      <c r="G122">
        <v>6193242297</v>
      </c>
      <c r="H122">
        <v>10562186562</v>
      </c>
      <c r="I122">
        <v>9567421503</v>
      </c>
      <c r="J122">
        <v>7786769881</v>
      </c>
      <c r="K122">
        <v>7654660613</v>
      </c>
      <c r="L122">
        <v>7557360030</v>
      </c>
      <c r="M122">
        <v>7926604142</v>
      </c>
      <c r="N122">
        <v>6801086850</v>
      </c>
      <c r="O122">
        <v>6309719048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0</v>
      </c>
      <c r="G123">
        <v>513979</v>
      </c>
      <c r="H123">
        <v>570013</v>
      </c>
      <c r="I123">
        <v>98855622</v>
      </c>
      <c r="J123">
        <v>219856355</v>
      </c>
      <c r="K123">
        <v>592156417</v>
      </c>
      <c r="L123">
        <v>1630047572</v>
      </c>
      <c r="M123">
        <v>305459580</v>
      </c>
      <c r="N123">
        <v>337583467</v>
      </c>
      <c r="O123">
        <v>542423174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13603036010</v>
      </c>
      <c r="G124">
        <v>12270771850</v>
      </c>
      <c r="H124">
        <v>12586973409</v>
      </c>
      <c r="I124">
        <v>12224182010</v>
      </c>
      <c r="J124">
        <v>10651913926</v>
      </c>
      <c r="K124">
        <v>9177655964</v>
      </c>
      <c r="L124">
        <v>8617646222</v>
      </c>
      <c r="M124">
        <v>7831247426</v>
      </c>
      <c r="N124">
        <v>6825063226</v>
      </c>
      <c r="O124">
        <v>8062523869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26276109176</v>
      </c>
      <c r="G125">
        <v>26645977534</v>
      </c>
      <c r="H125">
        <v>18159114090</v>
      </c>
      <c r="I125">
        <v>16155034686</v>
      </c>
      <c r="J125">
        <v>15202240714</v>
      </c>
      <c r="K125">
        <v>10816280749</v>
      </c>
      <c r="L125">
        <v>10204968757</v>
      </c>
      <c r="M125">
        <v>10154162091</v>
      </c>
      <c r="N125">
        <v>8531516893</v>
      </c>
      <c r="O125">
        <v>7518059705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365168712</v>
      </c>
      <c r="G126">
        <v>1529579</v>
      </c>
      <c r="H126">
        <v>4616765</v>
      </c>
      <c r="I126">
        <v>0</v>
      </c>
      <c r="J126">
        <v>699214475</v>
      </c>
      <c r="K126">
        <v>7000000</v>
      </c>
      <c r="L126">
        <v>2796843</v>
      </c>
      <c r="M126">
        <v>31564714</v>
      </c>
      <c r="N126">
        <v>25938883</v>
      </c>
      <c r="O126">
        <v>25023656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63912163</v>
      </c>
      <c r="G127">
        <v>51616622</v>
      </c>
      <c r="H127">
        <v>1102514595</v>
      </c>
      <c r="I127">
        <v>1998031942</v>
      </c>
      <c r="J127">
        <v>1286949916</v>
      </c>
      <c r="K127">
        <v>7989674</v>
      </c>
      <c r="L127">
        <v>3691420</v>
      </c>
      <c r="M127">
        <v>0</v>
      </c>
      <c r="N127">
        <v>36703775</v>
      </c>
      <c r="O127">
        <v>22593071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512035645</v>
      </c>
      <c r="G128">
        <v>411374606</v>
      </c>
      <c r="H128">
        <v>437242143</v>
      </c>
      <c r="I128">
        <v>364010083</v>
      </c>
      <c r="J128">
        <v>399277020</v>
      </c>
      <c r="K128">
        <v>290398652</v>
      </c>
      <c r="L128">
        <v>383907986</v>
      </c>
      <c r="M128">
        <v>378201522</v>
      </c>
      <c r="N128">
        <v>319494280</v>
      </c>
      <c r="O128">
        <v>373488649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43257575</v>
      </c>
      <c r="G129">
        <v>30071012</v>
      </c>
      <c r="H129">
        <v>59523561</v>
      </c>
      <c r="I129">
        <v>34020375</v>
      </c>
      <c r="J129">
        <v>21635481</v>
      </c>
      <c r="K129">
        <v>4981073</v>
      </c>
      <c r="L129">
        <v>1115909</v>
      </c>
      <c r="M129">
        <v>9549243</v>
      </c>
      <c r="N129">
        <v>47409395</v>
      </c>
      <c r="O129">
        <v>4482000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38172491616</v>
      </c>
      <c r="G130">
        <v>30040667850</v>
      </c>
      <c r="H130">
        <v>16976831403</v>
      </c>
      <c r="I130">
        <v>12393137627</v>
      </c>
      <c r="J130">
        <v>13874422578</v>
      </c>
      <c r="K130">
        <v>13752065866</v>
      </c>
      <c r="L130">
        <v>16772377071</v>
      </c>
      <c r="M130">
        <v>21486589611</v>
      </c>
      <c r="N130">
        <v>12264619834</v>
      </c>
      <c r="O130">
        <v>13709206562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4313941908</v>
      </c>
      <c r="G131">
        <v>4125692405</v>
      </c>
      <c r="H131">
        <v>4962196266</v>
      </c>
      <c r="I131">
        <v>5782215763</v>
      </c>
      <c r="J131">
        <v>4581097753</v>
      </c>
      <c r="K131">
        <v>4219138422</v>
      </c>
      <c r="L131">
        <v>2318649932</v>
      </c>
      <c r="M131">
        <v>1760074200</v>
      </c>
      <c r="N131">
        <v>1625063378</v>
      </c>
      <c r="O131">
        <v>693375610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1593030669</v>
      </c>
      <c r="G132">
        <v>869913351</v>
      </c>
      <c r="H132">
        <v>864587087</v>
      </c>
      <c r="I132">
        <v>1109095221</v>
      </c>
      <c r="J132">
        <v>1006387470</v>
      </c>
      <c r="K132">
        <v>409508888</v>
      </c>
      <c r="L132">
        <v>617714327</v>
      </c>
      <c r="M132">
        <v>1041688766</v>
      </c>
      <c r="N132">
        <v>1865482493</v>
      </c>
      <c r="O132">
        <v>2458316522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645004331428</v>
      </c>
      <c r="G133">
        <v>358169947320</v>
      </c>
      <c r="H133">
        <v>286842404454</v>
      </c>
      <c r="I133">
        <v>238206687899</v>
      </c>
      <c r="J133">
        <v>175002644243</v>
      </c>
      <c r="K133">
        <v>116129609695</v>
      </c>
      <c r="L133">
        <v>105027844877</v>
      </c>
      <c r="M133">
        <v>103539126640</v>
      </c>
      <c r="N133">
        <v>89735880996</v>
      </c>
      <c r="O133">
        <v>74009737810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18653184</v>
      </c>
      <c r="G134">
        <v>19518419</v>
      </c>
      <c r="H134">
        <v>27066346</v>
      </c>
      <c r="I134">
        <v>49649384</v>
      </c>
      <c r="J134">
        <v>202257119</v>
      </c>
      <c r="K134">
        <v>253963735</v>
      </c>
      <c r="L134">
        <v>262419889</v>
      </c>
      <c r="M134">
        <v>138264121</v>
      </c>
      <c r="N134">
        <v>8439332</v>
      </c>
      <c r="O134">
        <v>441926840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698834791</v>
      </c>
      <c r="G135">
        <v>672227807</v>
      </c>
      <c r="H135">
        <v>734665902</v>
      </c>
      <c r="I135">
        <v>748581257</v>
      </c>
      <c r="J135">
        <v>560058290</v>
      </c>
      <c r="K135">
        <v>434102268</v>
      </c>
      <c r="L135">
        <v>607107273</v>
      </c>
      <c r="M135">
        <v>713570264</v>
      </c>
      <c r="N135">
        <v>758586342</v>
      </c>
      <c r="O135">
        <v>595545791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15897935231</v>
      </c>
      <c r="G136">
        <v>12460442634</v>
      </c>
      <c r="H136">
        <v>12092586752</v>
      </c>
      <c r="I136">
        <v>17599234738</v>
      </c>
      <c r="J136">
        <v>19379459633</v>
      </c>
      <c r="K136">
        <v>7867059635</v>
      </c>
      <c r="L136">
        <v>7346594641</v>
      </c>
      <c r="M136">
        <v>3979405886</v>
      </c>
      <c r="N136">
        <v>6310526562</v>
      </c>
      <c r="O136">
        <v>4100924805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826587005</v>
      </c>
      <c r="G137">
        <v>1011593287</v>
      </c>
      <c r="H137">
        <v>872407546</v>
      </c>
      <c r="I137">
        <v>1238097257</v>
      </c>
      <c r="J137">
        <v>958939646</v>
      </c>
      <c r="K137">
        <v>862443157</v>
      </c>
      <c r="L137">
        <v>596908228</v>
      </c>
      <c r="M137">
        <v>642835516</v>
      </c>
      <c r="N137">
        <v>600357131</v>
      </c>
      <c r="O137">
        <v>468501622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797238425</v>
      </c>
      <c r="G138">
        <v>800888654</v>
      </c>
      <c r="H138">
        <v>586901395</v>
      </c>
      <c r="I138">
        <v>365309382</v>
      </c>
      <c r="J138">
        <v>288446775</v>
      </c>
      <c r="K138">
        <v>674769106</v>
      </c>
      <c r="L138">
        <v>298472626</v>
      </c>
      <c r="M138">
        <v>836196788</v>
      </c>
      <c r="N138">
        <v>651196345</v>
      </c>
      <c r="O138">
        <v>190128276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13803691904</v>
      </c>
      <c r="G139">
        <v>12183598156</v>
      </c>
      <c r="H139">
        <v>12780838314</v>
      </c>
      <c r="I139">
        <v>13433506865</v>
      </c>
      <c r="J139">
        <v>11411780598</v>
      </c>
      <c r="K139">
        <v>8597904927</v>
      </c>
      <c r="L139">
        <v>7999167458</v>
      </c>
      <c r="M139">
        <v>8487162181</v>
      </c>
      <c r="N139">
        <v>8883354719</v>
      </c>
      <c r="O139">
        <v>6373282203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2718048954</v>
      </c>
      <c r="G140">
        <v>2480673020</v>
      </c>
      <c r="H140">
        <v>2285877267</v>
      </c>
      <c r="I140">
        <v>2140736008</v>
      </c>
      <c r="J140">
        <v>1091203544</v>
      </c>
      <c r="K140">
        <v>1159741299</v>
      </c>
      <c r="L140">
        <v>1220590801</v>
      </c>
      <c r="M140">
        <v>1432874462</v>
      </c>
      <c r="N140">
        <v>1167261912</v>
      </c>
      <c r="O140">
        <v>871506471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4388286259</v>
      </c>
      <c r="G141">
        <v>4424090107</v>
      </c>
      <c r="H141">
        <v>5611525025</v>
      </c>
      <c r="I141">
        <v>2978720445</v>
      </c>
      <c r="J141">
        <v>2982056266</v>
      </c>
      <c r="K141">
        <v>3471307983</v>
      </c>
      <c r="L141">
        <v>2750502185</v>
      </c>
      <c r="M141">
        <v>1964004456</v>
      </c>
      <c r="N141">
        <v>2808662501</v>
      </c>
      <c r="O141">
        <v>3920523847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766976014</v>
      </c>
      <c r="G142">
        <v>615417138</v>
      </c>
      <c r="H142">
        <v>306840255</v>
      </c>
      <c r="I142">
        <v>346557872</v>
      </c>
      <c r="J142">
        <v>248785678</v>
      </c>
      <c r="K142">
        <v>270773934</v>
      </c>
      <c r="L142">
        <v>679122105</v>
      </c>
      <c r="M142">
        <v>1094917414</v>
      </c>
      <c r="N142">
        <v>1210299858</v>
      </c>
      <c r="O142">
        <v>1231500263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154702871</v>
      </c>
      <c r="G143">
        <v>91950508</v>
      </c>
      <c r="H143">
        <v>76286770</v>
      </c>
      <c r="I143">
        <v>404772863</v>
      </c>
      <c r="J143">
        <v>1339538824</v>
      </c>
      <c r="K143">
        <v>3414301914</v>
      </c>
      <c r="L143">
        <v>961408609</v>
      </c>
      <c r="M143">
        <v>1484594300</v>
      </c>
      <c r="N143">
        <v>1615265051</v>
      </c>
      <c r="O143">
        <v>1009806473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27957674794</v>
      </c>
      <c r="G144">
        <v>29545000938</v>
      </c>
      <c r="H144">
        <v>21581543220</v>
      </c>
      <c r="I144">
        <v>18113276196</v>
      </c>
      <c r="J144">
        <v>22746160538</v>
      </c>
      <c r="K144">
        <v>21416499901</v>
      </c>
      <c r="L144">
        <v>15610536197</v>
      </c>
      <c r="M144">
        <v>13521816926</v>
      </c>
      <c r="N144">
        <v>15388970317</v>
      </c>
      <c r="O144">
        <v>13763187978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1363119688</v>
      </c>
      <c r="G145">
        <v>1106904028</v>
      </c>
      <c r="H145">
        <v>1133231121</v>
      </c>
      <c r="I145">
        <v>780274228</v>
      </c>
      <c r="J145">
        <v>808778957</v>
      </c>
      <c r="K145">
        <v>780556701</v>
      </c>
      <c r="L145">
        <v>298311539</v>
      </c>
      <c r="M145">
        <v>262174764</v>
      </c>
      <c r="N145">
        <v>435369336</v>
      </c>
      <c r="O145">
        <v>263338617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830812345</v>
      </c>
      <c r="G146">
        <v>676871204</v>
      </c>
      <c r="H146">
        <v>879265157</v>
      </c>
      <c r="I146">
        <v>711205374</v>
      </c>
      <c r="J146">
        <v>625295288</v>
      </c>
      <c r="K146">
        <v>641090807</v>
      </c>
      <c r="L146">
        <v>613673408</v>
      </c>
      <c r="M146">
        <v>541860842</v>
      </c>
      <c r="N146">
        <v>832511466</v>
      </c>
      <c r="O146">
        <v>192763061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4123108222</v>
      </c>
      <c r="G147">
        <v>5625206773</v>
      </c>
      <c r="H147">
        <v>5094549202</v>
      </c>
      <c r="I147">
        <v>3956948441</v>
      </c>
      <c r="J147">
        <v>3064461659</v>
      </c>
      <c r="K147">
        <v>2225264113</v>
      </c>
      <c r="L147">
        <v>3664754224</v>
      </c>
      <c r="M147">
        <v>4221947154</v>
      </c>
      <c r="N147">
        <v>4707738903</v>
      </c>
      <c r="O147">
        <v>5336306965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219438023526</v>
      </c>
      <c r="G148">
        <v>164278101950</v>
      </c>
      <c r="H148">
        <v>152168457520</v>
      </c>
      <c r="I148">
        <v>122903444608</v>
      </c>
      <c r="J148">
        <v>103358445172</v>
      </c>
      <c r="K148">
        <v>98379258071</v>
      </c>
      <c r="L148">
        <v>91716663738</v>
      </c>
      <c r="M148">
        <v>77600563147</v>
      </c>
      <c r="N148">
        <v>68887319028</v>
      </c>
      <c r="O148">
        <v>59037832713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1376432166</v>
      </c>
      <c r="G149">
        <v>759393980</v>
      </c>
      <c r="H149">
        <v>579912713</v>
      </c>
      <c r="I149">
        <v>530760335</v>
      </c>
      <c r="J149">
        <v>393565465</v>
      </c>
      <c r="K149">
        <v>381878621</v>
      </c>
      <c r="L149">
        <v>338246984</v>
      </c>
      <c r="M149">
        <v>349526759</v>
      </c>
      <c r="N149">
        <v>411405455</v>
      </c>
      <c r="O149">
        <v>431230878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2034014824</v>
      </c>
      <c r="G150">
        <v>1961804533</v>
      </c>
      <c r="H150">
        <v>2197834579</v>
      </c>
      <c r="I150">
        <v>2442472880</v>
      </c>
      <c r="J150">
        <v>2537821212</v>
      </c>
      <c r="K150">
        <v>1339440711</v>
      </c>
      <c r="L150">
        <v>1066076566</v>
      </c>
      <c r="M150">
        <v>1091473034</v>
      </c>
      <c r="N150">
        <v>977468702</v>
      </c>
      <c r="O150">
        <v>937253966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1646860685</v>
      </c>
      <c r="G151">
        <v>1569172176</v>
      </c>
      <c r="H151">
        <v>2888581698</v>
      </c>
      <c r="I151">
        <v>2174761951</v>
      </c>
      <c r="J151">
        <v>2025855659</v>
      </c>
      <c r="K151">
        <v>1545574714</v>
      </c>
      <c r="L151">
        <v>1220917984</v>
      </c>
      <c r="M151">
        <v>1351497220</v>
      </c>
      <c r="N151">
        <v>746034645</v>
      </c>
      <c r="O151">
        <v>489974865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2642248791</v>
      </c>
      <c r="I152">
        <v>5099940349</v>
      </c>
      <c r="J152">
        <v>4822738933</v>
      </c>
      <c r="K152">
        <v>3919212798</v>
      </c>
      <c r="L152">
        <v>3435420480</v>
      </c>
      <c r="M152">
        <v>3713559382</v>
      </c>
      <c r="N152">
        <v>2705062563</v>
      </c>
      <c r="O152">
        <v>2894217225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10279735971</v>
      </c>
      <c r="G153">
        <v>5882964852</v>
      </c>
      <c r="H153">
        <v>5725609638</v>
      </c>
      <c r="I153">
        <v>6928364176</v>
      </c>
      <c r="J153">
        <v>6046332526</v>
      </c>
      <c r="K153">
        <v>5273787184</v>
      </c>
      <c r="L153">
        <v>4410788079</v>
      </c>
      <c r="M153">
        <v>3250756818</v>
      </c>
      <c r="N153">
        <v>3283377797</v>
      </c>
      <c r="O153">
        <v>4192282327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8084530541</v>
      </c>
      <c r="G154">
        <v>12988501468</v>
      </c>
      <c r="H154">
        <v>11629250650</v>
      </c>
      <c r="I154">
        <v>10682475299</v>
      </c>
      <c r="J154">
        <v>8995882288</v>
      </c>
      <c r="K154">
        <v>7370592217</v>
      </c>
      <c r="L154">
        <v>9692088939</v>
      </c>
      <c r="M154">
        <v>9500119224</v>
      </c>
      <c r="N154">
        <v>12465588441</v>
      </c>
      <c r="O154">
        <v>10244615196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5192275890</v>
      </c>
      <c r="G155">
        <v>1912603258</v>
      </c>
      <c r="H155">
        <v>1208805495</v>
      </c>
      <c r="I155">
        <v>1541824378</v>
      </c>
      <c r="J155">
        <v>1664742496</v>
      </c>
      <c r="K155">
        <v>1316542478</v>
      </c>
      <c r="L155">
        <v>875535763</v>
      </c>
      <c r="M155">
        <v>621652428</v>
      </c>
      <c r="N155">
        <v>763085852</v>
      </c>
      <c r="O155">
        <v>1103372275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5007674268</v>
      </c>
      <c r="G156">
        <v>2816828747</v>
      </c>
      <c r="H156">
        <v>4384384754</v>
      </c>
      <c r="I156">
        <v>6116114015</v>
      </c>
      <c r="J156">
        <v>3883683887</v>
      </c>
      <c r="K156">
        <v>2612105645</v>
      </c>
      <c r="L156">
        <v>539683389</v>
      </c>
      <c r="M156">
        <v>1399940397</v>
      </c>
      <c r="N156">
        <v>1463216853</v>
      </c>
      <c r="O156">
        <v>1357073064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34673492295</v>
      </c>
      <c r="G157">
        <v>29100286143</v>
      </c>
      <c r="H157">
        <v>29375870560</v>
      </c>
      <c r="I157">
        <v>32325649602</v>
      </c>
      <c r="J157">
        <v>28601428170</v>
      </c>
      <c r="K157">
        <v>14447482132</v>
      </c>
      <c r="L157">
        <v>6856870093</v>
      </c>
      <c r="M157">
        <v>6809160397</v>
      </c>
      <c r="N157">
        <v>3490737898</v>
      </c>
      <c r="O157">
        <v>3814149602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1761902988</v>
      </c>
      <c r="G158">
        <v>1666584925</v>
      </c>
      <c r="H158">
        <v>1856690683</v>
      </c>
      <c r="I158">
        <v>2710360785</v>
      </c>
      <c r="J158">
        <v>2502226056</v>
      </c>
      <c r="K158">
        <v>2318205360</v>
      </c>
      <c r="L158">
        <v>2558055637</v>
      </c>
      <c r="M158">
        <v>3692576913</v>
      </c>
      <c r="N158">
        <v>3222508165</v>
      </c>
      <c r="O158">
        <v>3006886628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11691831349</v>
      </c>
      <c r="G159">
        <v>8781143890</v>
      </c>
      <c r="H159">
        <v>8188901265</v>
      </c>
      <c r="I159">
        <v>7905554898</v>
      </c>
      <c r="J159">
        <v>6862505579</v>
      </c>
      <c r="K159">
        <v>6590137297</v>
      </c>
      <c r="L159">
        <v>5863820953</v>
      </c>
      <c r="M159">
        <v>5972622554</v>
      </c>
      <c r="N159">
        <v>4900976552</v>
      </c>
      <c r="O159">
        <v>4705192223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1857117725</v>
      </c>
      <c r="G160">
        <v>751840694</v>
      </c>
      <c r="H160">
        <v>780005307</v>
      </c>
      <c r="I160">
        <v>1237451311</v>
      </c>
      <c r="J160">
        <v>549515634</v>
      </c>
      <c r="K160">
        <v>359613614</v>
      </c>
      <c r="L160">
        <v>586039674</v>
      </c>
      <c r="M160">
        <v>411725295</v>
      </c>
      <c r="N160">
        <v>398117490</v>
      </c>
      <c r="O160">
        <v>1001658993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6693040428</v>
      </c>
      <c r="G161">
        <v>5101791702</v>
      </c>
      <c r="H161">
        <v>3559362278</v>
      </c>
      <c r="I161">
        <v>1885707000</v>
      </c>
      <c r="J161">
        <v>1261799674</v>
      </c>
      <c r="K161">
        <v>3590070057</v>
      </c>
      <c r="L161">
        <v>1485578036</v>
      </c>
      <c r="M161">
        <v>884464298</v>
      </c>
      <c r="N161">
        <v>1648280511</v>
      </c>
      <c r="O161">
        <v>849065851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1442652067</v>
      </c>
      <c r="G162">
        <v>1270492909</v>
      </c>
      <c r="H162">
        <v>1226425707</v>
      </c>
      <c r="I162">
        <v>1410811992</v>
      </c>
      <c r="J162">
        <v>1644256279</v>
      </c>
      <c r="K162">
        <v>1478497428</v>
      </c>
      <c r="L162">
        <v>1435976029</v>
      </c>
      <c r="M162">
        <v>1663643931</v>
      </c>
      <c r="N162">
        <v>1791441036</v>
      </c>
      <c r="O162">
        <v>2173692340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225961981</v>
      </c>
      <c r="G163">
        <v>224137432</v>
      </c>
      <c r="H163">
        <v>343874602</v>
      </c>
      <c r="I163">
        <v>316179364</v>
      </c>
      <c r="J163">
        <v>287535024</v>
      </c>
      <c r="K163">
        <v>279997031</v>
      </c>
      <c r="L163">
        <v>392280755</v>
      </c>
      <c r="M163">
        <v>366561033</v>
      </c>
      <c r="N163">
        <v>257397788</v>
      </c>
      <c r="O163">
        <v>207146200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137271675000</v>
      </c>
      <c r="G164">
        <v>130599315000</v>
      </c>
      <c r="H164">
        <v>160770422000</v>
      </c>
      <c r="I164">
        <v>125800675000</v>
      </c>
      <c r="J164">
        <v>126061293000</v>
      </c>
      <c r="K164">
        <v>69163722000</v>
      </c>
      <c r="L164">
        <v>31433298000</v>
      </c>
      <c r="M164">
        <v>55311025000</v>
      </c>
      <c r="N164">
        <v>45496119000</v>
      </c>
      <c r="O164">
        <v>49920191463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1098849419</v>
      </c>
      <c r="G165">
        <v>1029319978</v>
      </c>
      <c r="H165">
        <v>1092848412</v>
      </c>
      <c r="I165">
        <v>1017267244</v>
      </c>
      <c r="J165">
        <v>207807580</v>
      </c>
      <c r="K165">
        <v>604063609</v>
      </c>
      <c r="L165">
        <v>965842107</v>
      </c>
      <c r="M165">
        <v>823949306</v>
      </c>
      <c r="N165">
        <v>825308959</v>
      </c>
      <c r="O165">
        <v>678219221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5284548115</v>
      </c>
      <c r="G166">
        <v>5407506136</v>
      </c>
      <c r="H166">
        <v>5778045433</v>
      </c>
      <c r="I166">
        <v>4612692901</v>
      </c>
      <c r="J166">
        <v>3581800715</v>
      </c>
      <c r="K166">
        <v>2261997982</v>
      </c>
      <c r="L166">
        <v>1877506937</v>
      </c>
      <c r="M166">
        <v>1702791733</v>
      </c>
      <c r="N166">
        <v>1143913843</v>
      </c>
      <c r="O166">
        <v>856541356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41610230</v>
      </c>
      <c r="G167">
        <v>84392844</v>
      </c>
      <c r="H167">
        <v>38709111</v>
      </c>
      <c r="I167">
        <v>4860632</v>
      </c>
      <c r="J167">
        <v>166873603</v>
      </c>
      <c r="K167">
        <v>37568669</v>
      </c>
      <c r="L167">
        <v>40517653</v>
      </c>
      <c r="M167">
        <v>128119187</v>
      </c>
      <c r="N167">
        <v>142998632</v>
      </c>
      <c r="O167">
        <v>106450077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1237493156</v>
      </c>
      <c r="G168">
        <v>939596208</v>
      </c>
      <c r="H168">
        <v>912264799</v>
      </c>
      <c r="I168">
        <v>915867658</v>
      </c>
      <c r="J168">
        <v>954435106</v>
      </c>
      <c r="K168">
        <v>844324104</v>
      </c>
      <c r="L168">
        <v>868536545</v>
      </c>
      <c r="M168">
        <v>887049339</v>
      </c>
      <c r="N168">
        <v>1020942728</v>
      </c>
      <c r="O168">
        <v>1043074412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481167196</v>
      </c>
      <c r="G169">
        <v>538119662</v>
      </c>
      <c r="H169">
        <v>335793861</v>
      </c>
      <c r="I169">
        <v>87772041</v>
      </c>
      <c r="J169">
        <v>26107989</v>
      </c>
      <c r="K169">
        <v>38650000</v>
      </c>
      <c r="L169">
        <v>1373723</v>
      </c>
      <c r="M169">
        <v>55013883</v>
      </c>
      <c r="N169">
        <v>83242745</v>
      </c>
      <c r="O169">
        <v>71893244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3442578125</v>
      </c>
      <c r="G170">
        <v>3134907323</v>
      </c>
      <c r="H170">
        <v>2467237790</v>
      </c>
      <c r="I170">
        <v>2832548268</v>
      </c>
      <c r="J170">
        <v>2259424475</v>
      </c>
      <c r="K170">
        <v>2317734269</v>
      </c>
      <c r="L170">
        <v>2472300468</v>
      </c>
      <c r="M170">
        <v>2302712298</v>
      </c>
      <c r="N170">
        <v>1999275695</v>
      </c>
      <c r="O170">
        <v>1416239894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27275297002</v>
      </c>
      <c r="G171">
        <v>22517884544</v>
      </c>
      <c r="H171">
        <v>21655886335</v>
      </c>
      <c r="I171">
        <v>20097929402</v>
      </c>
      <c r="J171">
        <v>14964117970</v>
      </c>
      <c r="K171">
        <v>14047212731</v>
      </c>
      <c r="L171">
        <v>11787872270</v>
      </c>
      <c r="M171">
        <v>10459786860</v>
      </c>
      <c r="N171">
        <v>8353071466</v>
      </c>
      <c r="O171">
        <v>5897514535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1310789234</v>
      </c>
      <c r="G172">
        <v>1300101343</v>
      </c>
      <c r="H172">
        <v>1948903018</v>
      </c>
      <c r="I172">
        <v>1752915459</v>
      </c>
      <c r="J172">
        <v>1461449228</v>
      </c>
      <c r="K172">
        <v>1495393952</v>
      </c>
      <c r="L172">
        <v>1206867388</v>
      </c>
      <c r="M172">
        <v>1219551936</v>
      </c>
      <c r="N172">
        <v>1388801857</v>
      </c>
      <c r="O172">
        <v>1512701413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562195163</v>
      </c>
      <c r="G173">
        <v>1018830155</v>
      </c>
      <c r="H173">
        <v>1164402792</v>
      </c>
      <c r="I173">
        <v>2413489612</v>
      </c>
      <c r="J173">
        <v>4173294509</v>
      </c>
      <c r="K173">
        <v>5827898923</v>
      </c>
      <c r="L173">
        <v>5973034395</v>
      </c>
      <c r="M173">
        <v>4951499897</v>
      </c>
      <c r="N173">
        <v>4470948397</v>
      </c>
      <c r="O173">
        <v>3074312532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623727090</v>
      </c>
      <c r="G174">
        <v>688456846</v>
      </c>
      <c r="H174">
        <v>892734519</v>
      </c>
      <c r="I174">
        <v>961313474</v>
      </c>
      <c r="J174">
        <v>905900234</v>
      </c>
      <c r="K174">
        <v>1004881187</v>
      </c>
      <c r="L174">
        <v>1493489891</v>
      </c>
      <c r="M174">
        <v>1375680996</v>
      </c>
      <c r="N174">
        <v>1836203140</v>
      </c>
      <c r="O174">
        <v>1962523482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4825932075</v>
      </c>
      <c r="G175">
        <v>3225300103</v>
      </c>
      <c r="H175">
        <v>2581877429</v>
      </c>
      <c r="I175">
        <v>2464739027</v>
      </c>
      <c r="J175">
        <v>2622409918</v>
      </c>
      <c r="K175">
        <v>3439728043</v>
      </c>
      <c r="L175">
        <v>2289805252</v>
      </c>
      <c r="M175">
        <v>2359983130</v>
      </c>
      <c r="N175">
        <v>2596320001</v>
      </c>
      <c r="O175">
        <v>3672614083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1105655625</v>
      </c>
      <c r="G176">
        <v>965973712</v>
      </c>
      <c r="H176">
        <v>801372998</v>
      </c>
      <c r="I176">
        <v>970355255</v>
      </c>
      <c r="J176">
        <v>1089443753</v>
      </c>
      <c r="K176">
        <v>867078742</v>
      </c>
      <c r="L176">
        <v>577423221</v>
      </c>
      <c r="M176">
        <v>583104358</v>
      </c>
      <c r="N176">
        <v>331078526</v>
      </c>
      <c r="O176">
        <v>196029679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391791493</v>
      </c>
      <c r="G177">
        <v>448752482</v>
      </c>
      <c r="H177">
        <v>571241119</v>
      </c>
      <c r="I177">
        <v>295535138</v>
      </c>
      <c r="J177">
        <v>428900116</v>
      </c>
      <c r="K177">
        <v>569820004</v>
      </c>
      <c r="L177">
        <v>563334601</v>
      </c>
      <c r="M177">
        <v>770760546</v>
      </c>
      <c r="N177">
        <v>537254090</v>
      </c>
      <c r="O177">
        <v>507081355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13671071088</v>
      </c>
      <c r="G178">
        <v>8753152090</v>
      </c>
      <c r="H178">
        <v>9979805552</v>
      </c>
      <c r="I178">
        <v>7002719046</v>
      </c>
      <c r="J178">
        <v>6723621733</v>
      </c>
      <c r="K178">
        <v>5814714955</v>
      </c>
      <c r="L178">
        <v>5534580105</v>
      </c>
      <c r="M178">
        <v>2090050840</v>
      </c>
      <c r="N178">
        <v>2041022904</v>
      </c>
      <c r="O178">
        <v>2034464384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13210146155</v>
      </c>
      <c r="G179">
        <v>9542568764</v>
      </c>
      <c r="H179">
        <v>7740450480</v>
      </c>
      <c r="I179">
        <v>3517422116</v>
      </c>
      <c r="J179">
        <v>3086445159</v>
      </c>
      <c r="K179">
        <v>2941311773</v>
      </c>
      <c r="L179">
        <v>1935040247</v>
      </c>
      <c r="M179">
        <v>1737889138</v>
      </c>
      <c r="N179">
        <v>425523581</v>
      </c>
      <c r="O179">
        <v>366854062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2028552060</v>
      </c>
      <c r="G180">
        <v>1273633848</v>
      </c>
      <c r="H180">
        <v>1301447190</v>
      </c>
      <c r="I180">
        <v>1616051366</v>
      </c>
      <c r="J180">
        <v>1045327524</v>
      </c>
      <c r="K180">
        <v>1045262938</v>
      </c>
      <c r="L180">
        <v>1104759473</v>
      </c>
      <c r="M180">
        <v>1269867040</v>
      </c>
      <c r="N180">
        <v>826351799</v>
      </c>
      <c r="O180">
        <v>807617275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16786517345</v>
      </c>
      <c r="G181">
        <v>12432175018</v>
      </c>
      <c r="H181">
        <v>12946667616</v>
      </c>
      <c r="I181">
        <v>12529430186</v>
      </c>
      <c r="J181">
        <v>15474428619</v>
      </c>
      <c r="K181">
        <v>12970947890</v>
      </c>
      <c r="L181">
        <v>10466142716</v>
      </c>
      <c r="M181">
        <v>6772104545</v>
      </c>
      <c r="N181">
        <v>7647008848</v>
      </c>
      <c r="O181">
        <v>5812752571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46441023</v>
      </c>
      <c r="G182">
        <v>56352671</v>
      </c>
      <c r="H182">
        <v>118644129</v>
      </c>
      <c r="I182">
        <v>106182596</v>
      </c>
      <c r="J182">
        <v>129005509</v>
      </c>
      <c r="K182">
        <v>102493993</v>
      </c>
      <c r="L182">
        <v>103443419</v>
      </c>
      <c r="M182">
        <v>132616402</v>
      </c>
      <c r="N182">
        <v>168615814</v>
      </c>
      <c r="O182">
        <v>253672755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8558401163</v>
      </c>
      <c r="G183">
        <v>7713584743</v>
      </c>
      <c r="H183">
        <v>8001587937</v>
      </c>
      <c r="I183">
        <v>8496606473</v>
      </c>
      <c r="J183">
        <v>7816628288</v>
      </c>
      <c r="K183">
        <v>7534579189</v>
      </c>
      <c r="L183">
        <v>7447030971</v>
      </c>
      <c r="M183">
        <v>7963231950</v>
      </c>
      <c r="N183">
        <v>7765519864</v>
      </c>
      <c r="O183">
        <v>7145897315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1690285876</v>
      </c>
      <c r="G184">
        <v>1157981412</v>
      </c>
      <c r="H184">
        <v>1155104941</v>
      </c>
      <c r="I184">
        <v>841529061</v>
      </c>
      <c r="J184">
        <v>494435698</v>
      </c>
      <c r="K184">
        <v>500169626</v>
      </c>
      <c r="L184">
        <v>1360428542</v>
      </c>
      <c r="M184">
        <v>1230690727</v>
      </c>
      <c r="N184">
        <v>1104598019</v>
      </c>
      <c r="O184">
        <v>1019875100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76674483</v>
      </c>
      <c r="G185">
        <v>116936723</v>
      </c>
      <c r="H185">
        <v>94813901</v>
      </c>
      <c r="I185">
        <v>87694221</v>
      </c>
      <c r="J185">
        <v>82044346</v>
      </c>
      <c r="K185">
        <v>92576334</v>
      </c>
      <c r="L185">
        <v>296210385</v>
      </c>
      <c r="M185">
        <v>456513674</v>
      </c>
      <c r="N185">
        <v>587424779</v>
      </c>
      <c r="O185">
        <v>560920853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1239759833</v>
      </c>
      <c r="G186">
        <v>1635656860</v>
      </c>
      <c r="H186">
        <v>2027581285</v>
      </c>
      <c r="I186">
        <v>1358376353</v>
      </c>
      <c r="J186">
        <v>1316025203</v>
      </c>
      <c r="K186">
        <v>779390252</v>
      </c>
      <c r="L186">
        <v>958315667</v>
      </c>
      <c r="M186">
        <v>651513049</v>
      </c>
      <c r="N186">
        <v>700039996</v>
      </c>
      <c r="O186">
        <v>549252208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731134735</v>
      </c>
      <c r="G187">
        <v>129242145</v>
      </c>
      <c r="H187">
        <v>124999284</v>
      </c>
      <c r="I187">
        <v>280353208</v>
      </c>
      <c r="J187">
        <v>474459537</v>
      </c>
      <c r="K187">
        <v>267700631</v>
      </c>
      <c r="L187">
        <v>225562816</v>
      </c>
      <c r="M187">
        <v>371622156</v>
      </c>
      <c r="N187">
        <v>367539096</v>
      </c>
      <c r="O187">
        <v>210171312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6708787005</v>
      </c>
      <c r="G188">
        <v>5641252469</v>
      </c>
      <c r="H188">
        <v>5687354514</v>
      </c>
      <c r="I188">
        <v>5358225398</v>
      </c>
      <c r="J188">
        <v>3887063900</v>
      </c>
      <c r="K188">
        <v>3894708003</v>
      </c>
      <c r="L188">
        <v>3418564619</v>
      </c>
      <c r="M188">
        <v>4074894007</v>
      </c>
      <c r="N188">
        <v>3936587299</v>
      </c>
      <c r="O188">
        <v>4037741075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2458694166</v>
      </c>
      <c r="G189">
        <v>1855749205</v>
      </c>
      <c r="H189">
        <v>1787920217</v>
      </c>
      <c r="I189">
        <v>1763903474</v>
      </c>
      <c r="J189">
        <v>793636511</v>
      </c>
      <c r="K189">
        <v>375167445</v>
      </c>
      <c r="L189">
        <v>586623765</v>
      </c>
      <c r="M189">
        <v>388021696</v>
      </c>
      <c r="N189">
        <v>365322529</v>
      </c>
      <c r="O189">
        <v>372184896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2976130000</v>
      </c>
      <c r="G190">
        <v>2329699880</v>
      </c>
      <c r="H190">
        <v>1620177630</v>
      </c>
      <c r="I190">
        <v>1664675761</v>
      </c>
      <c r="J190">
        <v>1407922036</v>
      </c>
      <c r="K190">
        <v>1260178744</v>
      </c>
      <c r="L190">
        <v>1269361968</v>
      </c>
      <c r="M190">
        <v>987984113</v>
      </c>
      <c r="N190">
        <v>958376346</v>
      </c>
      <c r="O190">
        <v>791200644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16635846912</v>
      </c>
      <c r="G191">
        <v>12546829280</v>
      </c>
      <c r="H191">
        <v>12653675737</v>
      </c>
      <c r="I191">
        <v>11285287837</v>
      </c>
      <c r="J191">
        <v>12762065804</v>
      </c>
      <c r="K191">
        <v>10085340430</v>
      </c>
      <c r="L191">
        <v>10753943990</v>
      </c>
      <c r="M191">
        <v>10354024979</v>
      </c>
      <c r="N191">
        <v>11669182160</v>
      </c>
      <c r="O191">
        <v>12657952899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1186546002</v>
      </c>
      <c r="G192">
        <v>1103183597</v>
      </c>
      <c r="H192">
        <v>2124508999</v>
      </c>
      <c r="I192">
        <v>2595404762</v>
      </c>
      <c r="J192">
        <v>1925387564</v>
      </c>
      <c r="K192">
        <v>1580820118</v>
      </c>
      <c r="L192">
        <v>1671641831</v>
      </c>
      <c r="M192">
        <v>1874529513</v>
      </c>
      <c r="N192">
        <v>1856958793</v>
      </c>
      <c r="O192">
        <v>2558236608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28746081000</v>
      </c>
      <c r="G193">
        <v>19410910000</v>
      </c>
      <c r="H193">
        <v>59565789000</v>
      </c>
      <c r="I193">
        <v>57706846000</v>
      </c>
      <c r="J193">
        <v>46560546000</v>
      </c>
      <c r="K193">
        <v>33411624000</v>
      </c>
      <c r="L193">
        <v>31017600000</v>
      </c>
      <c r="M193">
        <v>26947491000</v>
      </c>
      <c r="N193">
        <v>23566354000</v>
      </c>
      <c r="O193">
        <v>22683867000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1176818033</v>
      </c>
      <c r="G194">
        <v>976564239</v>
      </c>
      <c r="H194">
        <v>844651867</v>
      </c>
      <c r="I194">
        <v>865389861</v>
      </c>
      <c r="J194">
        <v>793990729</v>
      </c>
      <c r="K194">
        <v>673992892</v>
      </c>
      <c r="L194">
        <v>624391136</v>
      </c>
      <c r="M194">
        <v>726013779</v>
      </c>
      <c r="N194">
        <v>709200548</v>
      </c>
      <c r="O194">
        <v>537876117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12858971910</v>
      </c>
      <c r="G195">
        <v>10306276214</v>
      </c>
      <c r="H195">
        <v>8608354344</v>
      </c>
      <c r="I195">
        <v>7934834724</v>
      </c>
      <c r="J195">
        <v>8677507790</v>
      </c>
      <c r="K195">
        <v>5219861741</v>
      </c>
      <c r="L195">
        <v>4251041117</v>
      </c>
      <c r="M195">
        <v>3755776319</v>
      </c>
      <c r="N195">
        <v>4389687917</v>
      </c>
      <c r="O195">
        <v>2843344898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574073568</v>
      </c>
      <c r="G196">
        <v>986458693</v>
      </c>
      <c r="H196">
        <v>1542101514</v>
      </c>
      <c r="I196">
        <v>1416588082</v>
      </c>
      <c r="J196">
        <v>1790425281</v>
      </c>
      <c r="K196">
        <v>2770828006</v>
      </c>
      <c r="L196">
        <v>1218115262</v>
      </c>
      <c r="M196">
        <v>585096919</v>
      </c>
      <c r="N196">
        <v>792248049</v>
      </c>
      <c r="O196">
        <v>799083785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474606274</v>
      </c>
      <c r="G197">
        <v>353816118</v>
      </c>
      <c r="H197">
        <v>516027981</v>
      </c>
      <c r="I197">
        <v>474404955</v>
      </c>
      <c r="J197">
        <v>741576971</v>
      </c>
      <c r="K197">
        <v>582117903</v>
      </c>
      <c r="L197">
        <v>667777538</v>
      </c>
      <c r="M197">
        <v>863743423</v>
      </c>
      <c r="N197">
        <v>995754992</v>
      </c>
      <c r="O197">
        <v>1179728891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1842710606</v>
      </c>
      <c r="G198">
        <v>1414719335</v>
      </c>
      <c r="H198">
        <v>1278534429</v>
      </c>
      <c r="I198">
        <v>1452378294</v>
      </c>
      <c r="J198">
        <v>880567866</v>
      </c>
      <c r="K198">
        <v>2522176535</v>
      </c>
      <c r="L198">
        <v>2240718248</v>
      </c>
      <c r="M198">
        <v>2381505374</v>
      </c>
      <c r="N198">
        <v>3340851308</v>
      </c>
      <c r="O198">
        <v>1914105768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399934396</v>
      </c>
      <c r="G199">
        <v>289598211</v>
      </c>
      <c r="H199">
        <v>342269382</v>
      </c>
      <c r="I199">
        <v>391458146</v>
      </c>
      <c r="J199">
        <v>402481582</v>
      </c>
      <c r="K199">
        <v>331330256</v>
      </c>
      <c r="L199">
        <v>451680657</v>
      </c>
      <c r="M199">
        <v>542411211</v>
      </c>
      <c r="N199">
        <v>587753389</v>
      </c>
      <c r="O199">
        <v>506037106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1663257752</v>
      </c>
      <c r="G200">
        <v>1370792525</v>
      </c>
      <c r="H200">
        <v>1449584138</v>
      </c>
      <c r="I200">
        <v>1380931092</v>
      </c>
      <c r="J200">
        <v>1166099225</v>
      </c>
      <c r="K200">
        <v>1079682536</v>
      </c>
      <c r="L200">
        <v>916303809</v>
      </c>
      <c r="M200">
        <v>1547007637</v>
      </c>
      <c r="N200">
        <v>1551506229</v>
      </c>
      <c r="O200">
        <v>1730284933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1433399379</v>
      </c>
      <c r="G201">
        <v>821810012</v>
      </c>
      <c r="H201">
        <v>1435252382</v>
      </c>
      <c r="I201">
        <v>3355336540</v>
      </c>
      <c r="J201">
        <v>2641625412</v>
      </c>
      <c r="K201">
        <v>1612023662</v>
      </c>
      <c r="L201">
        <v>1169038688</v>
      </c>
      <c r="M201">
        <v>2265328749</v>
      </c>
      <c r="N201">
        <v>2841974182</v>
      </c>
      <c r="O201">
        <v>2273236261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17900829907</v>
      </c>
      <c r="G202">
        <v>12863878772</v>
      </c>
      <c r="H202">
        <v>16365218014</v>
      </c>
      <c r="I202">
        <v>15460488162</v>
      </c>
      <c r="J202">
        <v>13636239749</v>
      </c>
      <c r="K202">
        <v>9490647587</v>
      </c>
      <c r="L202">
        <v>11773151320</v>
      </c>
      <c r="M202">
        <v>12063459206</v>
      </c>
      <c r="N202">
        <v>10009475139</v>
      </c>
      <c r="O202">
        <v>9602116666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716343237</v>
      </c>
      <c r="G203">
        <v>590669153</v>
      </c>
      <c r="H203">
        <v>561338094</v>
      </c>
      <c r="I203">
        <v>692968852</v>
      </c>
      <c r="J203">
        <v>525307701</v>
      </c>
      <c r="K203">
        <v>603143930</v>
      </c>
      <c r="L203">
        <v>662248469</v>
      </c>
      <c r="M203">
        <v>900321921</v>
      </c>
      <c r="N203">
        <v>745779189</v>
      </c>
      <c r="O203">
        <v>723996711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31682515520</v>
      </c>
      <c r="G204">
        <v>24670510959</v>
      </c>
      <c r="H204">
        <v>23513759420</v>
      </c>
      <c r="I204">
        <v>19839832788</v>
      </c>
      <c r="J204">
        <v>13971519961</v>
      </c>
      <c r="K204">
        <v>11776978375</v>
      </c>
      <c r="L204">
        <v>681951909</v>
      </c>
      <c r="M204">
        <v>672279067</v>
      </c>
      <c r="N204">
        <v>619311321</v>
      </c>
      <c r="O204">
        <v>637949718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453448366</v>
      </c>
      <c r="G205">
        <v>373839900</v>
      </c>
      <c r="H205">
        <v>94356501</v>
      </c>
      <c r="I205">
        <v>83862337</v>
      </c>
      <c r="J205">
        <v>13315351</v>
      </c>
      <c r="K205">
        <v>9832758</v>
      </c>
      <c r="L205">
        <v>6406770</v>
      </c>
      <c r="M205">
        <v>3723944</v>
      </c>
      <c r="N205">
        <v>5555010</v>
      </c>
      <c r="O205">
        <v>20791522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1154535339</v>
      </c>
      <c r="G206">
        <v>1032006125</v>
      </c>
      <c r="H206">
        <v>1204590406</v>
      </c>
      <c r="I206">
        <v>1270241886</v>
      </c>
      <c r="J206">
        <v>1165389712</v>
      </c>
      <c r="K206">
        <v>994778531</v>
      </c>
      <c r="L206">
        <v>1108427668</v>
      </c>
      <c r="M206">
        <v>1063850643</v>
      </c>
      <c r="N206">
        <v>1053119563</v>
      </c>
      <c r="O206">
        <v>1106518561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7452694314</v>
      </c>
      <c r="G207">
        <v>7307118535</v>
      </c>
      <c r="H207">
        <v>8347125995</v>
      </c>
      <c r="I207">
        <v>8510641494</v>
      </c>
      <c r="J207">
        <v>6972406580</v>
      </c>
      <c r="K207">
        <v>8399562467</v>
      </c>
      <c r="L207">
        <v>5158574578</v>
      </c>
      <c r="M207">
        <v>4680752068</v>
      </c>
      <c r="N207">
        <v>4468640476</v>
      </c>
      <c r="O207">
        <v>4150230646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650123118</v>
      </c>
      <c r="G208">
        <v>592928315</v>
      </c>
      <c r="H208">
        <v>582087923</v>
      </c>
      <c r="I208">
        <v>587157561</v>
      </c>
      <c r="J208">
        <v>587034223</v>
      </c>
      <c r="K208">
        <v>495241259</v>
      </c>
      <c r="L208">
        <v>612715390</v>
      </c>
      <c r="M208">
        <v>634381052</v>
      </c>
      <c r="N208">
        <v>557628295</v>
      </c>
      <c r="O208">
        <v>578307147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723499052</v>
      </c>
      <c r="G209">
        <v>483663665</v>
      </c>
      <c r="H209">
        <v>696090602</v>
      </c>
      <c r="I209">
        <v>702938023</v>
      </c>
      <c r="J209">
        <v>616938530</v>
      </c>
      <c r="K209">
        <v>996433382</v>
      </c>
      <c r="L209">
        <v>264030635</v>
      </c>
      <c r="M209">
        <v>289633047</v>
      </c>
      <c r="N209">
        <v>657668743</v>
      </c>
      <c r="O209">
        <v>790020048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3150976301</v>
      </c>
      <c r="G210">
        <v>3833769533</v>
      </c>
      <c r="H210">
        <v>5303236382</v>
      </c>
      <c r="I210">
        <v>6592765839</v>
      </c>
      <c r="J210">
        <v>6102990103</v>
      </c>
      <c r="K210">
        <v>2738654950</v>
      </c>
      <c r="L210">
        <v>3260233855</v>
      </c>
      <c r="M210">
        <v>1227532075</v>
      </c>
      <c r="N210">
        <v>3420294598</v>
      </c>
      <c r="O210">
        <v>391106784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267522164</v>
      </c>
      <c r="I211">
        <v>1894850120</v>
      </c>
      <c r="J211">
        <v>2500259271</v>
      </c>
      <c r="K211">
        <v>2970759306</v>
      </c>
      <c r="L211">
        <v>3815038829</v>
      </c>
      <c r="M211">
        <v>2416073678</v>
      </c>
      <c r="N211">
        <v>2608463381</v>
      </c>
      <c r="O211">
        <v>1422260145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484538080</v>
      </c>
      <c r="G212">
        <v>319634025</v>
      </c>
      <c r="H212">
        <v>332370229</v>
      </c>
      <c r="I212">
        <v>649701257</v>
      </c>
      <c r="J212">
        <v>916002266</v>
      </c>
      <c r="K212">
        <v>865051705</v>
      </c>
      <c r="L212">
        <v>625466290</v>
      </c>
      <c r="M212">
        <v>661206714</v>
      </c>
      <c r="N212">
        <v>786056646</v>
      </c>
      <c r="O212">
        <v>861870808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535977029</v>
      </c>
      <c r="G213">
        <v>865310995</v>
      </c>
      <c r="H213">
        <v>2663875633</v>
      </c>
      <c r="I213">
        <v>2239382481</v>
      </c>
      <c r="J213">
        <v>1678378656</v>
      </c>
      <c r="K213">
        <v>768612019</v>
      </c>
      <c r="L213">
        <v>223967136</v>
      </c>
      <c r="M213">
        <v>342658740</v>
      </c>
      <c r="N213">
        <v>290041477</v>
      </c>
      <c r="O213">
        <v>268992051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346636235</v>
      </c>
      <c r="G214">
        <v>450493688</v>
      </c>
      <c r="H214">
        <v>514961225</v>
      </c>
      <c r="I214">
        <v>684831405</v>
      </c>
      <c r="J214">
        <v>641582015</v>
      </c>
      <c r="K214">
        <v>632293594</v>
      </c>
      <c r="L214">
        <v>677411031</v>
      </c>
      <c r="M214">
        <v>636031666</v>
      </c>
      <c r="N214">
        <v>724025982</v>
      </c>
      <c r="O214">
        <v>694401866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660579479</v>
      </c>
      <c r="G215">
        <v>986069971</v>
      </c>
      <c r="H215">
        <v>976097625</v>
      </c>
      <c r="I215">
        <v>1276567249</v>
      </c>
      <c r="J215">
        <v>1641994882</v>
      </c>
      <c r="K215">
        <v>2337852543</v>
      </c>
      <c r="L215">
        <v>870761808</v>
      </c>
      <c r="M215">
        <v>1068893713</v>
      </c>
      <c r="N215">
        <v>1724893527</v>
      </c>
      <c r="O215">
        <v>2636052696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8220382</v>
      </c>
      <c r="H216">
        <v>9260267</v>
      </c>
      <c r="I216">
        <v>21200290</v>
      </c>
      <c r="J216">
        <v>330674179</v>
      </c>
      <c r="K216">
        <v>17680855</v>
      </c>
      <c r="L216">
        <v>359048813</v>
      </c>
      <c r="M216">
        <v>13211825</v>
      </c>
      <c r="N216">
        <v>121069693</v>
      </c>
      <c r="O216">
        <v>118979888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89710050908</v>
      </c>
      <c r="G217">
        <v>3807602418</v>
      </c>
      <c r="H217">
        <v>4343166181</v>
      </c>
      <c r="I217">
        <v>2979577322</v>
      </c>
      <c r="J217">
        <v>2283569404</v>
      </c>
      <c r="K217">
        <v>1617507861</v>
      </c>
      <c r="L217">
        <v>1631692638</v>
      </c>
      <c r="M217">
        <v>3170321588</v>
      </c>
      <c r="N217">
        <v>3536581679</v>
      </c>
      <c r="O217">
        <v>3199289643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538275276</v>
      </c>
      <c r="G218">
        <v>509197903</v>
      </c>
      <c r="H218">
        <v>915853702</v>
      </c>
      <c r="I218">
        <v>935456489</v>
      </c>
      <c r="J218">
        <v>942596826</v>
      </c>
      <c r="K218">
        <v>870869772</v>
      </c>
      <c r="L218">
        <v>897474038</v>
      </c>
      <c r="M218">
        <v>805687314</v>
      </c>
      <c r="N218">
        <v>948131814</v>
      </c>
      <c r="O218">
        <v>819509181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1002974847</v>
      </c>
      <c r="G219">
        <v>670922985</v>
      </c>
      <c r="H219">
        <v>649064486</v>
      </c>
      <c r="I219">
        <v>889084256</v>
      </c>
      <c r="J219">
        <v>499533293</v>
      </c>
      <c r="K219">
        <v>757759645</v>
      </c>
      <c r="L219">
        <v>887645314</v>
      </c>
      <c r="M219">
        <v>2536322299</v>
      </c>
      <c r="N219">
        <v>4330804110</v>
      </c>
      <c r="O219">
        <v>3578084013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5203758139</v>
      </c>
      <c r="G220">
        <v>1936073692</v>
      </c>
      <c r="H220">
        <v>2530940493</v>
      </c>
      <c r="I220">
        <v>2383136738</v>
      </c>
      <c r="J220">
        <v>1202652156</v>
      </c>
      <c r="K220">
        <v>1025437222</v>
      </c>
      <c r="L220">
        <v>1273945483</v>
      </c>
      <c r="M220">
        <v>892630892</v>
      </c>
      <c r="N220">
        <v>701326977</v>
      </c>
      <c r="O220">
        <v>635534556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2843611933</v>
      </c>
      <c r="G221">
        <v>3154885285</v>
      </c>
      <c r="H221">
        <v>2890422003</v>
      </c>
      <c r="I221">
        <v>2502233549</v>
      </c>
      <c r="J221">
        <v>1534987442</v>
      </c>
      <c r="K221">
        <v>1489401347</v>
      </c>
      <c r="L221">
        <v>1560943313</v>
      </c>
      <c r="M221">
        <v>2403283640</v>
      </c>
      <c r="N221">
        <v>2623063606</v>
      </c>
      <c r="O221">
        <v>1249476047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1298507662.4100001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3428428001</v>
      </c>
      <c r="G223">
        <v>2527813175</v>
      </c>
      <c r="H223">
        <v>2995360231</v>
      </c>
      <c r="I223">
        <v>5942615650</v>
      </c>
      <c r="J223">
        <v>4420750578</v>
      </c>
      <c r="K223">
        <v>3719995626</v>
      </c>
      <c r="L223">
        <v>4237428476</v>
      </c>
      <c r="M223">
        <v>4546942333</v>
      </c>
      <c r="N223">
        <v>3142393767</v>
      </c>
      <c r="O223">
        <v>3383841979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17986538380</v>
      </c>
      <c r="G224">
        <v>9709726856</v>
      </c>
      <c r="H224">
        <v>8654287498</v>
      </c>
      <c r="I224">
        <v>8553459001</v>
      </c>
      <c r="J224">
        <v>3262251835</v>
      </c>
      <c r="K224">
        <v>2470471553</v>
      </c>
      <c r="L224">
        <v>3136039019</v>
      </c>
      <c r="M224">
        <v>3384704506</v>
      </c>
      <c r="N224">
        <v>2871787382</v>
      </c>
      <c r="O224">
        <v>2384441361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1021490602</v>
      </c>
      <c r="G225">
        <v>762477408</v>
      </c>
      <c r="H225">
        <v>937179229</v>
      </c>
      <c r="I225">
        <v>807368041</v>
      </c>
      <c r="J225">
        <v>538020058</v>
      </c>
      <c r="K225">
        <v>511255015</v>
      </c>
      <c r="L225">
        <v>490079591</v>
      </c>
      <c r="M225">
        <v>399170338</v>
      </c>
      <c r="N225">
        <v>395470264</v>
      </c>
      <c r="O225">
        <v>424704028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4956015295</v>
      </c>
      <c r="G226">
        <v>3543082484</v>
      </c>
      <c r="H226">
        <v>6592163838</v>
      </c>
      <c r="I226">
        <v>6539084153</v>
      </c>
      <c r="J226">
        <v>6572516772</v>
      </c>
      <c r="K226">
        <v>4474530022</v>
      </c>
      <c r="L226">
        <v>915207417</v>
      </c>
      <c r="M226">
        <v>2113333284</v>
      </c>
      <c r="N226">
        <v>2292064438</v>
      </c>
      <c r="O226">
        <v>2340509548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12001560351</v>
      </c>
      <c r="G227">
        <v>7261534237</v>
      </c>
      <c r="H227">
        <v>3210927904</v>
      </c>
      <c r="I227">
        <v>2064300782</v>
      </c>
      <c r="J227">
        <v>4444175321</v>
      </c>
      <c r="K227">
        <v>2355198977</v>
      </c>
      <c r="L227">
        <v>2311284417</v>
      </c>
      <c r="M227">
        <v>1599889419</v>
      </c>
      <c r="N227">
        <v>1141253974</v>
      </c>
      <c r="O227">
        <v>1883360054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2414649006</v>
      </c>
      <c r="G228">
        <v>6239559731</v>
      </c>
      <c r="H228">
        <v>7835600981</v>
      </c>
      <c r="I228">
        <v>15807381027</v>
      </c>
      <c r="J228">
        <v>12619222717</v>
      </c>
      <c r="K228">
        <v>6577348035</v>
      </c>
      <c r="L228">
        <v>1754203480</v>
      </c>
      <c r="M228">
        <v>832980362</v>
      </c>
      <c r="N228">
        <v>1559871252</v>
      </c>
      <c r="O228">
        <v>1675425662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3218465734</v>
      </c>
      <c r="G229">
        <v>3662128572</v>
      </c>
      <c r="H229">
        <v>4185253945</v>
      </c>
      <c r="I229">
        <v>4269972239</v>
      </c>
      <c r="J229">
        <v>3624622325</v>
      </c>
      <c r="K229">
        <v>3527744679</v>
      </c>
      <c r="L229">
        <v>2739088456</v>
      </c>
      <c r="M229">
        <v>2516636074</v>
      </c>
      <c r="N229">
        <v>2022850874</v>
      </c>
      <c r="O229">
        <v>1813931480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1012957039</v>
      </c>
      <c r="G230">
        <v>950455521</v>
      </c>
      <c r="H230">
        <v>820358616</v>
      </c>
      <c r="I230">
        <v>830481696</v>
      </c>
      <c r="J230">
        <v>566547717</v>
      </c>
      <c r="K230">
        <v>691588217</v>
      </c>
      <c r="L230">
        <v>1234507755</v>
      </c>
      <c r="M230">
        <v>1417747195</v>
      </c>
      <c r="N230">
        <v>1556779200</v>
      </c>
      <c r="O230">
        <v>1905158773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72989260</v>
      </c>
      <c r="G231">
        <v>96011534</v>
      </c>
      <c r="H231">
        <v>126382032</v>
      </c>
      <c r="I231">
        <v>60831945</v>
      </c>
      <c r="J231">
        <v>47407529</v>
      </c>
      <c r="K231">
        <v>66880999</v>
      </c>
      <c r="L231">
        <v>92876551</v>
      </c>
      <c r="M231">
        <v>161907812</v>
      </c>
      <c r="N231">
        <v>68008125</v>
      </c>
      <c r="O231">
        <v>122247547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18564716205</v>
      </c>
      <c r="G232">
        <v>12392691740</v>
      </c>
      <c r="H232">
        <v>13160357716</v>
      </c>
      <c r="I232">
        <v>9304655985</v>
      </c>
      <c r="J232">
        <v>10002056689</v>
      </c>
      <c r="K232">
        <v>11845221102</v>
      </c>
      <c r="L232">
        <v>8060764336</v>
      </c>
      <c r="M232">
        <v>3898471560</v>
      </c>
      <c r="N232">
        <v>5433361511</v>
      </c>
      <c r="O232">
        <v>7071249161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8902843084</v>
      </c>
      <c r="G233">
        <v>8323732620</v>
      </c>
      <c r="H233">
        <v>7952782313</v>
      </c>
      <c r="I233">
        <v>7133703910</v>
      </c>
      <c r="J233">
        <v>7913890882</v>
      </c>
      <c r="K233">
        <v>7863546824</v>
      </c>
      <c r="L233">
        <v>6890698182</v>
      </c>
      <c r="M233">
        <v>7593683239</v>
      </c>
      <c r="N233">
        <v>6544265415</v>
      </c>
      <c r="O233">
        <v>3901595062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3542905724</v>
      </c>
      <c r="G234">
        <v>3012809283</v>
      </c>
      <c r="H234">
        <v>2788744391</v>
      </c>
      <c r="I234">
        <v>2914891957</v>
      </c>
      <c r="J234">
        <v>4320424865</v>
      </c>
      <c r="K234">
        <v>3174735866</v>
      </c>
      <c r="L234">
        <v>2867001437</v>
      </c>
      <c r="M234">
        <v>2619021515</v>
      </c>
      <c r="N234">
        <v>2715419537</v>
      </c>
      <c r="O234">
        <v>2108051631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4798419497</v>
      </c>
      <c r="G235">
        <v>3403333950</v>
      </c>
      <c r="H235">
        <v>3777919297</v>
      </c>
      <c r="I235">
        <v>3348130939</v>
      </c>
      <c r="J235">
        <v>3465698947</v>
      </c>
      <c r="K235">
        <v>3102028185</v>
      </c>
      <c r="L235">
        <v>3641219141</v>
      </c>
      <c r="M235">
        <v>2682713765</v>
      </c>
      <c r="N235">
        <v>2722813232</v>
      </c>
      <c r="O235">
        <v>2689225133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4905448736</v>
      </c>
      <c r="J236">
        <v>4309508432</v>
      </c>
      <c r="K236">
        <v>3492674914.6700001</v>
      </c>
      <c r="L236">
        <v>3075002219.3000002</v>
      </c>
      <c r="M236">
        <v>3033013409.6500001</v>
      </c>
      <c r="N236">
        <v>2806117599.46</v>
      </c>
      <c r="O236">
        <v>2785248064.9400001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15215170973</v>
      </c>
      <c r="G237">
        <v>16095698340</v>
      </c>
      <c r="H237">
        <v>21669375582</v>
      </c>
      <c r="I237">
        <v>25594045331</v>
      </c>
      <c r="J237">
        <v>23149833334</v>
      </c>
      <c r="K237">
        <v>18839848418</v>
      </c>
      <c r="L237">
        <v>16457723541</v>
      </c>
      <c r="M237">
        <v>14769673629</v>
      </c>
      <c r="N237">
        <v>11833826603</v>
      </c>
      <c r="O237">
        <v>11286739829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521528805</v>
      </c>
      <c r="G238">
        <v>587328610</v>
      </c>
      <c r="H238">
        <v>607346324</v>
      </c>
      <c r="I238">
        <v>609177926</v>
      </c>
      <c r="J238">
        <v>698104385</v>
      </c>
      <c r="K238">
        <v>657424413</v>
      </c>
      <c r="L238">
        <v>667869377</v>
      </c>
      <c r="M238">
        <v>670492230</v>
      </c>
      <c r="N238">
        <v>681452310</v>
      </c>
      <c r="O238">
        <v>625999988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3956996802</v>
      </c>
      <c r="G239">
        <v>2913972904</v>
      </c>
      <c r="H239">
        <v>3357647709</v>
      </c>
      <c r="I239">
        <v>3248472184</v>
      </c>
      <c r="J239">
        <v>2787388416</v>
      </c>
      <c r="K239">
        <v>2306647855</v>
      </c>
      <c r="L239">
        <v>1596096489</v>
      </c>
      <c r="M239">
        <v>1985703480</v>
      </c>
      <c r="N239">
        <v>1276382328</v>
      </c>
      <c r="O239">
        <v>1340235068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7527033</v>
      </c>
      <c r="G240">
        <v>2363138</v>
      </c>
      <c r="H240">
        <v>10534595</v>
      </c>
      <c r="I240">
        <v>4311092</v>
      </c>
      <c r="J240">
        <v>2317822</v>
      </c>
      <c r="K240">
        <v>1232148</v>
      </c>
      <c r="L240">
        <v>1725070</v>
      </c>
      <c r="M240">
        <v>3394473</v>
      </c>
      <c r="N240">
        <v>4057359</v>
      </c>
      <c r="O240">
        <v>1740621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19618702650</v>
      </c>
      <c r="G241">
        <v>18384753378</v>
      </c>
      <c r="H241">
        <v>16140750019</v>
      </c>
      <c r="I241">
        <v>12977793264</v>
      </c>
      <c r="J241">
        <v>11583312012</v>
      </c>
      <c r="K241">
        <v>9686558064</v>
      </c>
      <c r="L241">
        <v>7573838783</v>
      </c>
      <c r="M241">
        <v>6273315107</v>
      </c>
      <c r="N241">
        <v>5201525160</v>
      </c>
      <c r="O241">
        <v>4545523721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10076283161</v>
      </c>
      <c r="G242">
        <v>8483408255</v>
      </c>
      <c r="H242">
        <v>10508481184</v>
      </c>
      <c r="I242">
        <v>11798493567</v>
      </c>
      <c r="J242">
        <v>9988960749</v>
      </c>
      <c r="K242">
        <v>4096091977</v>
      </c>
      <c r="L242">
        <v>3264667829</v>
      </c>
      <c r="M242">
        <v>7316731573</v>
      </c>
      <c r="N242">
        <v>8384794354</v>
      </c>
      <c r="O242">
        <v>6699635224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40223537826</v>
      </c>
      <c r="G243">
        <v>34055589256</v>
      </c>
      <c r="H243">
        <v>13001049026</v>
      </c>
      <c r="I243">
        <v>2267706653</v>
      </c>
      <c r="J243">
        <v>11770064185</v>
      </c>
      <c r="K243">
        <v>11598365564</v>
      </c>
      <c r="L243">
        <v>10244190768</v>
      </c>
      <c r="M243">
        <v>11113499787</v>
      </c>
      <c r="N243">
        <v>11270250699</v>
      </c>
      <c r="O243">
        <v>10395262473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4545679342</v>
      </c>
      <c r="G244">
        <v>3804017659</v>
      </c>
      <c r="H244">
        <v>4151916456</v>
      </c>
      <c r="I244">
        <v>5530902234</v>
      </c>
      <c r="J244">
        <v>5354550443</v>
      </c>
      <c r="K244">
        <v>1353196565</v>
      </c>
      <c r="L244">
        <v>1546045857</v>
      </c>
      <c r="M244">
        <v>1298480090</v>
      </c>
      <c r="N244">
        <v>699040426</v>
      </c>
      <c r="O244">
        <v>736223907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5346927777</v>
      </c>
      <c r="G245">
        <v>4466771611</v>
      </c>
      <c r="H245">
        <v>6577240725</v>
      </c>
      <c r="I245">
        <v>6361842879</v>
      </c>
      <c r="J245">
        <v>6415174371</v>
      </c>
      <c r="K245">
        <v>5685946461</v>
      </c>
      <c r="L245">
        <v>6235940617</v>
      </c>
      <c r="M245">
        <v>6118586647</v>
      </c>
      <c r="N245">
        <v>6158656608</v>
      </c>
      <c r="O245">
        <v>4831943745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75809301</v>
      </c>
      <c r="G246">
        <v>386277213</v>
      </c>
      <c r="H246">
        <v>223402536</v>
      </c>
      <c r="I246">
        <v>504898558</v>
      </c>
      <c r="J246">
        <v>740620762</v>
      </c>
      <c r="K246">
        <v>693809118</v>
      </c>
      <c r="L246">
        <v>1469433166</v>
      </c>
      <c r="M246">
        <v>958962060</v>
      </c>
      <c r="N246">
        <v>2047723116</v>
      </c>
      <c r="O246">
        <v>2192173200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43973902856</v>
      </c>
      <c r="G247">
        <v>28347652882</v>
      </c>
      <c r="H247">
        <v>31575425787</v>
      </c>
      <c r="I247">
        <v>30592369649</v>
      </c>
      <c r="J247">
        <v>23471891682</v>
      </c>
      <c r="K247">
        <v>18204382493</v>
      </c>
      <c r="L247">
        <v>17575425776</v>
      </c>
      <c r="M247">
        <v>20710179138</v>
      </c>
      <c r="N247">
        <v>23481449410</v>
      </c>
      <c r="O247">
        <v>24713904720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1354771716</v>
      </c>
      <c r="G248">
        <v>1122765431</v>
      </c>
      <c r="H248">
        <v>993070066</v>
      </c>
      <c r="I248">
        <v>844173995</v>
      </c>
      <c r="J248">
        <v>785139131</v>
      </c>
      <c r="K248">
        <v>704155606</v>
      </c>
      <c r="L248">
        <v>606270476</v>
      </c>
      <c r="M248">
        <v>591085008</v>
      </c>
      <c r="N248">
        <v>583787044</v>
      </c>
      <c r="O248">
        <v>568599626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6068496894</v>
      </c>
      <c r="G249">
        <v>4812799320</v>
      </c>
      <c r="H249">
        <v>3202676638</v>
      </c>
      <c r="I249">
        <v>2437356236</v>
      </c>
      <c r="J249">
        <v>2240299320</v>
      </c>
      <c r="K249">
        <v>1453470403</v>
      </c>
      <c r="L249">
        <v>1800766108</v>
      </c>
      <c r="M249">
        <v>1938219298</v>
      </c>
      <c r="N249">
        <v>457433441</v>
      </c>
      <c r="O249">
        <v>483025034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2433894109</v>
      </c>
      <c r="G250">
        <v>1853198581</v>
      </c>
      <c r="H250">
        <v>1726262290</v>
      </c>
      <c r="I250">
        <v>1797171736</v>
      </c>
      <c r="J250">
        <v>1309247542</v>
      </c>
      <c r="K250">
        <v>1093286107</v>
      </c>
      <c r="L250">
        <v>856186749</v>
      </c>
      <c r="M250">
        <v>665793999</v>
      </c>
      <c r="N250">
        <v>500113913</v>
      </c>
      <c r="O250">
        <v>362149432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91814665.709999993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3440812728</v>
      </c>
      <c r="G252">
        <v>3273394626</v>
      </c>
      <c r="H252">
        <v>3427963334</v>
      </c>
      <c r="I252">
        <v>4099021788</v>
      </c>
      <c r="J252">
        <v>4049750084</v>
      </c>
      <c r="K252">
        <v>3819425399</v>
      </c>
      <c r="L252">
        <v>4432896167</v>
      </c>
      <c r="M252">
        <v>4174806920</v>
      </c>
      <c r="N252">
        <v>4738721360</v>
      </c>
      <c r="O252">
        <v>4613498080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1664695092</v>
      </c>
      <c r="G253">
        <v>1601802086</v>
      </c>
      <c r="H253">
        <v>2250542894</v>
      </c>
      <c r="I253">
        <v>2443954423</v>
      </c>
      <c r="J253">
        <v>2106230822</v>
      </c>
      <c r="K253">
        <v>1888584433</v>
      </c>
      <c r="L253">
        <v>1978832043</v>
      </c>
      <c r="M253">
        <v>2616790758</v>
      </c>
      <c r="N253">
        <v>2592835664</v>
      </c>
      <c r="O253">
        <v>3124511190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238353352</v>
      </c>
      <c r="G254">
        <v>299379544</v>
      </c>
      <c r="H254">
        <v>582644478</v>
      </c>
      <c r="I254">
        <v>803571017</v>
      </c>
      <c r="J254">
        <v>796554674</v>
      </c>
      <c r="K254">
        <v>686158712</v>
      </c>
      <c r="L254">
        <v>782562516</v>
      </c>
      <c r="M254">
        <v>729377935</v>
      </c>
      <c r="N254">
        <v>577274469</v>
      </c>
      <c r="O254">
        <v>610967741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649299224</v>
      </c>
      <c r="G255">
        <v>1210125614</v>
      </c>
      <c r="H255">
        <v>1439440093</v>
      </c>
      <c r="I255">
        <v>1658013281</v>
      </c>
      <c r="J255">
        <v>1025088255</v>
      </c>
      <c r="K255">
        <v>1291610399</v>
      </c>
      <c r="L255">
        <v>1252655637</v>
      </c>
      <c r="M255">
        <v>1064349878</v>
      </c>
      <c r="N255">
        <v>1017850476</v>
      </c>
      <c r="O255">
        <v>1069542997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1941943776</v>
      </c>
      <c r="G257">
        <v>1375460204</v>
      </c>
      <c r="H257">
        <v>1458103948</v>
      </c>
      <c r="I257">
        <v>1574503352</v>
      </c>
      <c r="J257">
        <v>1524310559</v>
      </c>
      <c r="K257">
        <v>1646573728</v>
      </c>
      <c r="L257">
        <v>2290726091</v>
      </c>
      <c r="M257">
        <v>1670692994</v>
      </c>
      <c r="N257">
        <v>1848281250</v>
      </c>
      <c r="O257">
        <v>3187191434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1280378968</v>
      </c>
      <c r="G258">
        <v>1515884391</v>
      </c>
      <c r="H258">
        <v>2876539936</v>
      </c>
      <c r="I258">
        <v>8797700508</v>
      </c>
      <c r="J258">
        <v>10680524501</v>
      </c>
      <c r="K258">
        <v>879084038</v>
      </c>
      <c r="L258">
        <v>846089567</v>
      </c>
      <c r="M258">
        <v>990414408</v>
      </c>
      <c r="N258">
        <v>946757029</v>
      </c>
      <c r="O258">
        <v>911640125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20553982504</v>
      </c>
      <c r="G259">
        <v>11768059169</v>
      </c>
      <c r="H259">
        <v>19691369014</v>
      </c>
      <c r="I259">
        <v>23621913711</v>
      </c>
      <c r="J259">
        <v>15990204630</v>
      </c>
      <c r="K259">
        <v>15242430766</v>
      </c>
      <c r="L259">
        <v>13341959806</v>
      </c>
      <c r="M259">
        <v>14913514462</v>
      </c>
      <c r="N259">
        <v>11566236538</v>
      </c>
      <c r="O259">
        <v>11562024212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138267519776</v>
      </c>
      <c r="G260">
        <v>126016111161</v>
      </c>
      <c r="H260">
        <v>144513302326</v>
      </c>
      <c r="I260">
        <v>145330559183</v>
      </c>
      <c r="J260">
        <v>136320599925</v>
      </c>
      <c r="K260">
        <v>108660836767</v>
      </c>
      <c r="L260">
        <v>78728135676</v>
      </c>
      <c r="M260">
        <v>284450422</v>
      </c>
      <c r="N260">
        <v>271852134</v>
      </c>
      <c r="O260">
        <v>646251284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7985125097</v>
      </c>
      <c r="G261">
        <v>7067240144</v>
      </c>
      <c r="H261">
        <v>5931743480</v>
      </c>
      <c r="I261">
        <v>5324163854</v>
      </c>
      <c r="J261">
        <v>4597306553</v>
      </c>
      <c r="K261">
        <v>3972932681</v>
      </c>
      <c r="L261">
        <v>3263177830</v>
      </c>
      <c r="M261">
        <v>2948873830</v>
      </c>
      <c r="N261">
        <v>2436184688</v>
      </c>
      <c r="O261">
        <v>2042693200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9014245864</v>
      </c>
      <c r="G262">
        <v>9276495949</v>
      </c>
      <c r="H262">
        <v>8414460686</v>
      </c>
      <c r="I262">
        <v>6928440218</v>
      </c>
      <c r="J262">
        <v>7621684141</v>
      </c>
      <c r="K262">
        <v>8350172275</v>
      </c>
      <c r="L262">
        <v>10601643843</v>
      </c>
      <c r="M262">
        <v>6523895824</v>
      </c>
      <c r="N262">
        <v>6393965510</v>
      </c>
      <c r="O262">
        <v>7602556150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3730508821</v>
      </c>
      <c r="G263">
        <v>4487960923</v>
      </c>
      <c r="H263">
        <v>4507544981</v>
      </c>
      <c r="I263">
        <v>4371560640</v>
      </c>
      <c r="J263">
        <v>3918109362</v>
      </c>
      <c r="K263">
        <v>3559639697</v>
      </c>
      <c r="L263">
        <v>3485325999</v>
      </c>
      <c r="M263">
        <v>4059347514</v>
      </c>
      <c r="N263">
        <v>4262608795</v>
      </c>
      <c r="O263">
        <v>4841627617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811545115</v>
      </c>
      <c r="G264">
        <v>606102181</v>
      </c>
      <c r="H264">
        <v>603441561</v>
      </c>
      <c r="I264">
        <v>145058465</v>
      </c>
      <c r="J264">
        <v>256251884</v>
      </c>
      <c r="K264">
        <v>108687107</v>
      </c>
      <c r="L264">
        <v>213576578</v>
      </c>
      <c r="M264">
        <v>677881325</v>
      </c>
      <c r="N264">
        <v>584795184</v>
      </c>
      <c r="O264">
        <v>684249766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1753351976</v>
      </c>
      <c r="G265">
        <v>514250208</v>
      </c>
      <c r="H265">
        <v>370687020</v>
      </c>
      <c r="I265">
        <v>480442790</v>
      </c>
      <c r="J265">
        <v>488252160</v>
      </c>
      <c r="K265">
        <v>400223505</v>
      </c>
      <c r="L265">
        <v>456749633</v>
      </c>
      <c r="M265">
        <v>580952989</v>
      </c>
      <c r="N265">
        <v>552714117</v>
      </c>
      <c r="O265">
        <v>521102253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1748789009</v>
      </c>
      <c r="G266">
        <v>1204866419</v>
      </c>
      <c r="H266">
        <v>1438262323</v>
      </c>
      <c r="I266">
        <v>1788355428</v>
      </c>
      <c r="J266">
        <v>2325107933</v>
      </c>
      <c r="K266">
        <v>2079268360</v>
      </c>
      <c r="L266">
        <v>1990179618</v>
      </c>
      <c r="M266">
        <v>2203938890</v>
      </c>
      <c r="N266">
        <v>2684500600</v>
      </c>
      <c r="O266">
        <v>2939817918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1552459958</v>
      </c>
      <c r="G267">
        <v>1610476518</v>
      </c>
      <c r="H267">
        <v>1553880657</v>
      </c>
      <c r="I267">
        <v>1443050849</v>
      </c>
      <c r="J267">
        <v>1313539987</v>
      </c>
      <c r="K267">
        <v>1236680836</v>
      </c>
      <c r="L267">
        <v>1066915660</v>
      </c>
      <c r="M267">
        <v>958418506</v>
      </c>
      <c r="N267">
        <v>981836173</v>
      </c>
      <c r="O267">
        <v>946435623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325987481</v>
      </c>
      <c r="G268">
        <v>364418378</v>
      </c>
      <c r="H268">
        <v>822056529</v>
      </c>
      <c r="I268">
        <v>770066497</v>
      </c>
      <c r="J268">
        <v>704662017</v>
      </c>
      <c r="K268">
        <v>771592800</v>
      </c>
      <c r="L268">
        <v>1056737536</v>
      </c>
      <c r="M268">
        <v>1317823769</v>
      </c>
      <c r="N268">
        <v>1615800974</v>
      </c>
      <c r="O268">
        <v>1315135522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31090185742</v>
      </c>
      <c r="G269">
        <v>20149922586</v>
      </c>
      <c r="H269">
        <v>31758715703</v>
      </c>
      <c r="I269">
        <v>30690775012</v>
      </c>
      <c r="J269">
        <v>28049165935</v>
      </c>
      <c r="K269">
        <v>25434742805</v>
      </c>
      <c r="L269">
        <v>38208327960</v>
      </c>
      <c r="M269">
        <v>71195639708</v>
      </c>
      <c r="N269">
        <v>54621567761</v>
      </c>
      <c r="O269">
        <v>47853965829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11155657587</v>
      </c>
      <c r="G270">
        <v>11117938646</v>
      </c>
      <c r="H270">
        <v>12941019126</v>
      </c>
      <c r="I270">
        <v>13101798515</v>
      </c>
      <c r="J270">
        <v>12549579588</v>
      </c>
      <c r="K270">
        <v>8178955434</v>
      </c>
      <c r="L270">
        <v>8529920534</v>
      </c>
      <c r="M270">
        <v>7288483331</v>
      </c>
      <c r="N270">
        <v>7600617544</v>
      </c>
      <c r="O270">
        <v>7746026564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125884375946</v>
      </c>
      <c r="G271">
        <v>55887260941</v>
      </c>
      <c r="H271">
        <v>64434079344</v>
      </c>
      <c r="I271">
        <v>57682262811</v>
      </c>
      <c r="J271">
        <v>42897180340</v>
      </c>
      <c r="K271">
        <v>25254477060</v>
      </c>
      <c r="L271">
        <v>17120211869</v>
      </c>
      <c r="M271">
        <v>20339971142</v>
      </c>
      <c r="N271">
        <v>16584581779</v>
      </c>
      <c r="O271">
        <v>12106614342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20444927344</v>
      </c>
      <c r="G272">
        <v>26026953663</v>
      </c>
      <c r="H272">
        <v>22061691890</v>
      </c>
      <c r="I272">
        <v>10955999325</v>
      </c>
      <c r="J272">
        <v>8685411561</v>
      </c>
      <c r="K272">
        <v>3817051014</v>
      </c>
      <c r="L272">
        <v>3103782369</v>
      </c>
      <c r="M272">
        <v>1298344462</v>
      </c>
      <c r="N272">
        <v>1972209476</v>
      </c>
      <c r="O272">
        <v>3313695311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407480543</v>
      </c>
      <c r="G273">
        <v>211360403</v>
      </c>
      <c r="H273">
        <v>156551916</v>
      </c>
      <c r="I273">
        <v>63290000</v>
      </c>
      <c r="J273">
        <v>134847297</v>
      </c>
      <c r="K273">
        <v>37350000</v>
      </c>
      <c r="L273">
        <v>78770000</v>
      </c>
      <c r="M273">
        <v>156510000</v>
      </c>
      <c r="N273">
        <v>152670000</v>
      </c>
      <c r="O273">
        <v>229910000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5712731651</v>
      </c>
      <c r="G274">
        <v>5738266128</v>
      </c>
      <c r="H274">
        <v>5389767336</v>
      </c>
      <c r="I274">
        <v>3995387730</v>
      </c>
      <c r="J274">
        <v>3985826146</v>
      </c>
      <c r="K274">
        <v>3952219572</v>
      </c>
      <c r="L274">
        <v>2948383213</v>
      </c>
      <c r="M274">
        <v>2381871569</v>
      </c>
      <c r="N274">
        <v>1855578721</v>
      </c>
      <c r="O274">
        <v>1662766010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3358148497</v>
      </c>
      <c r="G275">
        <v>2428622672</v>
      </c>
      <c r="H275">
        <v>4298619926</v>
      </c>
      <c r="I275">
        <v>3018819603</v>
      </c>
      <c r="J275">
        <v>2557466007</v>
      </c>
      <c r="K275">
        <v>3413787441</v>
      </c>
      <c r="L275">
        <v>1834515795</v>
      </c>
      <c r="M275">
        <v>1701053287</v>
      </c>
      <c r="N275">
        <v>1620654688</v>
      </c>
      <c r="O275">
        <v>1207212255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6369295385</v>
      </c>
      <c r="G276">
        <v>5943011371</v>
      </c>
      <c r="H276">
        <v>5983892791</v>
      </c>
      <c r="I276">
        <v>5780836512</v>
      </c>
      <c r="J276">
        <v>5254794316</v>
      </c>
      <c r="K276">
        <v>4646135299</v>
      </c>
      <c r="L276">
        <v>4604899096</v>
      </c>
      <c r="M276">
        <v>4416663082</v>
      </c>
      <c r="N276">
        <v>4203350085</v>
      </c>
      <c r="O276">
        <v>3665000108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10806573174</v>
      </c>
      <c r="G277">
        <v>1119262336</v>
      </c>
      <c r="H277">
        <v>1798069298</v>
      </c>
      <c r="I277">
        <v>1492621330</v>
      </c>
      <c r="J277">
        <v>1346219423</v>
      </c>
      <c r="K277">
        <v>761634067</v>
      </c>
      <c r="L277">
        <v>1484745962</v>
      </c>
      <c r="M277">
        <v>1141754416</v>
      </c>
      <c r="N277">
        <v>1005394848</v>
      </c>
      <c r="O277">
        <v>726031206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3520221898</v>
      </c>
      <c r="H278">
        <v>3422880032</v>
      </c>
      <c r="I278">
        <v>3087030318</v>
      </c>
      <c r="J278">
        <v>2985141630</v>
      </c>
      <c r="K278">
        <v>2008388632.8099999</v>
      </c>
      <c r="L278">
        <v>2714541494.4299998</v>
      </c>
      <c r="M278">
        <v>2595698420.3400002</v>
      </c>
      <c r="N278">
        <v>2572200276.0300002</v>
      </c>
      <c r="O278">
        <v>2350340228.6799998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69232311</v>
      </c>
      <c r="G279">
        <v>95024845</v>
      </c>
      <c r="H279">
        <v>106810569</v>
      </c>
      <c r="I279">
        <v>57179514</v>
      </c>
      <c r="J279">
        <v>556114332</v>
      </c>
      <c r="K279">
        <v>222040732</v>
      </c>
      <c r="L279">
        <v>1151567068</v>
      </c>
      <c r="M279">
        <v>1036757407</v>
      </c>
      <c r="N279">
        <v>743770337</v>
      </c>
      <c r="O279">
        <v>978390331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91446685</v>
      </c>
      <c r="G280">
        <v>67538467</v>
      </c>
      <c r="H280">
        <v>1043723562</v>
      </c>
      <c r="I280">
        <v>1107273984</v>
      </c>
      <c r="J280">
        <v>1256669366</v>
      </c>
      <c r="K280">
        <v>860837688</v>
      </c>
      <c r="L280">
        <v>1185049158</v>
      </c>
      <c r="M280">
        <v>999779333</v>
      </c>
      <c r="N280">
        <v>1350726557</v>
      </c>
      <c r="O280">
        <v>1740112872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15586402714</v>
      </c>
      <c r="G281">
        <v>15538532222</v>
      </c>
      <c r="H281">
        <v>15069186999</v>
      </c>
      <c r="I281">
        <v>15341738403</v>
      </c>
      <c r="J281">
        <v>12443820075</v>
      </c>
      <c r="K281">
        <v>15611946856</v>
      </c>
      <c r="L281">
        <v>12805743250</v>
      </c>
      <c r="M281">
        <v>14222252047</v>
      </c>
      <c r="N281">
        <v>13928282311</v>
      </c>
      <c r="O281">
        <v>14760787257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1011612262</v>
      </c>
      <c r="G282">
        <v>510654190</v>
      </c>
      <c r="H282">
        <v>833584079</v>
      </c>
      <c r="I282">
        <v>1672217707</v>
      </c>
      <c r="J282">
        <v>609637377</v>
      </c>
      <c r="K282">
        <v>406273832</v>
      </c>
      <c r="L282">
        <v>568004512</v>
      </c>
      <c r="M282">
        <v>667077657</v>
      </c>
      <c r="N282">
        <v>652040885</v>
      </c>
      <c r="O282">
        <v>346938953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2868363331</v>
      </c>
      <c r="G283">
        <v>4145287016</v>
      </c>
      <c r="H283">
        <v>1611469247</v>
      </c>
      <c r="I283">
        <v>3388859739</v>
      </c>
      <c r="J283">
        <v>7312865669</v>
      </c>
      <c r="K283">
        <v>5266038750</v>
      </c>
      <c r="L283">
        <v>1647602686</v>
      </c>
      <c r="M283">
        <v>1207725656</v>
      </c>
      <c r="N283">
        <v>2104308329</v>
      </c>
      <c r="O283">
        <v>899147021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6126325730</v>
      </c>
      <c r="G284">
        <v>4215029925</v>
      </c>
      <c r="H284">
        <v>3832981629</v>
      </c>
      <c r="I284">
        <v>3767353272</v>
      </c>
      <c r="J284">
        <v>3087915732</v>
      </c>
      <c r="K284">
        <v>2796336280</v>
      </c>
      <c r="L284">
        <v>2737670092</v>
      </c>
      <c r="M284">
        <v>863492511</v>
      </c>
      <c r="N284">
        <v>745037314</v>
      </c>
      <c r="O284">
        <v>705764847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53845474631</v>
      </c>
      <c r="G285">
        <v>34631804958</v>
      </c>
      <c r="H285">
        <v>39099317152</v>
      </c>
      <c r="I285">
        <v>23453291586</v>
      </c>
      <c r="J285">
        <v>15146269859</v>
      </c>
      <c r="K285">
        <v>23253633349</v>
      </c>
      <c r="L285">
        <v>6499600346</v>
      </c>
      <c r="M285">
        <v>4120168119</v>
      </c>
      <c r="N285">
        <v>5606116422</v>
      </c>
      <c r="O285">
        <v>2749246907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3642338931</v>
      </c>
      <c r="G286">
        <v>4393779676</v>
      </c>
      <c r="H286">
        <v>3816793254</v>
      </c>
      <c r="I286">
        <v>4186520572</v>
      </c>
      <c r="J286">
        <v>2624105828</v>
      </c>
      <c r="K286">
        <v>1859836404</v>
      </c>
      <c r="L286">
        <v>1465009593</v>
      </c>
      <c r="M286">
        <v>1030697889</v>
      </c>
      <c r="N286">
        <v>1104065316</v>
      </c>
      <c r="O286">
        <v>843063221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8593442658</v>
      </c>
      <c r="G287">
        <v>7125447991</v>
      </c>
      <c r="H287">
        <v>7563344323</v>
      </c>
      <c r="I287">
        <v>7593689705</v>
      </c>
      <c r="J287">
        <v>7260145114</v>
      </c>
      <c r="K287">
        <v>7314036792</v>
      </c>
      <c r="L287">
        <v>7023749074</v>
      </c>
      <c r="M287">
        <v>7349566167</v>
      </c>
      <c r="N287">
        <v>7406241925</v>
      </c>
      <c r="O287">
        <v>6273418784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6729759768</v>
      </c>
      <c r="G288">
        <v>3701357836</v>
      </c>
      <c r="H288">
        <v>2276127669</v>
      </c>
      <c r="I288">
        <v>1871540027</v>
      </c>
      <c r="J288">
        <v>1378912629</v>
      </c>
      <c r="K288">
        <v>1084678335</v>
      </c>
      <c r="L288">
        <v>1454740243</v>
      </c>
      <c r="M288">
        <v>1059971127</v>
      </c>
      <c r="N288">
        <v>559319626</v>
      </c>
      <c r="O288">
        <v>636732899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5423918172</v>
      </c>
      <c r="G289">
        <v>4279345898</v>
      </c>
      <c r="H289">
        <v>4461103799</v>
      </c>
      <c r="I289">
        <v>4274704882</v>
      </c>
      <c r="J289">
        <v>3904322864</v>
      </c>
      <c r="K289">
        <v>4022281562</v>
      </c>
      <c r="L289">
        <v>4282752093</v>
      </c>
      <c r="M289">
        <v>4067656373</v>
      </c>
      <c r="N289">
        <v>3399051090</v>
      </c>
      <c r="O289">
        <v>3114433403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2219733769</v>
      </c>
      <c r="G290">
        <v>1613613813</v>
      </c>
      <c r="H290">
        <v>1355654231</v>
      </c>
      <c r="I290">
        <v>1351398361</v>
      </c>
      <c r="J290">
        <v>1355790863</v>
      </c>
      <c r="K290">
        <v>891264833</v>
      </c>
      <c r="L290">
        <v>1224456468</v>
      </c>
      <c r="M290">
        <v>887872762</v>
      </c>
      <c r="N290">
        <v>962841033</v>
      </c>
      <c r="O290">
        <v>877926631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1692244611</v>
      </c>
      <c r="G291">
        <v>1419866229</v>
      </c>
      <c r="H291">
        <v>1646397359</v>
      </c>
      <c r="I291">
        <v>3766578113</v>
      </c>
      <c r="J291">
        <v>3349399943</v>
      </c>
      <c r="K291">
        <v>2999426565</v>
      </c>
      <c r="L291">
        <v>3284286429</v>
      </c>
      <c r="M291">
        <v>2958260597</v>
      </c>
      <c r="N291">
        <v>2690435047</v>
      </c>
      <c r="O291">
        <v>3755047946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51793363131</v>
      </c>
      <c r="G292">
        <v>42527900412</v>
      </c>
      <c r="H292">
        <v>45702482568</v>
      </c>
      <c r="I292">
        <v>29305562262</v>
      </c>
      <c r="J292">
        <v>12296202127</v>
      </c>
      <c r="K292">
        <v>13423052755</v>
      </c>
      <c r="L292">
        <v>15174153910</v>
      </c>
      <c r="M292">
        <v>13846620170</v>
      </c>
      <c r="N292">
        <v>12461498773</v>
      </c>
      <c r="O292">
        <v>5414027199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1249332809</v>
      </c>
      <c r="G293">
        <v>955476770</v>
      </c>
      <c r="H293">
        <v>1144553285</v>
      </c>
      <c r="I293">
        <v>1084995865</v>
      </c>
      <c r="J293">
        <v>1043658503</v>
      </c>
      <c r="K293">
        <v>962554943</v>
      </c>
      <c r="L293">
        <v>1223607749</v>
      </c>
      <c r="M293">
        <v>1336078573</v>
      </c>
      <c r="N293">
        <v>1413512461</v>
      </c>
      <c r="O293">
        <v>1423987258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33943230164</v>
      </c>
      <c r="G294">
        <v>32700927593</v>
      </c>
      <c r="H294">
        <v>39088792094</v>
      </c>
      <c r="I294">
        <v>38231715186</v>
      </c>
      <c r="J294">
        <v>41667026318</v>
      </c>
      <c r="K294">
        <v>45379312060</v>
      </c>
      <c r="L294">
        <v>60894213231</v>
      </c>
      <c r="M294">
        <v>80001302047</v>
      </c>
      <c r="N294">
        <v>59356396842</v>
      </c>
      <c r="O294">
        <v>51362175464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6714412884</v>
      </c>
      <c r="G295">
        <v>4967138258</v>
      </c>
      <c r="H295">
        <v>4843441515</v>
      </c>
      <c r="I295">
        <v>4388195625</v>
      </c>
      <c r="J295">
        <v>3669102897</v>
      </c>
      <c r="K295">
        <v>2961684169</v>
      </c>
      <c r="L295">
        <v>3121987758</v>
      </c>
      <c r="M295">
        <v>3487549390</v>
      </c>
      <c r="N295">
        <v>3996194152</v>
      </c>
      <c r="O295">
        <v>3449610914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4054918892</v>
      </c>
      <c r="G296">
        <v>3317397754</v>
      </c>
      <c r="H296">
        <v>4530574067</v>
      </c>
      <c r="I296">
        <v>4152172963</v>
      </c>
      <c r="J296">
        <v>3402613868</v>
      </c>
      <c r="K296">
        <v>2880982529</v>
      </c>
      <c r="L296">
        <v>2417224355</v>
      </c>
      <c r="M296">
        <v>2313191364</v>
      </c>
      <c r="N296">
        <v>1965470834</v>
      </c>
      <c r="O296">
        <v>2172602551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1555278831</v>
      </c>
      <c r="G297">
        <v>878995944</v>
      </c>
      <c r="H297">
        <v>1461794994</v>
      </c>
      <c r="I297">
        <v>1606553961</v>
      </c>
      <c r="J297">
        <v>1849505779</v>
      </c>
      <c r="K297">
        <v>1006473152</v>
      </c>
      <c r="L297">
        <v>1444028480</v>
      </c>
      <c r="M297">
        <v>1263022335</v>
      </c>
      <c r="N297">
        <v>1204722828</v>
      </c>
      <c r="O297">
        <v>929595730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56541101268</v>
      </c>
      <c r="G298">
        <v>44191747658</v>
      </c>
      <c r="H298">
        <v>42143370648</v>
      </c>
      <c r="I298">
        <v>48463485424</v>
      </c>
      <c r="J298">
        <v>31809898488</v>
      </c>
      <c r="K298">
        <v>1567927670</v>
      </c>
      <c r="L298">
        <v>1443004476</v>
      </c>
      <c r="M298">
        <v>1951041513</v>
      </c>
      <c r="N298">
        <v>1695555383</v>
      </c>
      <c r="O298">
        <v>1648123964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28942837242</v>
      </c>
      <c r="G299">
        <v>43349783375</v>
      </c>
      <c r="H299">
        <v>63138122597</v>
      </c>
      <c r="I299">
        <v>53020529295</v>
      </c>
      <c r="J299">
        <v>55253708801</v>
      </c>
      <c r="K299">
        <v>58180140811</v>
      </c>
      <c r="L299">
        <v>40927669258</v>
      </c>
      <c r="M299">
        <v>30334637588</v>
      </c>
      <c r="N299">
        <v>21814068719</v>
      </c>
      <c r="O299">
        <v>12909437189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664904080</v>
      </c>
      <c r="G300">
        <v>1019753596</v>
      </c>
      <c r="H300">
        <v>1293736329</v>
      </c>
      <c r="I300">
        <v>790261816</v>
      </c>
      <c r="J300">
        <v>598967579</v>
      </c>
      <c r="K300">
        <v>656298869</v>
      </c>
      <c r="L300">
        <v>549508731</v>
      </c>
      <c r="M300">
        <v>732706620</v>
      </c>
      <c r="N300">
        <v>669683592</v>
      </c>
      <c r="O300">
        <v>649589202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48892921</v>
      </c>
      <c r="G301">
        <v>87637822</v>
      </c>
      <c r="H301">
        <v>91779904</v>
      </c>
      <c r="I301">
        <v>117542668</v>
      </c>
      <c r="J301">
        <v>195042971</v>
      </c>
      <c r="K301">
        <v>370585456</v>
      </c>
      <c r="L301">
        <v>399429822</v>
      </c>
      <c r="M301">
        <v>722617248</v>
      </c>
      <c r="N301">
        <v>666466284</v>
      </c>
      <c r="O301">
        <v>869339850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154900689171</v>
      </c>
      <c r="G302">
        <v>111288961081</v>
      </c>
      <c r="H302">
        <v>78426662908</v>
      </c>
      <c r="I302">
        <v>37648727958</v>
      </c>
      <c r="J302">
        <v>13756337626</v>
      </c>
      <c r="K302">
        <v>12299570532</v>
      </c>
      <c r="L302">
        <v>608007640</v>
      </c>
      <c r="M302">
        <v>746027676</v>
      </c>
      <c r="N302">
        <v>762486287</v>
      </c>
      <c r="O302">
        <v>745405318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29071177939</v>
      </c>
      <c r="G303">
        <v>25783648408</v>
      </c>
      <c r="H303">
        <v>27385162843</v>
      </c>
      <c r="I303">
        <v>28717522858</v>
      </c>
      <c r="J303">
        <v>28495781335</v>
      </c>
      <c r="K303">
        <v>14634213390</v>
      </c>
      <c r="L303">
        <v>16010603174</v>
      </c>
      <c r="M303">
        <v>18780675131</v>
      </c>
      <c r="N303">
        <v>72252714188</v>
      </c>
      <c r="O303">
        <v>56960246205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9424748983</v>
      </c>
      <c r="G304">
        <v>7841942552</v>
      </c>
      <c r="H304">
        <v>6138630630</v>
      </c>
      <c r="I304">
        <v>3794926208</v>
      </c>
      <c r="J304">
        <v>5558755767</v>
      </c>
      <c r="K304">
        <v>4841348703</v>
      </c>
      <c r="L304">
        <v>4184874714</v>
      </c>
      <c r="M304">
        <v>5363990619</v>
      </c>
      <c r="N304">
        <v>4791515054</v>
      </c>
      <c r="O304">
        <v>3874571480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1960478956</v>
      </c>
      <c r="G305">
        <v>1847229440</v>
      </c>
      <c r="H305">
        <v>2134142012</v>
      </c>
      <c r="I305">
        <v>2193623011</v>
      </c>
      <c r="J305">
        <v>1456764721</v>
      </c>
      <c r="K305">
        <v>1312460175</v>
      </c>
      <c r="L305">
        <v>1318765734</v>
      </c>
      <c r="M305">
        <v>1057846704</v>
      </c>
      <c r="N305">
        <v>886493785</v>
      </c>
      <c r="O305">
        <v>602316044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14297973092</v>
      </c>
      <c r="G306">
        <v>10841705637</v>
      </c>
      <c r="H306">
        <v>11996100792</v>
      </c>
      <c r="I306">
        <v>10825182204</v>
      </c>
      <c r="J306">
        <v>8489159913</v>
      </c>
      <c r="K306">
        <v>11474778922</v>
      </c>
      <c r="L306">
        <v>13537934293</v>
      </c>
      <c r="M306">
        <v>13581380156</v>
      </c>
      <c r="N306">
        <v>11040342702</v>
      </c>
      <c r="O306">
        <v>6252004696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312748172</v>
      </c>
      <c r="G307">
        <v>328913361</v>
      </c>
      <c r="H307">
        <v>545194676</v>
      </c>
      <c r="I307">
        <v>643637894</v>
      </c>
      <c r="J307">
        <v>727209939</v>
      </c>
      <c r="K307">
        <v>639847677</v>
      </c>
      <c r="L307">
        <v>570369420</v>
      </c>
      <c r="M307">
        <v>413575123</v>
      </c>
      <c r="N307">
        <v>342053872</v>
      </c>
      <c r="O307">
        <v>328753769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481913106</v>
      </c>
      <c r="G308">
        <v>763553310</v>
      </c>
      <c r="H308">
        <v>798660167</v>
      </c>
      <c r="I308">
        <v>420375497</v>
      </c>
      <c r="J308">
        <v>235488662</v>
      </c>
      <c r="K308">
        <v>353059484</v>
      </c>
      <c r="L308">
        <v>660072714</v>
      </c>
      <c r="M308">
        <v>833090950</v>
      </c>
      <c r="N308">
        <v>970672169</v>
      </c>
      <c r="O308">
        <v>1223418456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238109067</v>
      </c>
      <c r="G309">
        <v>175025886</v>
      </c>
      <c r="H309">
        <v>251086024</v>
      </c>
      <c r="I309">
        <v>344587568</v>
      </c>
      <c r="J309">
        <v>260038204</v>
      </c>
      <c r="K309">
        <v>250399630</v>
      </c>
      <c r="L309">
        <v>374502499</v>
      </c>
      <c r="M309">
        <v>298658564</v>
      </c>
      <c r="N309">
        <v>274446427</v>
      </c>
      <c r="O309">
        <v>182050235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1464644973</v>
      </c>
      <c r="G310">
        <v>1279175354</v>
      </c>
      <c r="H310">
        <v>1278132204</v>
      </c>
      <c r="I310">
        <v>1214863698</v>
      </c>
      <c r="J310">
        <v>1128435534</v>
      </c>
      <c r="K310">
        <v>992693765</v>
      </c>
      <c r="L310">
        <v>1093881349</v>
      </c>
      <c r="M310">
        <v>1147095473</v>
      </c>
      <c r="N310">
        <v>1070222926</v>
      </c>
      <c r="O310">
        <v>929688831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606319355</v>
      </c>
      <c r="G311">
        <v>378787053</v>
      </c>
      <c r="H311">
        <v>204879768</v>
      </c>
      <c r="I311">
        <v>237747504</v>
      </c>
      <c r="J311">
        <v>195204392</v>
      </c>
      <c r="K311">
        <v>54247769</v>
      </c>
      <c r="L311">
        <v>52188468</v>
      </c>
      <c r="M311">
        <v>61420804</v>
      </c>
      <c r="N311">
        <v>71209093</v>
      </c>
      <c r="O311">
        <v>72333154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311830476</v>
      </c>
      <c r="G312">
        <v>300487471</v>
      </c>
      <c r="H312">
        <v>228514360</v>
      </c>
      <c r="I312">
        <v>399760877</v>
      </c>
      <c r="J312">
        <v>535916083</v>
      </c>
      <c r="K312">
        <v>601473179</v>
      </c>
      <c r="L312">
        <v>212330698</v>
      </c>
      <c r="M312">
        <v>364813260</v>
      </c>
      <c r="N312">
        <v>361606015</v>
      </c>
      <c r="O312">
        <v>586468021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1211542685</v>
      </c>
      <c r="G313">
        <v>1050741875</v>
      </c>
      <c r="H313">
        <v>1013516686</v>
      </c>
      <c r="I313">
        <v>1063931479</v>
      </c>
      <c r="J313">
        <v>926261593</v>
      </c>
      <c r="K313">
        <v>1044428400</v>
      </c>
      <c r="L313">
        <v>1050402348</v>
      </c>
      <c r="M313">
        <v>1057924020</v>
      </c>
      <c r="N313">
        <v>895573805</v>
      </c>
      <c r="O313">
        <v>906234976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9946111868</v>
      </c>
      <c r="G314">
        <v>9928902136</v>
      </c>
      <c r="H314">
        <v>9759967933</v>
      </c>
      <c r="I314">
        <v>9711672150</v>
      </c>
      <c r="J314">
        <v>9643345463</v>
      </c>
      <c r="K314">
        <v>10059047540</v>
      </c>
      <c r="L314">
        <v>10492673111</v>
      </c>
      <c r="M314">
        <v>10359626889</v>
      </c>
      <c r="N314">
        <v>10626252899</v>
      </c>
      <c r="O314">
        <v>10419513925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387528560841</v>
      </c>
      <c r="G315">
        <v>262647177910</v>
      </c>
      <c r="H315">
        <v>194418986181</v>
      </c>
      <c r="I315">
        <v>185651838963</v>
      </c>
      <c r="J315">
        <v>179703469002</v>
      </c>
      <c r="K315">
        <v>162663024039</v>
      </c>
      <c r="L315">
        <v>151062155157</v>
      </c>
      <c r="M315">
        <v>171241590874</v>
      </c>
      <c r="N315">
        <v>153708332093</v>
      </c>
      <c r="O315">
        <v>115549818939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3129047195</v>
      </c>
      <c r="G316">
        <v>2450673368</v>
      </c>
      <c r="H316">
        <v>2595346469</v>
      </c>
      <c r="I316">
        <v>2068845749</v>
      </c>
      <c r="J316">
        <v>1579550570</v>
      </c>
      <c r="K316">
        <v>1579422103</v>
      </c>
      <c r="L316">
        <v>1545400351</v>
      </c>
      <c r="M316">
        <v>1140250856</v>
      </c>
      <c r="N316">
        <v>937525354</v>
      </c>
      <c r="O316">
        <v>802765832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287684655</v>
      </c>
      <c r="G317">
        <v>309217433</v>
      </c>
      <c r="H317">
        <v>317353970</v>
      </c>
      <c r="I317">
        <v>428056295</v>
      </c>
      <c r="J317">
        <v>694327583</v>
      </c>
      <c r="K317">
        <v>444085033</v>
      </c>
      <c r="L317">
        <v>323561046</v>
      </c>
      <c r="M317">
        <v>64209221</v>
      </c>
      <c r="N317">
        <v>50921360</v>
      </c>
      <c r="O317">
        <v>35222590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1965009419</v>
      </c>
      <c r="G318">
        <v>1548907880</v>
      </c>
      <c r="H318">
        <v>1266551272</v>
      </c>
      <c r="I318">
        <v>1657030815</v>
      </c>
      <c r="J318">
        <v>1123525444</v>
      </c>
      <c r="K318">
        <v>1460006006</v>
      </c>
      <c r="L318">
        <v>1381838666</v>
      </c>
      <c r="M318">
        <v>1448942813</v>
      </c>
      <c r="N318">
        <v>1987217206</v>
      </c>
      <c r="O318">
        <v>2816200931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970771189</v>
      </c>
      <c r="G319">
        <v>525033326</v>
      </c>
      <c r="H319">
        <v>753470929</v>
      </c>
      <c r="I319">
        <v>785711837</v>
      </c>
      <c r="J319">
        <v>697760590</v>
      </c>
      <c r="K319">
        <v>680198049</v>
      </c>
      <c r="L319">
        <v>637481551</v>
      </c>
      <c r="M319">
        <v>630107295</v>
      </c>
      <c r="N319">
        <v>591808706</v>
      </c>
      <c r="O319">
        <v>703813275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1561101936</v>
      </c>
      <c r="G320">
        <v>1384950518</v>
      </c>
      <c r="H320">
        <v>1795863908</v>
      </c>
      <c r="I320">
        <v>1578952257</v>
      </c>
      <c r="J320">
        <v>1420389197</v>
      </c>
      <c r="K320">
        <v>965919002</v>
      </c>
      <c r="L320">
        <v>1694406922</v>
      </c>
      <c r="M320">
        <v>2171130805</v>
      </c>
      <c r="N320">
        <v>5433335099</v>
      </c>
      <c r="O320">
        <v>2855471318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13854712444</v>
      </c>
      <c r="G322">
        <v>13083058740</v>
      </c>
      <c r="H322">
        <v>616132164</v>
      </c>
      <c r="I322">
        <v>645645804</v>
      </c>
      <c r="J322">
        <v>555634919</v>
      </c>
      <c r="K322">
        <v>551339066</v>
      </c>
      <c r="L322">
        <v>597892804</v>
      </c>
      <c r="M322">
        <v>704971229</v>
      </c>
      <c r="N322">
        <v>802362992</v>
      </c>
      <c r="O322">
        <v>808170235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179643379</v>
      </c>
      <c r="G323">
        <v>131415605</v>
      </c>
      <c r="H323">
        <v>209249941</v>
      </c>
      <c r="I323">
        <v>223993994</v>
      </c>
      <c r="J323">
        <v>167515557</v>
      </c>
      <c r="K323">
        <v>306678019</v>
      </c>
      <c r="L323">
        <v>206868086</v>
      </c>
      <c r="M323">
        <v>193158377</v>
      </c>
      <c r="N323">
        <v>271659863</v>
      </c>
      <c r="O323">
        <v>403300500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6692681772</v>
      </c>
      <c r="G324">
        <v>3991436438</v>
      </c>
      <c r="H324">
        <v>3393090187</v>
      </c>
      <c r="I324">
        <v>2861495570</v>
      </c>
      <c r="J324">
        <v>3058981753</v>
      </c>
      <c r="K324">
        <v>2530021346</v>
      </c>
      <c r="L324">
        <v>2632951413</v>
      </c>
      <c r="M324">
        <v>2590126738</v>
      </c>
      <c r="N324">
        <v>2679137989</v>
      </c>
      <c r="O324">
        <v>1479311240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6891408635</v>
      </c>
      <c r="G325">
        <v>7036609632</v>
      </c>
      <c r="H325">
        <v>8501495333</v>
      </c>
      <c r="I325">
        <v>9098699959</v>
      </c>
      <c r="J325">
        <v>7973878101</v>
      </c>
      <c r="K325">
        <v>8598374585</v>
      </c>
      <c r="L325">
        <v>7781148950</v>
      </c>
      <c r="M325">
        <v>7494637025</v>
      </c>
      <c r="N325">
        <v>7139701455</v>
      </c>
      <c r="O325">
        <v>9453564047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3312064421</v>
      </c>
      <c r="G326">
        <v>3063125258</v>
      </c>
      <c r="H326">
        <v>3956903994</v>
      </c>
      <c r="I326">
        <v>3254460700</v>
      </c>
      <c r="J326">
        <v>2449356268</v>
      </c>
      <c r="K326">
        <v>1579169954</v>
      </c>
      <c r="L326">
        <v>1530391640</v>
      </c>
      <c r="M326">
        <v>3318546932</v>
      </c>
      <c r="N326">
        <v>5528397366</v>
      </c>
      <c r="O326">
        <v>1686433677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47752966661</v>
      </c>
      <c r="G327">
        <v>37044928639</v>
      </c>
      <c r="H327">
        <v>37618930060</v>
      </c>
      <c r="I327">
        <v>32523762135</v>
      </c>
      <c r="J327">
        <v>36420634414</v>
      </c>
      <c r="K327">
        <v>33282172554</v>
      </c>
      <c r="L327">
        <v>16138878575</v>
      </c>
      <c r="M327">
        <v>13082740177</v>
      </c>
      <c r="N327">
        <v>16639425363</v>
      </c>
      <c r="O327">
        <v>10949191040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8053561397</v>
      </c>
      <c r="G328">
        <v>5414594946</v>
      </c>
      <c r="H328">
        <v>7936752149</v>
      </c>
      <c r="I328">
        <v>7572180183</v>
      </c>
      <c r="J328">
        <v>7211258174</v>
      </c>
      <c r="K328">
        <v>8124670014</v>
      </c>
      <c r="L328">
        <v>7376669076</v>
      </c>
      <c r="M328">
        <v>6221471522</v>
      </c>
      <c r="N328">
        <v>6254103270</v>
      </c>
      <c r="O328">
        <v>5930876533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4396590084</v>
      </c>
      <c r="G329">
        <v>2722856811</v>
      </c>
      <c r="H329">
        <v>2611672633</v>
      </c>
      <c r="I329">
        <v>454924172</v>
      </c>
      <c r="J329">
        <v>311418277</v>
      </c>
      <c r="K329">
        <v>250386355</v>
      </c>
      <c r="L329">
        <v>408725316</v>
      </c>
      <c r="M329">
        <v>504465828</v>
      </c>
      <c r="N329">
        <v>531046141</v>
      </c>
      <c r="O329">
        <v>531054033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427750037</v>
      </c>
      <c r="G330">
        <v>266367808</v>
      </c>
      <c r="H330">
        <v>321847040</v>
      </c>
      <c r="I330">
        <v>350141724</v>
      </c>
      <c r="J330">
        <v>290374938</v>
      </c>
      <c r="K330">
        <v>304812803</v>
      </c>
      <c r="L330">
        <v>237141102</v>
      </c>
      <c r="M330">
        <v>323808769</v>
      </c>
      <c r="N330">
        <v>268229348</v>
      </c>
      <c r="O330">
        <v>246737894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11899181183</v>
      </c>
      <c r="G331">
        <v>9671345406</v>
      </c>
      <c r="H331">
        <v>9330016648</v>
      </c>
      <c r="I331">
        <v>9103589724</v>
      </c>
      <c r="J331">
        <v>8252400405</v>
      </c>
      <c r="K331">
        <v>7272527855</v>
      </c>
      <c r="L331">
        <v>6199907527</v>
      </c>
      <c r="M331">
        <v>5471631137</v>
      </c>
      <c r="N331">
        <v>4260561384</v>
      </c>
      <c r="O331">
        <v>4333983560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74000783</v>
      </c>
      <c r="G332">
        <v>49234690</v>
      </c>
      <c r="H332">
        <v>84106968</v>
      </c>
      <c r="I332">
        <v>209636568</v>
      </c>
      <c r="J332">
        <v>348365708</v>
      </c>
      <c r="K332">
        <v>355973173</v>
      </c>
      <c r="L332">
        <v>1061769019</v>
      </c>
      <c r="M332">
        <v>7458183</v>
      </c>
      <c r="N332">
        <v>16073914</v>
      </c>
      <c r="O332">
        <v>372685750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188694293</v>
      </c>
      <c r="G333">
        <v>572972038</v>
      </c>
      <c r="H333">
        <v>1080005402</v>
      </c>
      <c r="I333">
        <v>541500893</v>
      </c>
      <c r="J333">
        <v>227016630</v>
      </c>
      <c r="K333">
        <v>207223006</v>
      </c>
      <c r="L333">
        <v>41840789</v>
      </c>
      <c r="M333">
        <v>1421782</v>
      </c>
      <c r="N333">
        <v>36500031</v>
      </c>
      <c r="O333">
        <v>219774920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74166204731</v>
      </c>
      <c r="G334">
        <v>50642053426</v>
      </c>
      <c r="H334">
        <v>53722549494</v>
      </c>
      <c r="I334">
        <v>46630614776</v>
      </c>
      <c r="J334">
        <v>50860453377</v>
      </c>
      <c r="K334">
        <v>36420156284</v>
      </c>
      <c r="L334">
        <v>26481466742</v>
      </c>
      <c r="M334">
        <v>22390266188</v>
      </c>
      <c r="N334">
        <v>30081331311</v>
      </c>
      <c r="O334">
        <v>22417961333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48281698</v>
      </c>
      <c r="G335">
        <v>36171570</v>
      </c>
      <c r="H335">
        <v>1651846</v>
      </c>
      <c r="I335">
        <v>2246825</v>
      </c>
      <c r="J335">
        <v>6092184</v>
      </c>
      <c r="K335">
        <v>324409160</v>
      </c>
      <c r="L335">
        <v>162752872</v>
      </c>
      <c r="M335">
        <v>1162291512</v>
      </c>
      <c r="N335">
        <v>3383750</v>
      </c>
      <c r="O335">
        <v>3003660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3403305832</v>
      </c>
      <c r="G336">
        <v>3365709217</v>
      </c>
      <c r="H336">
        <v>4246938906</v>
      </c>
      <c r="I336">
        <v>3854323133</v>
      </c>
      <c r="J336">
        <v>3242155688</v>
      </c>
      <c r="K336">
        <v>2736291874</v>
      </c>
      <c r="L336">
        <v>2332208024</v>
      </c>
      <c r="M336">
        <v>2496556752</v>
      </c>
      <c r="N336">
        <v>2460585491</v>
      </c>
      <c r="O336">
        <v>2429750637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6484545365</v>
      </c>
      <c r="G337">
        <v>4759087451</v>
      </c>
      <c r="H337">
        <v>11040896737</v>
      </c>
      <c r="I337">
        <v>19619120329</v>
      </c>
      <c r="J337">
        <v>8818956678</v>
      </c>
      <c r="K337">
        <v>8027170278</v>
      </c>
      <c r="L337">
        <v>5724383006</v>
      </c>
      <c r="M337">
        <v>2920078560</v>
      </c>
      <c r="N337">
        <v>3383762154</v>
      </c>
      <c r="O337">
        <v>1325390253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5448094049</v>
      </c>
      <c r="G338">
        <v>5922348218</v>
      </c>
      <c r="H338">
        <v>5329693554</v>
      </c>
      <c r="I338">
        <v>4588329469</v>
      </c>
      <c r="J338">
        <v>4391950090</v>
      </c>
      <c r="K338">
        <v>4161792316</v>
      </c>
      <c r="L338">
        <v>4183923492</v>
      </c>
      <c r="M338">
        <v>3806274215</v>
      </c>
      <c r="N338">
        <v>2954469772</v>
      </c>
      <c r="O338">
        <v>2668189310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3893577175</v>
      </c>
      <c r="G339">
        <v>3113189975</v>
      </c>
      <c r="H339">
        <v>2893053599</v>
      </c>
      <c r="I339">
        <v>2100102812</v>
      </c>
      <c r="J339">
        <v>1790748926</v>
      </c>
      <c r="K339">
        <v>3045432773</v>
      </c>
      <c r="L339">
        <v>1575313278</v>
      </c>
      <c r="M339">
        <v>2025829381</v>
      </c>
      <c r="N339">
        <v>2165837079</v>
      </c>
      <c r="O339">
        <v>1941138377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2105261260</v>
      </c>
      <c r="G340">
        <v>4524732878</v>
      </c>
      <c r="H340">
        <v>5980343008</v>
      </c>
      <c r="I340">
        <v>4293657180</v>
      </c>
      <c r="J340">
        <v>10654210322</v>
      </c>
      <c r="K340">
        <v>545707326</v>
      </c>
      <c r="L340">
        <v>489043728</v>
      </c>
      <c r="M340">
        <v>509080040</v>
      </c>
      <c r="N340">
        <v>426302312</v>
      </c>
      <c r="O340">
        <v>585732259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1977637562</v>
      </c>
      <c r="G341">
        <v>2179969002</v>
      </c>
      <c r="H341">
        <v>1693421913</v>
      </c>
      <c r="I341">
        <v>1421892320</v>
      </c>
      <c r="J341">
        <v>1695591030</v>
      </c>
      <c r="K341">
        <v>1416212051</v>
      </c>
      <c r="L341">
        <v>1534109880</v>
      </c>
      <c r="M341">
        <v>1230743142</v>
      </c>
      <c r="N341">
        <v>1143598635</v>
      </c>
      <c r="O341">
        <v>1086473048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7671415951</v>
      </c>
      <c r="G342">
        <v>5369071760</v>
      </c>
      <c r="H342">
        <v>5412994642</v>
      </c>
      <c r="I342">
        <v>4801512512</v>
      </c>
      <c r="J342">
        <v>4570636532</v>
      </c>
      <c r="K342">
        <v>629206073</v>
      </c>
      <c r="L342">
        <v>814303649</v>
      </c>
      <c r="M342">
        <v>684699269</v>
      </c>
      <c r="N342">
        <v>965645017</v>
      </c>
      <c r="O342">
        <v>292645855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1078840711</v>
      </c>
      <c r="G343">
        <v>1141675739</v>
      </c>
      <c r="H343">
        <v>4899541355</v>
      </c>
      <c r="I343">
        <v>2673403531</v>
      </c>
      <c r="J343">
        <v>2602114644</v>
      </c>
      <c r="K343">
        <v>440642925</v>
      </c>
      <c r="L343">
        <v>407065920</v>
      </c>
      <c r="M343">
        <v>416982743</v>
      </c>
      <c r="N343">
        <v>642584370</v>
      </c>
      <c r="O343">
        <v>319876910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5087988926</v>
      </c>
      <c r="G344">
        <v>4212578070</v>
      </c>
      <c r="H344">
        <v>4545960877</v>
      </c>
      <c r="I344">
        <v>4480711800</v>
      </c>
      <c r="J344">
        <v>4285527200</v>
      </c>
      <c r="K344">
        <v>2049522500</v>
      </c>
      <c r="L344">
        <v>3291949420</v>
      </c>
      <c r="M344">
        <v>4508267319</v>
      </c>
      <c r="N344">
        <v>4716445966</v>
      </c>
      <c r="O344">
        <v>5998641872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4714768115</v>
      </c>
      <c r="G345">
        <v>5019920099</v>
      </c>
      <c r="H345">
        <v>5591337532</v>
      </c>
      <c r="I345">
        <v>5857076261</v>
      </c>
      <c r="J345">
        <v>5523992179</v>
      </c>
      <c r="K345">
        <v>5181282474</v>
      </c>
      <c r="L345">
        <v>4025356983</v>
      </c>
      <c r="M345">
        <v>4120411525</v>
      </c>
      <c r="N345">
        <v>3614446724</v>
      </c>
      <c r="O345">
        <v>2838658760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5635926029</v>
      </c>
      <c r="G346">
        <v>3151104344</v>
      </c>
      <c r="H346">
        <v>2798978378</v>
      </c>
      <c r="I346">
        <v>2665584922</v>
      </c>
      <c r="J346">
        <v>2432966553</v>
      </c>
      <c r="K346">
        <v>2180555224</v>
      </c>
      <c r="L346">
        <v>3764173998</v>
      </c>
      <c r="M346">
        <v>6934296120</v>
      </c>
      <c r="N346">
        <v>8987655973</v>
      </c>
      <c r="O346">
        <v>8810276266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15837586873</v>
      </c>
      <c r="G347">
        <v>12870161458</v>
      </c>
      <c r="H347">
        <v>16477404407</v>
      </c>
      <c r="I347">
        <v>14949174147</v>
      </c>
      <c r="J347">
        <v>14318437366</v>
      </c>
      <c r="K347">
        <v>13543141138</v>
      </c>
      <c r="L347">
        <v>12443604305</v>
      </c>
      <c r="M347">
        <v>9362945014</v>
      </c>
      <c r="N347">
        <v>1136961606</v>
      </c>
      <c r="O347">
        <v>1146007339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4257963376</v>
      </c>
      <c r="G348">
        <v>3344808355</v>
      </c>
      <c r="H348">
        <v>5144430441</v>
      </c>
      <c r="I348">
        <v>5159376388</v>
      </c>
      <c r="J348">
        <v>4866583488</v>
      </c>
      <c r="K348">
        <v>3469929310</v>
      </c>
      <c r="L348">
        <v>3719600189</v>
      </c>
      <c r="M348">
        <v>4901898942</v>
      </c>
      <c r="N348">
        <v>4414489707</v>
      </c>
      <c r="O348">
        <v>4102687526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1474577776</v>
      </c>
      <c r="G349">
        <v>1809375376</v>
      </c>
      <c r="H349">
        <v>1880173846</v>
      </c>
      <c r="I349">
        <v>1797123313</v>
      </c>
      <c r="J349">
        <v>1892816032</v>
      </c>
      <c r="K349">
        <v>2225881867</v>
      </c>
      <c r="L349">
        <v>1910365528</v>
      </c>
      <c r="M349">
        <v>1599705297</v>
      </c>
      <c r="N349">
        <v>2074513069</v>
      </c>
      <c r="O349">
        <v>1608305653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415067939</v>
      </c>
      <c r="I350">
        <v>656821528</v>
      </c>
      <c r="J350">
        <v>1906014835</v>
      </c>
      <c r="K350">
        <v>2213367162.5700002</v>
      </c>
      <c r="L350">
        <v>3992220756.29</v>
      </c>
      <c r="M350">
        <v>3683783961.1599998</v>
      </c>
      <c r="N350">
        <v>5778430915.3999996</v>
      </c>
      <c r="O350">
        <v>3872221718.0999999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5481219053</v>
      </c>
      <c r="G351">
        <v>4194652326</v>
      </c>
      <c r="H351">
        <v>4094744408</v>
      </c>
      <c r="I351">
        <v>5711074468</v>
      </c>
      <c r="J351">
        <v>6257614785</v>
      </c>
      <c r="K351">
        <v>3001543028</v>
      </c>
      <c r="L351">
        <v>4782391714</v>
      </c>
      <c r="M351">
        <v>6889412529</v>
      </c>
      <c r="N351">
        <v>9854792709</v>
      </c>
      <c r="O351">
        <v>7843050976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648702385</v>
      </c>
      <c r="G352">
        <v>729076365</v>
      </c>
      <c r="H352">
        <v>625675471</v>
      </c>
      <c r="I352">
        <v>695895896</v>
      </c>
      <c r="J352">
        <v>835361540</v>
      </c>
      <c r="K352">
        <v>711606859</v>
      </c>
      <c r="L352">
        <v>592343903</v>
      </c>
      <c r="M352">
        <v>574722344</v>
      </c>
      <c r="N352">
        <v>492267796</v>
      </c>
      <c r="O352">
        <v>495121586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22341018620</v>
      </c>
      <c r="G353">
        <v>18910540317</v>
      </c>
      <c r="H353">
        <v>17744808800</v>
      </c>
      <c r="I353">
        <v>15091606714</v>
      </c>
      <c r="J353">
        <v>6130238526</v>
      </c>
      <c r="K353">
        <v>5012624099</v>
      </c>
      <c r="L353">
        <v>4624371948</v>
      </c>
      <c r="M353">
        <v>3999460599</v>
      </c>
      <c r="N353">
        <v>2587842813</v>
      </c>
      <c r="O353">
        <v>1856838571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10303293053</v>
      </c>
      <c r="G354">
        <v>6351237279</v>
      </c>
      <c r="H354">
        <v>6176543131</v>
      </c>
      <c r="I354">
        <v>7477977982</v>
      </c>
      <c r="J354">
        <v>5510251983</v>
      </c>
      <c r="K354">
        <v>2284113152</v>
      </c>
      <c r="L354">
        <v>1663349256</v>
      </c>
      <c r="M354">
        <v>2570616750</v>
      </c>
      <c r="N354">
        <v>4096311103</v>
      </c>
      <c r="O354">
        <v>4537181611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11231978484</v>
      </c>
      <c r="G355">
        <v>8666880027</v>
      </c>
      <c r="H355">
        <v>9960472793</v>
      </c>
      <c r="I355">
        <v>9272896764</v>
      </c>
      <c r="J355">
        <v>8075078179</v>
      </c>
      <c r="K355">
        <v>6463324633</v>
      </c>
      <c r="L355">
        <v>5636895496</v>
      </c>
      <c r="M355">
        <v>4440711022</v>
      </c>
      <c r="N355">
        <v>2997691495</v>
      </c>
      <c r="O355">
        <v>2839153896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2590465366</v>
      </c>
      <c r="G356">
        <v>2810783248</v>
      </c>
      <c r="H356">
        <v>3679754670</v>
      </c>
      <c r="I356">
        <v>4539899769</v>
      </c>
      <c r="J356">
        <v>5034582119</v>
      </c>
      <c r="K356">
        <v>4457576674</v>
      </c>
      <c r="L356">
        <v>3762272940</v>
      </c>
      <c r="M356">
        <v>3724485171</v>
      </c>
      <c r="N356">
        <v>3916647387</v>
      </c>
      <c r="O356">
        <v>3641639601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5013554787</v>
      </c>
      <c r="G357">
        <v>2459480708</v>
      </c>
      <c r="H357">
        <v>2406462302</v>
      </c>
      <c r="I357">
        <v>2486104973</v>
      </c>
      <c r="J357">
        <v>3304691455</v>
      </c>
      <c r="K357">
        <v>2919393316</v>
      </c>
      <c r="L357">
        <v>6313347436</v>
      </c>
      <c r="M357">
        <v>2219765220</v>
      </c>
      <c r="N357">
        <v>3365538086</v>
      </c>
      <c r="O357">
        <v>1643138744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1806516011</v>
      </c>
      <c r="G358">
        <v>3681111088</v>
      </c>
      <c r="H358">
        <v>5118436433</v>
      </c>
      <c r="I358">
        <v>5741395547</v>
      </c>
      <c r="J358">
        <v>5531002790</v>
      </c>
      <c r="K358">
        <v>7891008318</v>
      </c>
      <c r="L358">
        <v>6605295315</v>
      </c>
      <c r="M358">
        <v>4274635210</v>
      </c>
      <c r="N358">
        <v>2542980266</v>
      </c>
      <c r="O358">
        <v>3665113771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37058425888</v>
      </c>
      <c r="G359">
        <v>22429410260</v>
      </c>
      <c r="H359">
        <v>23121964822</v>
      </c>
      <c r="I359">
        <v>15798050794</v>
      </c>
      <c r="J359">
        <v>20492138240</v>
      </c>
      <c r="K359">
        <v>28806751166</v>
      </c>
      <c r="L359">
        <v>26683279678</v>
      </c>
      <c r="M359">
        <v>17081637561</v>
      </c>
      <c r="N359">
        <v>15892929239</v>
      </c>
      <c r="O359">
        <v>11723336960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1706746601</v>
      </c>
      <c r="G360">
        <v>1419575914</v>
      </c>
      <c r="H360">
        <v>1342167427</v>
      </c>
      <c r="I360">
        <v>1224871433</v>
      </c>
      <c r="J360">
        <v>1014174292</v>
      </c>
      <c r="K360">
        <v>723335557</v>
      </c>
      <c r="L360">
        <v>497752309</v>
      </c>
      <c r="M360">
        <v>296867292</v>
      </c>
      <c r="N360">
        <v>17928082</v>
      </c>
      <c r="O360">
        <v>165547138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9885981373</v>
      </c>
      <c r="G361">
        <v>8009851969</v>
      </c>
      <c r="H361">
        <v>8567375799</v>
      </c>
      <c r="I361">
        <v>6767931629</v>
      </c>
      <c r="J361">
        <v>5076275794</v>
      </c>
      <c r="K361">
        <v>1841071378</v>
      </c>
      <c r="L361">
        <v>1970118418</v>
      </c>
      <c r="M361">
        <v>2029928546</v>
      </c>
      <c r="N361">
        <v>1827637799</v>
      </c>
      <c r="O361">
        <v>1443442845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80256516</v>
      </c>
      <c r="G362">
        <v>77660338</v>
      </c>
      <c r="H362">
        <v>8545155</v>
      </c>
      <c r="I362">
        <v>4342329</v>
      </c>
      <c r="J362">
        <v>28517407</v>
      </c>
      <c r="K362">
        <v>19573827</v>
      </c>
      <c r="L362">
        <v>29945757</v>
      </c>
      <c r="M362">
        <v>30011245</v>
      </c>
      <c r="N362">
        <v>107324409</v>
      </c>
      <c r="O362">
        <v>26451999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6027235365</v>
      </c>
      <c r="G363">
        <v>5993797672</v>
      </c>
      <c r="H363">
        <v>6167810850</v>
      </c>
      <c r="I363">
        <v>5515471919</v>
      </c>
      <c r="J363">
        <v>4177018413</v>
      </c>
      <c r="K363">
        <v>3594637877</v>
      </c>
      <c r="L363">
        <v>3157262647</v>
      </c>
      <c r="M363">
        <v>2702605402</v>
      </c>
      <c r="N363">
        <v>2245824486</v>
      </c>
      <c r="O363">
        <v>1980189284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95268275</v>
      </c>
      <c r="G364">
        <v>40937336</v>
      </c>
      <c r="H364">
        <v>225509381</v>
      </c>
      <c r="I364">
        <v>1028380434</v>
      </c>
      <c r="J364">
        <v>1003504316</v>
      </c>
      <c r="K364">
        <v>1242390110</v>
      </c>
      <c r="L364">
        <v>1464948522</v>
      </c>
      <c r="M364">
        <v>1989063767</v>
      </c>
      <c r="N364">
        <v>1614082915</v>
      </c>
      <c r="O364">
        <v>1942516703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2383550538</v>
      </c>
      <c r="G365">
        <v>2203476646</v>
      </c>
      <c r="H365">
        <v>2225734764</v>
      </c>
      <c r="I365">
        <v>1149959196</v>
      </c>
      <c r="J365">
        <v>1423745415</v>
      </c>
      <c r="K365">
        <v>1316677625</v>
      </c>
      <c r="L365">
        <v>1215219824</v>
      </c>
      <c r="M365">
        <v>2115588239</v>
      </c>
      <c r="N365">
        <v>1927537673</v>
      </c>
      <c r="O365">
        <v>1957206622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14184012546</v>
      </c>
      <c r="G366">
        <v>8691080312</v>
      </c>
      <c r="H366">
        <v>10045441664</v>
      </c>
      <c r="I366">
        <v>9053095843</v>
      </c>
      <c r="J366">
        <v>5776834142</v>
      </c>
      <c r="K366">
        <v>4760197119</v>
      </c>
      <c r="L366">
        <v>6449561472</v>
      </c>
      <c r="M366">
        <v>6240984535</v>
      </c>
      <c r="N366">
        <v>4788632725</v>
      </c>
      <c r="O366">
        <v>3481682795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5656324989</v>
      </c>
      <c r="G367">
        <v>5734704859</v>
      </c>
      <c r="H367">
        <v>5798672744</v>
      </c>
      <c r="I367">
        <v>4601916807</v>
      </c>
      <c r="J367">
        <v>4909082309</v>
      </c>
      <c r="K367">
        <v>4276676045</v>
      </c>
      <c r="L367">
        <v>5241011760</v>
      </c>
      <c r="M367">
        <v>5425904587</v>
      </c>
      <c r="N367">
        <v>4982592946</v>
      </c>
      <c r="O367">
        <v>4385806745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6171071483</v>
      </c>
      <c r="G368">
        <v>5609136075</v>
      </c>
      <c r="H368">
        <v>6022362823</v>
      </c>
      <c r="I368">
        <v>5592984429</v>
      </c>
      <c r="J368">
        <v>4681149974</v>
      </c>
      <c r="K368">
        <v>3547667605</v>
      </c>
      <c r="L368">
        <v>3549524619</v>
      </c>
      <c r="M368">
        <v>3615727399</v>
      </c>
      <c r="N368">
        <v>2997179162</v>
      </c>
      <c r="O368">
        <v>2926668806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2015305776</v>
      </c>
      <c r="K369">
        <v>1978434878.55</v>
      </c>
      <c r="L369">
        <v>2444388763.3699999</v>
      </c>
      <c r="M369">
        <v>2158032205.6100001</v>
      </c>
      <c r="N369">
        <v>1052488441.54</v>
      </c>
      <c r="O369">
        <v>1277811098.25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4970203166</v>
      </c>
      <c r="G370">
        <v>1137374414</v>
      </c>
      <c r="H370">
        <v>1365432755</v>
      </c>
      <c r="I370">
        <v>1058724340</v>
      </c>
      <c r="J370">
        <v>1036432127</v>
      </c>
      <c r="K370">
        <v>1014648294</v>
      </c>
      <c r="L370">
        <v>876038801</v>
      </c>
      <c r="M370">
        <v>600555032</v>
      </c>
      <c r="N370">
        <v>522344094</v>
      </c>
      <c r="O370">
        <v>640941773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2064512536</v>
      </c>
      <c r="G371">
        <v>1046254780</v>
      </c>
      <c r="H371">
        <v>1167016465</v>
      </c>
      <c r="I371">
        <v>1178237666</v>
      </c>
      <c r="J371">
        <v>1023665557</v>
      </c>
      <c r="K371">
        <v>652445044</v>
      </c>
      <c r="L371">
        <v>722097289</v>
      </c>
      <c r="M371">
        <v>510232273</v>
      </c>
      <c r="N371">
        <v>541725223</v>
      </c>
      <c r="O371">
        <v>575756146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6353417031</v>
      </c>
      <c r="G372">
        <v>5345191616</v>
      </c>
      <c r="H372">
        <v>4858942687</v>
      </c>
      <c r="I372">
        <v>3643571601</v>
      </c>
      <c r="J372">
        <v>2822100868</v>
      </c>
      <c r="K372">
        <v>1688467508</v>
      </c>
      <c r="L372">
        <v>1379472989</v>
      </c>
      <c r="M372">
        <v>1211443958</v>
      </c>
      <c r="N372">
        <v>1096021176</v>
      </c>
      <c r="O372">
        <v>925205936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39876363142</v>
      </c>
      <c r="G373">
        <v>28204856751</v>
      </c>
      <c r="H373">
        <v>20654797796</v>
      </c>
      <c r="I373">
        <v>16493585837</v>
      </c>
      <c r="J373">
        <v>15979474148</v>
      </c>
      <c r="K373">
        <v>12519268834</v>
      </c>
      <c r="L373">
        <v>10911861627</v>
      </c>
      <c r="M373">
        <v>11779964267</v>
      </c>
      <c r="N373">
        <v>11703705309</v>
      </c>
      <c r="O373">
        <v>10574993437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1041602600</v>
      </c>
      <c r="G374">
        <v>883399140</v>
      </c>
      <c r="H374">
        <v>1363594758</v>
      </c>
      <c r="I374">
        <v>1400424174</v>
      </c>
      <c r="J374">
        <v>1426989076</v>
      </c>
      <c r="K374">
        <v>1344534211</v>
      </c>
      <c r="L374">
        <v>1419431217</v>
      </c>
      <c r="M374">
        <v>1332442218</v>
      </c>
      <c r="N374">
        <v>1482768281</v>
      </c>
      <c r="O374">
        <v>1665778649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470197413</v>
      </c>
      <c r="G375">
        <v>510168581</v>
      </c>
      <c r="H375">
        <v>480340539</v>
      </c>
      <c r="I375">
        <v>396369036</v>
      </c>
      <c r="J375">
        <v>447150722</v>
      </c>
      <c r="K375">
        <v>475399528</v>
      </c>
      <c r="L375">
        <v>529110562</v>
      </c>
      <c r="M375">
        <v>300098195</v>
      </c>
      <c r="N375">
        <v>236345060</v>
      </c>
      <c r="O375">
        <v>211722916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4437090078</v>
      </c>
      <c r="G376">
        <v>3703400351</v>
      </c>
      <c r="H376">
        <v>3407372232</v>
      </c>
      <c r="I376">
        <v>3688919267</v>
      </c>
      <c r="J376">
        <v>2534005799</v>
      </c>
      <c r="K376">
        <v>2378566508</v>
      </c>
      <c r="L376">
        <v>1927364134</v>
      </c>
      <c r="M376">
        <v>1678873317</v>
      </c>
      <c r="N376">
        <v>1467072477</v>
      </c>
      <c r="O376">
        <v>1207441819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2740703154</v>
      </c>
      <c r="G377">
        <v>2319013529</v>
      </c>
      <c r="H377">
        <v>2569952787</v>
      </c>
      <c r="I377">
        <v>2359098938</v>
      </c>
      <c r="J377">
        <v>2009048604</v>
      </c>
      <c r="K377">
        <v>1878412096</v>
      </c>
      <c r="L377">
        <v>1672795558</v>
      </c>
      <c r="M377">
        <v>1593071973</v>
      </c>
      <c r="N377">
        <v>1508352457</v>
      </c>
      <c r="O377">
        <v>1463879701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2823303701</v>
      </c>
      <c r="G378">
        <v>2443419189</v>
      </c>
      <c r="H378">
        <v>2008406911</v>
      </c>
      <c r="I378">
        <v>1351774459</v>
      </c>
      <c r="J378">
        <v>1902652472</v>
      </c>
      <c r="K378">
        <v>1434513816</v>
      </c>
      <c r="L378">
        <v>1445098732</v>
      </c>
      <c r="M378">
        <v>1998083016</v>
      </c>
      <c r="N378">
        <v>1997420313</v>
      </c>
      <c r="O378">
        <v>1621193746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1582494601</v>
      </c>
      <c r="G379">
        <v>1374511842</v>
      </c>
      <c r="H379">
        <v>1676657743</v>
      </c>
      <c r="I379">
        <v>1479307563</v>
      </c>
      <c r="J379">
        <v>1386475504</v>
      </c>
      <c r="K379">
        <v>1262168157</v>
      </c>
      <c r="L379">
        <v>1173123016</v>
      </c>
      <c r="M379">
        <v>940193227</v>
      </c>
      <c r="N379">
        <v>1087341767</v>
      </c>
      <c r="O379">
        <v>898271994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217932707</v>
      </c>
      <c r="G380">
        <v>155309935</v>
      </c>
      <c r="H380">
        <v>185207896</v>
      </c>
      <c r="I380">
        <v>165068537</v>
      </c>
      <c r="J380">
        <v>149728692</v>
      </c>
      <c r="K380">
        <v>136963675</v>
      </c>
      <c r="L380">
        <v>136999177</v>
      </c>
      <c r="M380">
        <v>170955089</v>
      </c>
      <c r="N380">
        <v>216952001</v>
      </c>
      <c r="O380">
        <v>246837459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3025281281</v>
      </c>
      <c r="G381">
        <v>2022067422</v>
      </c>
      <c r="H381">
        <v>1571756423</v>
      </c>
      <c r="I381">
        <v>1687513883</v>
      </c>
      <c r="J381">
        <v>1320305506</v>
      </c>
      <c r="K381">
        <v>1002389225</v>
      </c>
      <c r="L381">
        <v>865273830</v>
      </c>
      <c r="M381">
        <v>1184755081</v>
      </c>
      <c r="N381">
        <v>1026241668</v>
      </c>
      <c r="O381">
        <v>1006685820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9311691333</v>
      </c>
      <c r="G382">
        <v>10321636828</v>
      </c>
      <c r="H382">
        <v>9339235025</v>
      </c>
      <c r="I382">
        <v>9519298250</v>
      </c>
      <c r="J382">
        <v>8750239652</v>
      </c>
      <c r="K382">
        <v>7513583998</v>
      </c>
      <c r="L382">
        <v>7086442954</v>
      </c>
      <c r="M382">
        <v>2901765949</v>
      </c>
      <c r="N382">
        <v>1786420719</v>
      </c>
      <c r="O382">
        <v>1808000464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27844056397</v>
      </c>
      <c r="G383">
        <v>20691441114</v>
      </c>
      <c r="H383">
        <v>17532787471</v>
      </c>
      <c r="I383">
        <v>13670961010</v>
      </c>
      <c r="J383">
        <v>12507799879</v>
      </c>
      <c r="K383">
        <v>8697825523</v>
      </c>
      <c r="L383">
        <v>5443613504</v>
      </c>
      <c r="M383">
        <v>4705231437</v>
      </c>
      <c r="N383">
        <v>3535786198</v>
      </c>
      <c r="O383">
        <v>2801686643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2891332192</v>
      </c>
      <c r="G384">
        <v>2082510572</v>
      </c>
      <c r="H384">
        <v>2484744147</v>
      </c>
      <c r="I384">
        <v>2378247290</v>
      </c>
      <c r="J384">
        <v>2140939963</v>
      </c>
      <c r="K384">
        <v>1802349273</v>
      </c>
      <c r="L384">
        <v>1581556089</v>
      </c>
      <c r="M384">
        <v>1492177072</v>
      </c>
      <c r="N384">
        <v>1191556879</v>
      </c>
      <c r="O384">
        <v>1111736693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5058027462</v>
      </c>
      <c r="G385">
        <v>4617326093</v>
      </c>
      <c r="H385">
        <v>4109340158</v>
      </c>
      <c r="I385">
        <v>3616990540</v>
      </c>
      <c r="J385">
        <v>2821203325</v>
      </c>
      <c r="K385">
        <v>2349348516</v>
      </c>
      <c r="L385">
        <v>1119612480</v>
      </c>
      <c r="M385">
        <v>977632718</v>
      </c>
      <c r="N385">
        <v>801589140</v>
      </c>
      <c r="O385">
        <v>720125625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184659486</v>
      </c>
      <c r="G386">
        <v>194510711</v>
      </c>
      <c r="H386">
        <v>304972657</v>
      </c>
      <c r="I386">
        <v>2284387643</v>
      </c>
      <c r="J386">
        <v>971138493</v>
      </c>
      <c r="K386">
        <v>107781151</v>
      </c>
      <c r="L386">
        <v>100202016</v>
      </c>
      <c r="M386">
        <v>145947540</v>
      </c>
      <c r="N386">
        <v>73046247</v>
      </c>
      <c r="O386">
        <v>93419375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734782411</v>
      </c>
      <c r="G387">
        <v>665210846</v>
      </c>
      <c r="H387">
        <v>883351336</v>
      </c>
      <c r="I387">
        <v>617230424</v>
      </c>
      <c r="J387">
        <v>1428602836</v>
      </c>
      <c r="K387">
        <v>589292506</v>
      </c>
      <c r="L387">
        <v>469624254</v>
      </c>
      <c r="M387">
        <v>547390352</v>
      </c>
      <c r="N387">
        <v>515638119</v>
      </c>
      <c r="O387">
        <v>706215366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27277751685</v>
      </c>
      <c r="G388">
        <v>36029168387</v>
      </c>
      <c r="H388">
        <v>36956223728</v>
      </c>
      <c r="I388">
        <v>34164571244</v>
      </c>
      <c r="J388">
        <v>27073244066</v>
      </c>
      <c r="K388">
        <v>16123933257</v>
      </c>
      <c r="L388">
        <v>11298336427</v>
      </c>
      <c r="M388">
        <v>263732163</v>
      </c>
      <c r="N388">
        <v>268170530</v>
      </c>
      <c r="O388">
        <v>278636490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1006767241</v>
      </c>
      <c r="G389">
        <v>999273718</v>
      </c>
      <c r="H389">
        <v>891765625</v>
      </c>
      <c r="I389">
        <v>898232313</v>
      </c>
      <c r="J389">
        <v>783297160</v>
      </c>
      <c r="K389">
        <v>680572798</v>
      </c>
      <c r="L389">
        <v>556304839</v>
      </c>
      <c r="M389">
        <v>666404570</v>
      </c>
      <c r="N389">
        <v>636409229</v>
      </c>
      <c r="O389">
        <v>737344566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1532563980</v>
      </c>
      <c r="G390">
        <v>1201958791</v>
      </c>
      <c r="H390">
        <v>964085117</v>
      </c>
      <c r="I390">
        <v>959138295</v>
      </c>
      <c r="J390">
        <v>719341470</v>
      </c>
      <c r="K390">
        <v>589016743</v>
      </c>
      <c r="L390">
        <v>571294200</v>
      </c>
      <c r="M390">
        <v>394052274</v>
      </c>
      <c r="N390">
        <v>445778118</v>
      </c>
      <c r="O390">
        <v>416514220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4130944233</v>
      </c>
      <c r="G391">
        <v>3588622370</v>
      </c>
      <c r="H391">
        <v>3500114060</v>
      </c>
      <c r="I391">
        <v>3321795717</v>
      </c>
      <c r="J391">
        <v>3978707421</v>
      </c>
      <c r="K391">
        <v>3461990211</v>
      </c>
      <c r="L391">
        <v>4082627653</v>
      </c>
      <c r="M391">
        <v>4506804371</v>
      </c>
      <c r="N391">
        <v>4311010869</v>
      </c>
      <c r="O391">
        <v>5458219570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3803683308</v>
      </c>
      <c r="G392">
        <v>3090906831</v>
      </c>
      <c r="H392">
        <v>2507718633</v>
      </c>
      <c r="I392">
        <v>2626451376</v>
      </c>
      <c r="J392">
        <v>3153978266</v>
      </c>
      <c r="K392">
        <v>3171526013</v>
      </c>
      <c r="L392">
        <v>3870741949</v>
      </c>
      <c r="M392">
        <v>3476852894</v>
      </c>
      <c r="N392">
        <v>2616963311</v>
      </c>
      <c r="O392">
        <v>3095256599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5091742976</v>
      </c>
      <c r="G393">
        <v>4456711555</v>
      </c>
      <c r="H393">
        <v>4706696819</v>
      </c>
      <c r="I393">
        <v>4263422009</v>
      </c>
      <c r="J393">
        <v>3103284872</v>
      </c>
      <c r="K393">
        <v>2088861300</v>
      </c>
      <c r="L393">
        <v>2055752251</v>
      </c>
      <c r="M393">
        <v>2034587845</v>
      </c>
      <c r="N393">
        <v>1810751384</v>
      </c>
      <c r="O393">
        <v>1307415824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204461874</v>
      </c>
      <c r="G394">
        <v>155597799</v>
      </c>
      <c r="H394">
        <v>297066176</v>
      </c>
      <c r="I394">
        <v>218810167</v>
      </c>
      <c r="J394">
        <v>143265297</v>
      </c>
      <c r="K394">
        <v>196197740</v>
      </c>
      <c r="L394">
        <v>155913053</v>
      </c>
      <c r="M394">
        <v>90083165</v>
      </c>
      <c r="N394">
        <v>159588698</v>
      </c>
      <c r="O394">
        <v>245785053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6354294930</v>
      </c>
      <c r="G395">
        <v>4990260683</v>
      </c>
      <c r="H395">
        <v>4837101731</v>
      </c>
      <c r="I395">
        <v>4346288232</v>
      </c>
      <c r="J395">
        <v>3492784639</v>
      </c>
      <c r="K395">
        <v>2806926360</v>
      </c>
      <c r="L395">
        <v>2603714740</v>
      </c>
      <c r="M395">
        <v>2773115400</v>
      </c>
      <c r="N395">
        <v>2764852873</v>
      </c>
      <c r="O395">
        <v>2293538113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1792690446</v>
      </c>
      <c r="G396">
        <v>1929754689</v>
      </c>
      <c r="H396">
        <v>1581827475</v>
      </c>
      <c r="I396">
        <v>1059771783</v>
      </c>
      <c r="J396">
        <v>1141985414</v>
      </c>
      <c r="K396">
        <v>1309092086</v>
      </c>
      <c r="L396">
        <v>671263329</v>
      </c>
      <c r="M396">
        <v>638026084</v>
      </c>
      <c r="N396">
        <v>1013311614</v>
      </c>
      <c r="O396">
        <v>1498279645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2953136085</v>
      </c>
      <c r="G397">
        <v>2698441555</v>
      </c>
      <c r="H397">
        <v>2780883518</v>
      </c>
      <c r="I397">
        <v>2457310988</v>
      </c>
      <c r="J397">
        <v>2593790222</v>
      </c>
      <c r="K397">
        <v>2270716873</v>
      </c>
      <c r="L397">
        <v>2124748017</v>
      </c>
      <c r="M397">
        <v>1815809126</v>
      </c>
      <c r="N397">
        <v>1473491346</v>
      </c>
      <c r="O397">
        <v>1077474390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8296884079</v>
      </c>
      <c r="G398">
        <v>6105838370</v>
      </c>
      <c r="H398">
        <v>5909123612</v>
      </c>
      <c r="I398">
        <v>7118893461</v>
      </c>
      <c r="J398">
        <v>6708098233</v>
      </c>
      <c r="K398">
        <v>5067202771</v>
      </c>
      <c r="L398">
        <v>3976576317</v>
      </c>
      <c r="M398">
        <v>3957343097</v>
      </c>
      <c r="N398">
        <v>3243040770</v>
      </c>
      <c r="O398">
        <v>2906285875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1772774430</v>
      </c>
      <c r="G399">
        <v>937511489</v>
      </c>
      <c r="H399">
        <v>861021301</v>
      </c>
      <c r="I399">
        <v>1392062158</v>
      </c>
      <c r="J399">
        <v>1174494507</v>
      </c>
      <c r="K399">
        <v>1217650689</v>
      </c>
      <c r="L399">
        <v>2167804407</v>
      </c>
      <c r="M399">
        <v>5114312404</v>
      </c>
      <c r="N399">
        <v>4882914914</v>
      </c>
      <c r="O399">
        <v>4275583075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21054985007</v>
      </c>
      <c r="G400">
        <v>18195275967</v>
      </c>
      <c r="H400">
        <v>18773673517</v>
      </c>
      <c r="I400">
        <v>17614324919</v>
      </c>
      <c r="J400">
        <v>13804056759</v>
      </c>
      <c r="K400">
        <v>12549600210</v>
      </c>
      <c r="L400">
        <v>3836107543</v>
      </c>
      <c r="M400">
        <v>3662284531</v>
      </c>
      <c r="N400">
        <v>3110206805</v>
      </c>
      <c r="O400">
        <v>3398227515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9548367010</v>
      </c>
      <c r="G401">
        <v>6334445009</v>
      </c>
      <c r="H401">
        <v>7257864259</v>
      </c>
      <c r="I401">
        <v>6625624867</v>
      </c>
      <c r="J401">
        <v>4537445469</v>
      </c>
      <c r="K401">
        <v>4868887445</v>
      </c>
      <c r="L401">
        <v>5219229488</v>
      </c>
      <c r="M401">
        <v>4441152303</v>
      </c>
      <c r="N401">
        <v>449677625</v>
      </c>
      <c r="O401">
        <v>382650304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177478304</v>
      </c>
      <c r="H402">
        <v>495778756</v>
      </c>
      <c r="I402">
        <v>367595115</v>
      </c>
      <c r="J402">
        <v>507636479</v>
      </c>
      <c r="K402">
        <v>1361980473</v>
      </c>
      <c r="L402">
        <v>470509127</v>
      </c>
      <c r="M402">
        <v>1745574962</v>
      </c>
      <c r="N402">
        <v>144288394</v>
      </c>
      <c r="O402">
        <v>158006915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8304338458</v>
      </c>
      <c r="G403">
        <v>7576415267</v>
      </c>
      <c r="H403">
        <v>6553437673</v>
      </c>
      <c r="I403">
        <v>4065431374</v>
      </c>
      <c r="J403">
        <v>3166319084</v>
      </c>
      <c r="K403">
        <v>2149637328</v>
      </c>
      <c r="L403">
        <v>2301983210</v>
      </c>
      <c r="M403">
        <v>2201204868</v>
      </c>
      <c r="N403">
        <v>2322161084</v>
      </c>
      <c r="O403">
        <v>1805547038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31197645971</v>
      </c>
      <c r="G404">
        <v>26824625001</v>
      </c>
      <c r="H404">
        <v>25609912235</v>
      </c>
      <c r="I404">
        <v>25188241863</v>
      </c>
      <c r="J404">
        <v>19321749996</v>
      </c>
      <c r="K404">
        <v>13623980372</v>
      </c>
      <c r="L404">
        <v>10967890756</v>
      </c>
      <c r="M404">
        <v>7994941668</v>
      </c>
      <c r="N404">
        <v>6022332868</v>
      </c>
      <c r="O404">
        <v>5211176529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2148925259</v>
      </c>
      <c r="G405">
        <v>1936343512</v>
      </c>
      <c r="H405">
        <v>1579083071</v>
      </c>
      <c r="I405">
        <v>1429389002</v>
      </c>
      <c r="J405">
        <v>888069678</v>
      </c>
      <c r="K405">
        <v>516045364</v>
      </c>
      <c r="L405">
        <v>678280637</v>
      </c>
      <c r="M405">
        <v>849647219</v>
      </c>
      <c r="N405">
        <v>1115199834</v>
      </c>
      <c r="O405">
        <v>995754864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45006796342</v>
      </c>
      <c r="G406">
        <v>34729541670</v>
      </c>
      <c r="H406">
        <v>28455703001</v>
      </c>
      <c r="I406">
        <v>26663037904</v>
      </c>
      <c r="J406">
        <v>25256763773</v>
      </c>
      <c r="K406">
        <v>21980205737</v>
      </c>
      <c r="L406">
        <v>31689569597</v>
      </c>
      <c r="M406">
        <v>21499092893</v>
      </c>
      <c r="N406">
        <v>14223103478</v>
      </c>
      <c r="O406">
        <v>20583409967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9369641937</v>
      </c>
      <c r="G407">
        <v>8440371944</v>
      </c>
      <c r="H407">
        <v>15587040417</v>
      </c>
      <c r="I407">
        <v>11396852322</v>
      </c>
      <c r="J407">
        <v>4459172301</v>
      </c>
      <c r="K407">
        <v>2132569885</v>
      </c>
      <c r="L407">
        <v>1392087893</v>
      </c>
      <c r="M407">
        <v>1836115231</v>
      </c>
      <c r="N407">
        <v>1646191764</v>
      </c>
      <c r="O407">
        <v>561314927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12205333660</v>
      </c>
      <c r="G408">
        <v>10646804586</v>
      </c>
      <c r="H408">
        <v>9367099152</v>
      </c>
      <c r="I408">
        <v>7786540813</v>
      </c>
      <c r="J408">
        <v>7826612964</v>
      </c>
      <c r="K408">
        <v>9801605811</v>
      </c>
      <c r="L408">
        <v>8982114868</v>
      </c>
      <c r="M408">
        <v>8739812654</v>
      </c>
      <c r="N408">
        <v>8623029070</v>
      </c>
      <c r="O408">
        <v>8326602359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1026698001</v>
      </c>
      <c r="G409">
        <v>706314334</v>
      </c>
      <c r="H409">
        <v>858670165</v>
      </c>
      <c r="I409">
        <v>746086835</v>
      </c>
      <c r="J409">
        <v>603784794</v>
      </c>
      <c r="K409">
        <v>526093065</v>
      </c>
      <c r="L409">
        <v>503743238</v>
      </c>
      <c r="M409">
        <v>507227609</v>
      </c>
      <c r="N409">
        <v>618800701</v>
      </c>
      <c r="O409">
        <v>574224233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497186273</v>
      </c>
      <c r="G410">
        <v>785915558</v>
      </c>
      <c r="H410">
        <v>852611554</v>
      </c>
      <c r="I410">
        <v>1177444760</v>
      </c>
      <c r="J410">
        <v>1131747681</v>
      </c>
      <c r="K410">
        <v>599749287</v>
      </c>
      <c r="L410">
        <v>918723481</v>
      </c>
      <c r="M410">
        <v>628711279</v>
      </c>
      <c r="N410">
        <v>913283106</v>
      </c>
      <c r="O410">
        <v>1248927351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10609490530</v>
      </c>
      <c r="G411">
        <v>7832637915</v>
      </c>
      <c r="H411">
        <v>8056491731</v>
      </c>
      <c r="I411">
        <v>5646133739</v>
      </c>
      <c r="J411">
        <v>4516745231</v>
      </c>
      <c r="K411">
        <v>4412330146</v>
      </c>
      <c r="L411">
        <v>4943630600</v>
      </c>
      <c r="M411">
        <v>4419609800</v>
      </c>
      <c r="N411">
        <v>3952957593</v>
      </c>
      <c r="O411">
        <v>3271418043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17837587417</v>
      </c>
      <c r="G412">
        <v>15009371861</v>
      </c>
      <c r="H412">
        <v>14792678811</v>
      </c>
      <c r="I412">
        <v>17966479969</v>
      </c>
      <c r="J412">
        <v>16075995168</v>
      </c>
      <c r="K412">
        <v>12387301114</v>
      </c>
      <c r="L412">
        <v>18130843822</v>
      </c>
      <c r="M412">
        <v>17231990599</v>
      </c>
      <c r="N412">
        <v>15904549552</v>
      </c>
      <c r="O412">
        <v>10304776675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18398159142</v>
      </c>
      <c r="G413">
        <v>15441243041</v>
      </c>
      <c r="H413">
        <v>16535036163</v>
      </c>
      <c r="I413">
        <v>15922287265</v>
      </c>
      <c r="J413">
        <v>15745572067</v>
      </c>
      <c r="K413">
        <v>12587180772</v>
      </c>
      <c r="L413">
        <v>10415783240</v>
      </c>
      <c r="M413">
        <v>7742869353</v>
      </c>
      <c r="N413">
        <v>5738329024</v>
      </c>
      <c r="O413">
        <v>5525028600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6753674244</v>
      </c>
      <c r="G414">
        <v>5233768236</v>
      </c>
      <c r="H414">
        <v>4437310870</v>
      </c>
      <c r="I414">
        <v>3995581596</v>
      </c>
      <c r="J414">
        <v>3179982052</v>
      </c>
      <c r="K414">
        <v>3080724947</v>
      </c>
      <c r="L414">
        <v>2635476947</v>
      </c>
      <c r="M414">
        <v>2752732322</v>
      </c>
      <c r="N414">
        <v>2112014664</v>
      </c>
      <c r="O414">
        <v>1720959109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58029334944</v>
      </c>
      <c r="G415">
        <v>38823650351</v>
      </c>
      <c r="H415">
        <v>41686506997</v>
      </c>
      <c r="I415">
        <v>53759724938</v>
      </c>
      <c r="J415">
        <v>35653442149</v>
      </c>
      <c r="K415">
        <v>31909826233</v>
      </c>
      <c r="L415">
        <v>30472791383</v>
      </c>
      <c r="M415">
        <v>31690204465</v>
      </c>
      <c r="N415">
        <v>37949298080</v>
      </c>
      <c r="O415">
        <v>42831645313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2400754412</v>
      </c>
      <c r="G416">
        <v>1965139523</v>
      </c>
      <c r="H416">
        <v>1382491618</v>
      </c>
      <c r="I416">
        <v>1848377773</v>
      </c>
      <c r="J416">
        <v>1773630221</v>
      </c>
      <c r="K416">
        <v>1713632606</v>
      </c>
      <c r="L416">
        <v>2577220326</v>
      </c>
      <c r="M416">
        <v>2765151190</v>
      </c>
      <c r="N416">
        <v>2641488327</v>
      </c>
      <c r="O416">
        <v>2740792800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46429706359</v>
      </c>
      <c r="G417">
        <v>34226175813</v>
      </c>
      <c r="H417">
        <v>32782870132</v>
      </c>
      <c r="I417">
        <v>34953068696</v>
      </c>
      <c r="J417">
        <v>26900845352</v>
      </c>
      <c r="K417">
        <v>8155185808</v>
      </c>
      <c r="L417">
        <v>7146394087</v>
      </c>
      <c r="M417">
        <v>4782077790</v>
      </c>
      <c r="N417">
        <v>4808215098</v>
      </c>
      <c r="O417">
        <v>4613953538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66307847</v>
      </c>
      <c r="G418">
        <v>816353943</v>
      </c>
      <c r="H418">
        <v>1040312149</v>
      </c>
      <c r="I418">
        <v>1685106987</v>
      </c>
      <c r="J418">
        <v>227948225</v>
      </c>
      <c r="K418">
        <v>1925572494</v>
      </c>
      <c r="L418">
        <v>895088822</v>
      </c>
      <c r="M418">
        <v>222974077</v>
      </c>
      <c r="N418">
        <v>668062596</v>
      </c>
      <c r="O418">
        <v>533005770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887300279</v>
      </c>
      <c r="G419">
        <v>783507992</v>
      </c>
      <c r="H419">
        <v>763743471</v>
      </c>
      <c r="I419">
        <v>692068207</v>
      </c>
      <c r="J419">
        <v>636674477</v>
      </c>
      <c r="K419">
        <v>671048398</v>
      </c>
      <c r="L419">
        <v>580255588</v>
      </c>
      <c r="M419">
        <v>544853992</v>
      </c>
      <c r="N419">
        <v>503581909</v>
      </c>
      <c r="O419">
        <v>477686570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91961616</v>
      </c>
      <c r="G420">
        <v>21850891</v>
      </c>
      <c r="H420">
        <v>7059443</v>
      </c>
      <c r="I420">
        <v>41497543</v>
      </c>
      <c r="J420">
        <v>53840697</v>
      </c>
      <c r="K420">
        <v>57279956</v>
      </c>
      <c r="L420">
        <v>64508440</v>
      </c>
      <c r="M420">
        <v>123564339</v>
      </c>
      <c r="N420">
        <v>69744725</v>
      </c>
      <c r="O420">
        <v>32923403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14251998141</v>
      </c>
      <c r="G421">
        <v>11182963120</v>
      </c>
      <c r="H421">
        <v>8585440094</v>
      </c>
      <c r="I421">
        <v>10374713864</v>
      </c>
      <c r="J421">
        <v>7862845171</v>
      </c>
      <c r="K421">
        <v>4833429249</v>
      </c>
      <c r="L421">
        <v>5134589222</v>
      </c>
      <c r="M421">
        <v>7428982263</v>
      </c>
      <c r="N421">
        <v>7904145407</v>
      </c>
      <c r="O421">
        <v>7163737474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5433524402</v>
      </c>
      <c r="G422">
        <v>4912554983</v>
      </c>
      <c r="H422">
        <v>6372907398</v>
      </c>
      <c r="I422">
        <v>5852210928</v>
      </c>
      <c r="J422">
        <v>4498137790</v>
      </c>
      <c r="K422">
        <v>4250982927</v>
      </c>
      <c r="L422">
        <v>4727985091</v>
      </c>
      <c r="M422">
        <v>5876956796</v>
      </c>
      <c r="N422">
        <v>7181889203</v>
      </c>
      <c r="O422">
        <v>8864868226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4789906024</v>
      </c>
      <c r="G423">
        <v>3637284675</v>
      </c>
      <c r="H423">
        <v>3605953164</v>
      </c>
      <c r="I423">
        <v>3903039388</v>
      </c>
      <c r="J423">
        <v>3268414347</v>
      </c>
      <c r="K423">
        <v>2445151940</v>
      </c>
      <c r="L423">
        <v>2826472639</v>
      </c>
      <c r="M423">
        <v>2753273660</v>
      </c>
      <c r="N423">
        <v>2456051236</v>
      </c>
      <c r="O423">
        <v>1791054090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5669671784</v>
      </c>
      <c r="G424">
        <v>7846296135</v>
      </c>
      <c r="H424">
        <v>8974320271</v>
      </c>
      <c r="I424">
        <v>7666792637</v>
      </c>
      <c r="J424">
        <v>4997443174</v>
      </c>
      <c r="K424">
        <v>3493110384</v>
      </c>
      <c r="L424">
        <v>2519869313</v>
      </c>
      <c r="M424">
        <v>2236545505</v>
      </c>
      <c r="N424">
        <v>2390840645</v>
      </c>
      <c r="O424">
        <v>2257705439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35351358790</v>
      </c>
      <c r="G425">
        <v>30882180069</v>
      </c>
      <c r="H425">
        <v>35453983995</v>
      </c>
      <c r="I425">
        <v>32281510962</v>
      </c>
      <c r="J425">
        <v>29074455182</v>
      </c>
      <c r="K425">
        <v>10437494429</v>
      </c>
      <c r="L425">
        <v>9824384606</v>
      </c>
      <c r="M425">
        <v>9169947305</v>
      </c>
      <c r="N425">
        <v>7728403032</v>
      </c>
      <c r="O425">
        <v>6794241281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4536466015</v>
      </c>
      <c r="G426">
        <v>4737822208</v>
      </c>
      <c r="H426">
        <v>3460163351</v>
      </c>
      <c r="I426">
        <v>2378651671</v>
      </c>
      <c r="J426">
        <v>1929476760</v>
      </c>
      <c r="K426">
        <v>2013360447</v>
      </c>
      <c r="L426">
        <v>1912204118</v>
      </c>
      <c r="M426">
        <v>1505875988</v>
      </c>
      <c r="N426">
        <v>1488982880</v>
      </c>
      <c r="O426">
        <v>920569612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1334591648</v>
      </c>
      <c r="G427">
        <v>1107278091</v>
      </c>
      <c r="H427">
        <v>971922706</v>
      </c>
      <c r="I427">
        <v>783681445</v>
      </c>
      <c r="J427">
        <v>555667130</v>
      </c>
      <c r="K427">
        <v>533722378</v>
      </c>
      <c r="L427">
        <v>462054628</v>
      </c>
      <c r="M427">
        <v>381389701</v>
      </c>
      <c r="N427">
        <v>373312738</v>
      </c>
      <c r="O427">
        <v>264311330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3198639793</v>
      </c>
      <c r="G428">
        <v>3496910959</v>
      </c>
      <c r="H428">
        <v>5061381313</v>
      </c>
      <c r="I428">
        <v>11560573281</v>
      </c>
      <c r="J428">
        <v>8881096419</v>
      </c>
      <c r="K428">
        <v>4157573621</v>
      </c>
      <c r="L428">
        <v>989731671</v>
      </c>
      <c r="M428">
        <v>819763675</v>
      </c>
      <c r="N428">
        <v>723978888</v>
      </c>
      <c r="O428">
        <v>531105538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3434865454</v>
      </c>
      <c r="G429">
        <v>2042894301</v>
      </c>
      <c r="H429">
        <v>7526719649</v>
      </c>
      <c r="I429">
        <v>11057653485</v>
      </c>
      <c r="J429">
        <v>4535284522</v>
      </c>
      <c r="K429">
        <v>1693315553</v>
      </c>
      <c r="L429">
        <v>1608853415</v>
      </c>
      <c r="M429">
        <v>2377184585</v>
      </c>
      <c r="N429">
        <v>2336439559</v>
      </c>
      <c r="O429">
        <v>2892950916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5457605406</v>
      </c>
      <c r="G430">
        <v>3046450604</v>
      </c>
      <c r="H430">
        <v>2885990228</v>
      </c>
      <c r="I430">
        <v>2529854056</v>
      </c>
      <c r="J430">
        <v>3205296867</v>
      </c>
      <c r="K430">
        <v>4208399105</v>
      </c>
      <c r="L430">
        <v>3004074129</v>
      </c>
      <c r="M430">
        <v>2120134157</v>
      </c>
      <c r="N430">
        <v>1886211624</v>
      </c>
      <c r="O430">
        <v>874677435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3366245766</v>
      </c>
      <c r="G431">
        <v>4567965713</v>
      </c>
      <c r="H431">
        <v>10385600921</v>
      </c>
      <c r="I431">
        <v>25880969102</v>
      </c>
      <c r="J431">
        <v>20877135780</v>
      </c>
      <c r="K431">
        <v>18003581587</v>
      </c>
      <c r="L431">
        <v>14445057611</v>
      </c>
      <c r="M431">
        <v>13374827505</v>
      </c>
      <c r="N431">
        <v>9986873377</v>
      </c>
      <c r="O431">
        <v>8676883400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79430259957</v>
      </c>
      <c r="G432">
        <v>71348540311</v>
      </c>
      <c r="H432">
        <v>66168239672</v>
      </c>
      <c r="I432">
        <v>57619330306</v>
      </c>
      <c r="J432">
        <v>48901003501</v>
      </c>
      <c r="K432">
        <v>46386049733</v>
      </c>
      <c r="L432">
        <v>24477232866</v>
      </c>
      <c r="M432">
        <v>22043789017</v>
      </c>
      <c r="N432">
        <v>22279996955</v>
      </c>
      <c r="O432">
        <v>19826920342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198052225</v>
      </c>
      <c r="G433">
        <v>165765761</v>
      </c>
      <c r="H433">
        <v>136719687</v>
      </c>
      <c r="I433">
        <v>142670905</v>
      </c>
      <c r="J433">
        <v>144091584</v>
      </c>
      <c r="K433">
        <v>129120495</v>
      </c>
      <c r="L433">
        <v>100142853</v>
      </c>
      <c r="M433">
        <v>154587652</v>
      </c>
      <c r="N433">
        <v>181443157</v>
      </c>
      <c r="O433">
        <v>163027183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4905402539</v>
      </c>
      <c r="G434">
        <v>4550649694</v>
      </c>
      <c r="H434">
        <v>4356008804</v>
      </c>
      <c r="I434">
        <v>3610054757</v>
      </c>
      <c r="J434">
        <v>3328320711</v>
      </c>
      <c r="K434">
        <v>2844017546</v>
      </c>
      <c r="L434">
        <v>2252195730</v>
      </c>
      <c r="M434">
        <v>1705693248</v>
      </c>
      <c r="N434">
        <v>1688369550</v>
      </c>
      <c r="O434">
        <v>1323135279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37673103208</v>
      </c>
      <c r="G435">
        <v>29204123296</v>
      </c>
      <c r="H435">
        <v>28745044363</v>
      </c>
      <c r="I435">
        <v>23672886443</v>
      </c>
      <c r="J435">
        <v>20925141463</v>
      </c>
      <c r="K435">
        <v>15712789180</v>
      </c>
      <c r="L435">
        <v>11013758584</v>
      </c>
      <c r="M435">
        <v>6194753887</v>
      </c>
      <c r="N435">
        <v>4925565218</v>
      </c>
      <c r="O435">
        <v>4486965315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1638950882</v>
      </c>
      <c r="G436">
        <v>1200410054</v>
      </c>
      <c r="H436">
        <v>1454532674</v>
      </c>
      <c r="I436">
        <v>2283974779</v>
      </c>
      <c r="J436">
        <v>2470220666</v>
      </c>
      <c r="K436">
        <v>2393989986</v>
      </c>
      <c r="L436">
        <v>2257569106</v>
      </c>
      <c r="M436">
        <v>2250672009</v>
      </c>
      <c r="N436">
        <v>1842340308</v>
      </c>
      <c r="O436">
        <v>2253553099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4515397527</v>
      </c>
      <c r="G437">
        <v>4055254613</v>
      </c>
      <c r="H437">
        <v>4572298068</v>
      </c>
      <c r="I437">
        <v>5233841641</v>
      </c>
      <c r="J437">
        <v>4610782544</v>
      </c>
      <c r="K437">
        <v>3535614958</v>
      </c>
      <c r="L437">
        <v>2565642285</v>
      </c>
      <c r="M437">
        <v>2160731804</v>
      </c>
      <c r="N437">
        <v>2018806680</v>
      </c>
      <c r="O437">
        <v>1698742768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1772428998</v>
      </c>
      <c r="G438">
        <v>1878824101</v>
      </c>
      <c r="H438">
        <v>2311400274</v>
      </c>
      <c r="I438">
        <v>3206310686</v>
      </c>
      <c r="J438">
        <v>3138893991</v>
      </c>
      <c r="K438">
        <v>2987062241</v>
      </c>
      <c r="L438">
        <v>2762365176</v>
      </c>
      <c r="M438">
        <v>2530217614</v>
      </c>
      <c r="N438">
        <v>1476182545</v>
      </c>
      <c r="O438">
        <v>1258392938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657450673</v>
      </c>
      <c r="G439">
        <v>1017260238</v>
      </c>
      <c r="H439">
        <v>944907549</v>
      </c>
      <c r="I439">
        <v>1167384589</v>
      </c>
      <c r="J439">
        <v>1673807172</v>
      </c>
      <c r="K439">
        <v>940886408</v>
      </c>
      <c r="L439">
        <v>1253609858</v>
      </c>
      <c r="M439">
        <v>1290995866</v>
      </c>
      <c r="N439">
        <v>1311659965</v>
      </c>
      <c r="O439">
        <v>1316131548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19435959237</v>
      </c>
      <c r="G440">
        <v>13333772002</v>
      </c>
      <c r="H440">
        <v>15559895475</v>
      </c>
      <c r="I440">
        <v>12769119637</v>
      </c>
      <c r="J440">
        <v>10406876060</v>
      </c>
      <c r="K440">
        <v>37903402882</v>
      </c>
      <c r="L440">
        <v>49982589950</v>
      </c>
      <c r="M440">
        <v>53649176056</v>
      </c>
      <c r="N440">
        <v>52163560013</v>
      </c>
      <c r="O440">
        <v>39237837409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2372856545</v>
      </c>
      <c r="G441">
        <v>2160245367</v>
      </c>
      <c r="H441">
        <v>2174878070</v>
      </c>
      <c r="I441">
        <v>1900449526</v>
      </c>
      <c r="J441">
        <v>1712281261</v>
      </c>
      <c r="K441">
        <v>1669989500</v>
      </c>
      <c r="L441">
        <v>1527967796</v>
      </c>
      <c r="M441">
        <v>1344358824</v>
      </c>
      <c r="N441">
        <v>1254299960</v>
      </c>
      <c r="O441">
        <v>1083831693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266397230</v>
      </c>
      <c r="G442">
        <v>246752497</v>
      </c>
      <c r="H442">
        <v>249824213</v>
      </c>
      <c r="I442">
        <v>226454673</v>
      </c>
      <c r="J442">
        <v>224912339</v>
      </c>
      <c r="K442">
        <v>213059202</v>
      </c>
      <c r="L442">
        <v>217614450</v>
      </c>
      <c r="M442">
        <v>276603929</v>
      </c>
      <c r="N442">
        <v>293046110</v>
      </c>
      <c r="O442">
        <v>309794507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19778448328</v>
      </c>
      <c r="G443">
        <v>14048727838</v>
      </c>
      <c r="H443">
        <v>14576041448</v>
      </c>
      <c r="I443">
        <v>15341884607</v>
      </c>
      <c r="J443">
        <v>14682297720</v>
      </c>
      <c r="K443">
        <v>10550725563</v>
      </c>
      <c r="L443">
        <v>8961116647</v>
      </c>
      <c r="M443">
        <v>8722996577</v>
      </c>
      <c r="N443">
        <v>9742297329</v>
      </c>
      <c r="O443">
        <v>9665355109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788733023</v>
      </c>
      <c r="G444">
        <v>3076500263</v>
      </c>
      <c r="H444">
        <v>3203667290</v>
      </c>
      <c r="I444">
        <v>1193942982</v>
      </c>
      <c r="J444">
        <v>360267195</v>
      </c>
      <c r="K444">
        <v>239432960</v>
      </c>
      <c r="L444">
        <v>213033103</v>
      </c>
      <c r="M444">
        <v>433869169</v>
      </c>
      <c r="N444">
        <v>288501532</v>
      </c>
      <c r="O444">
        <v>480604238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4418607129</v>
      </c>
      <c r="G445">
        <v>1696692548</v>
      </c>
      <c r="H445">
        <v>3580153769</v>
      </c>
      <c r="I445">
        <v>2589410170</v>
      </c>
      <c r="J445">
        <v>942793390</v>
      </c>
      <c r="K445">
        <v>1765007639</v>
      </c>
      <c r="L445">
        <v>3549104337</v>
      </c>
      <c r="M445">
        <v>2378326858</v>
      </c>
      <c r="N445">
        <v>2539658879</v>
      </c>
      <c r="O445">
        <v>2793482380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7640070661</v>
      </c>
      <c r="G446">
        <v>12673165780</v>
      </c>
      <c r="H446">
        <v>16144874766</v>
      </c>
      <c r="I446">
        <v>14380500662</v>
      </c>
      <c r="J446">
        <v>10804275854</v>
      </c>
      <c r="K446">
        <v>11166262870</v>
      </c>
      <c r="L446">
        <v>9939372062</v>
      </c>
      <c r="M446">
        <v>9438340104</v>
      </c>
      <c r="N446">
        <v>8527823937</v>
      </c>
      <c r="O446">
        <v>6414796661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6397619407</v>
      </c>
      <c r="G447">
        <v>3003302838</v>
      </c>
      <c r="H447">
        <v>3648945961</v>
      </c>
      <c r="I447">
        <v>2606473222</v>
      </c>
      <c r="J447">
        <v>3243812742</v>
      </c>
      <c r="K447">
        <v>2485147698</v>
      </c>
      <c r="L447">
        <v>2000997640</v>
      </c>
      <c r="M447">
        <v>2230587322</v>
      </c>
      <c r="N447">
        <v>1674304173</v>
      </c>
      <c r="O447">
        <v>1400973446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2127588116</v>
      </c>
      <c r="G448">
        <v>2123796064</v>
      </c>
      <c r="H448">
        <v>1661108084</v>
      </c>
      <c r="I448">
        <v>2111171022</v>
      </c>
      <c r="J448">
        <v>2388270317</v>
      </c>
      <c r="K448">
        <v>3024529908</v>
      </c>
      <c r="L448">
        <v>2449034837</v>
      </c>
      <c r="M448">
        <v>1648669963</v>
      </c>
      <c r="N448">
        <v>1501381496</v>
      </c>
      <c r="O448">
        <v>1464426666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301706383</v>
      </c>
      <c r="G449">
        <v>213554500</v>
      </c>
      <c r="H449">
        <v>203867551</v>
      </c>
      <c r="I449">
        <v>182024712</v>
      </c>
      <c r="J449">
        <v>310790254</v>
      </c>
      <c r="K449">
        <v>333707155</v>
      </c>
      <c r="L449">
        <v>359780649</v>
      </c>
      <c r="M449">
        <v>324931026</v>
      </c>
      <c r="N449">
        <v>334547336</v>
      </c>
      <c r="O449">
        <v>429521360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307006157</v>
      </c>
      <c r="G450">
        <v>66583377</v>
      </c>
      <c r="H450">
        <v>38450391</v>
      </c>
      <c r="I450">
        <v>43741519</v>
      </c>
      <c r="J450">
        <v>53185377</v>
      </c>
      <c r="K450">
        <v>32892029</v>
      </c>
      <c r="L450">
        <v>50780843</v>
      </c>
      <c r="M450">
        <v>35910429</v>
      </c>
      <c r="N450">
        <v>108296931</v>
      </c>
      <c r="O450">
        <v>186434112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745239302</v>
      </c>
      <c r="G451">
        <v>424578938</v>
      </c>
      <c r="H451">
        <v>423198417</v>
      </c>
      <c r="I451">
        <v>814053485</v>
      </c>
      <c r="J451">
        <v>1372858313</v>
      </c>
      <c r="K451">
        <v>263578582</v>
      </c>
      <c r="L451">
        <v>369246918</v>
      </c>
      <c r="M451">
        <v>598711022</v>
      </c>
      <c r="N451">
        <v>531457873</v>
      </c>
      <c r="O451">
        <v>1694745397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105619175</v>
      </c>
      <c r="G452">
        <v>75795815</v>
      </c>
      <c r="H452">
        <v>103581923</v>
      </c>
      <c r="I452">
        <v>130360435</v>
      </c>
      <c r="J452">
        <v>146232737</v>
      </c>
      <c r="K452">
        <v>170796544</v>
      </c>
      <c r="L452">
        <v>191588265</v>
      </c>
      <c r="M452">
        <v>210521763</v>
      </c>
      <c r="N452">
        <v>267856381</v>
      </c>
      <c r="O452">
        <v>292740368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5233419000</v>
      </c>
      <c r="G453">
        <v>3385502000</v>
      </c>
      <c r="H453">
        <v>3929252000</v>
      </c>
      <c r="I453">
        <v>4777721000</v>
      </c>
      <c r="J453">
        <v>6545979000</v>
      </c>
      <c r="K453">
        <v>2957088967</v>
      </c>
      <c r="L453">
        <v>1985893571</v>
      </c>
      <c r="M453">
        <v>3280657142</v>
      </c>
      <c r="N453">
        <v>3041776835</v>
      </c>
      <c r="O453">
        <v>1621318704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34511991934</v>
      </c>
      <c r="G454">
        <v>27163853822</v>
      </c>
      <c r="H454">
        <v>28518148502</v>
      </c>
      <c r="I454">
        <v>27485413815</v>
      </c>
      <c r="J454">
        <v>18587973116</v>
      </c>
      <c r="K454">
        <v>36734046997</v>
      </c>
      <c r="L454">
        <v>42173301633</v>
      </c>
      <c r="M454">
        <v>54512159008</v>
      </c>
      <c r="N454">
        <v>66534122350</v>
      </c>
      <c r="O454">
        <v>65781436144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18963902331</v>
      </c>
      <c r="G455">
        <v>53738130615</v>
      </c>
      <c r="H455">
        <v>64919718225</v>
      </c>
      <c r="I455">
        <v>39429963842</v>
      </c>
      <c r="J455">
        <v>39790794200</v>
      </c>
      <c r="K455">
        <v>38775356106</v>
      </c>
      <c r="L455">
        <v>32052510084</v>
      </c>
      <c r="M455">
        <v>35029674774</v>
      </c>
      <c r="N455">
        <v>37686515011</v>
      </c>
      <c r="O455">
        <v>39172957161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5652377103</v>
      </c>
      <c r="G456">
        <v>3508148739</v>
      </c>
      <c r="H456">
        <v>3714774395</v>
      </c>
      <c r="I456">
        <v>4293339050</v>
      </c>
      <c r="J456">
        <v>3437312115</v>
      </c>
      <c r="K456">
        <v>3088164833</v>
      </c>
      <c r="L456">
        <v>2571389867</v>
      </c>
      <c r="M456">
        <v>2453333111</v>
      </c>
      <c r="N456">
        <v>2346870403</v>
      </c>
      <c r="O456">
        <v>2294678087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13894674840</v>
      </c>
      <c r="G457">
        <v>9153090339</v>
      </c>
      <c r="H457">
        <v>8937896902</v>
      </c>
      <c r="I457">
        <v>10131135339</v>
      </c>
      <c r="J457">
        <v>6501081057</v>
      </c>
      <c r="K457">
        <v>5381972225</v>
      </c>
      <c r="L457">
        <v>5474173812</v>
      </c>
      <c r="M457">
        <v>6062219931</v>
      </c>
      <c r="N457">
        <v>7264335504</v>
      </c>
      <c r="O457">
        <v>6944431967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2338141711</v>
      </c>
      <c r="G458">
        <v>2434190902</v>
      </c>
      <c r="H458">
        <v>3088290231</v>
      </c>
      <c r="I458">
        <v>2591441510</v>
      </c>
      <c r="J458">
        <v>3299681915</v>
      </c>
      <c r="K458">
        <v>3271485766</v>
      </c>
      <c r="L458">
        <v>2310201824</v>
      </c>
      <c r="M458">
        <v>3407135548</v>
      </c>
      <c r="N458">
        <v>3327198306</v>
      </c>
      <c r="O458">
        <v>3347836687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6293678187</v>
      </c>
      <c r="G459">
        <v>4619519679</v>
      </c>
      <c r="H459">
        <v>4274483254</v>
      </c>
      <c r="I459">
        <v>4184802937</v>
      </c>
      <c r="J459">
        <v>4308447562</v>
      </c>
      <c r="K459">
        <v>4561281560</v>
      </c>
      <c r="L459">
        <v>4413899296</v>
      </c>
      <c r="M459">
        <v>4005403675</v>
      </c>
      <c r="N459">
        <v>2841243283</v>
      </c>
      <c r="O459">
        <v>2115253839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4558695790</v>
      </c>
      <c r="G460">
        <v>3153150032</v>
      </c>
      <c r="H460">
        <v>2817268943</v>
      </c>
      <c r="I460">
        <v>2128855869</v>
      </c>
      <c r="J460">
        <v>2369483153</v>
      </c>
      <c r="K460">
        <v>2026274178</v>
      </c>
      <c r="L460">
        <v>672078634</v>
      </c>
      <c r="M460">
        <v>563296025</v>
      </c>
      <c r="N460">
        <v>716006759</v>
      </c>
      <c r="O460">
        <v>604624041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2784544</v>
      </c>
      <c r="G461">
        <v>5016028</v>
      </c>
      <c r="H461">
        <v>2710802</v>
      </c>
      <c r="I461">
        <v>2312542</v>
      </c>
      <c r="J461">
        <v>22598103</v>
      </c>
      <c r="K461">
        <v>6354383</v>
      </c>
      <c r="L461">
        <v>14384737</v>
      </c>
      <c r="M461">
        <v>76958080</v>
      </c>
      <c r="N461">
        <v>54580202</v>
      </c>
      <c r="O461">
        <v>27201289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2909249481</v>
      </c>
      <c r="G462">
        <v>1541881566</v>
      </c>
      <c r="H462">
        <v>39758461</v>
      </c>
      <c r="I462">
        <v>41361491</v>
      </c>
      <c r="J462">
        <v>31756461</v>
      </c>
      <c r="K462">
        <v>26973801</v>
      </c>
      <c r="L462">
        <v>46886283</v>
      </c>
      <c r="M462">
        <v>21894395</v>
      </c>
      <c r="N462">
        <v>23210081</v>
      </c>
      <c r="O462">
        <v>0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3223675434</v>
      </c>
      <c r="G463">
        <v>2942699990</v>
      </c>
      <c r="H463">
        <v>3935172874</v>
      </c>
      <c r="I463">
        <v>3361661627</v>
      </c>
      <c r="J463">
        <v>2513950090</v>
      </c>
      <c r="K463">
        <v>2491530607</v>
      </c>
      <c r="L463">
        <v>2173303345</v>
      </c>
      <c r="M463">
        <v>1977378284</v>
      </c>
      <c r="N463">
        <v>1873422732</v>
      </c>
      <c r="O463">
        <v>1406664278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2207735272</v>
      </c>
      <c r="G464">
        <v>1744659148</v>
      </c>
      <c r="H464">
        <v>1696104568</v>
      </c>
      <c r="I464">
        <v>1467746353</v>
      </c>
      <c r="J464">
        <v>1135174050</v>
      </c>
      <c r="K464">
        <v>1055259223</v>
      </c>
      <c r="L464">
        <v>1011965251</v>
      </c>
      <c r="M464">
        <v>1229549239</v>
      </c>
      <c r="N464">
        <v>1329156535</v>
      </c>
      <c r="O464">
        <v>1441943875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4242136909</v>
      </c>
      <c r="G465">
        <v>3149232066</v>
      </c>
      <c r="H465">
        <v>3097066372</v>
      </c>
      <c r="I465">
        <v>2850251611</v>
      </c>
      <c r="J465">
        <v>1865851759</v>
      </c>
      <c r="K465">
        <v>2268957450</v>
      </c>
      <c r="L465">
        <v>2051862861</v>
      </c>
      <c r="M465">
        <v>1850112808</v>
      </c>
      <c r="N465">
        <v>1476089489</v>
      </c>
      <c r="O465">
        <v>1461972359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512280971</v>
      </c>
      <c r="G466">
        <v>414763461</v>
      </c>
      <c r="H466">
        <v>459386661</v>
      </c>
      <c r="I466">
        <v>354087999</v>
      </c>
      <c r="J466">
        <v>253454309</v>
      </c>
      <c r="K466">
        <v>245114927</v>
      </c>
      <c r="L466">
        <v>307657008</v>
      </c>
      <c r="M466">
        <v>292395731</v>
      </c>
      <c r="N466">
        <v>582403656</v>
      </c>
      <c r="O466">
        <v>742469221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1390902606</v>
      </c>
      <c r="G467">
        <v>1336635598</v>
      </c>
      <c r="H467">
        <v>1746851821</v>
      </c>
      <c r="I467">
        <v>1999510635</v>
      </c>
      <c r="J467">
        <v>2132805008</v>
      </c>
      <c r="K467">
        <v>1889585206</v>
      </c>
      <c r="L467">
        <v>1882044017</v>
      </c>
      <c r="M467">
        <v>1931866823</v>
      </c>
      <c r="N467">
        <v>1760222301</v>
      </c>
      <c r="O467">
        <v>1624266133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2446765954</v>
      </c>
      <c r="G468">
        <v>1606051039</v>
      </c>
      <c r="H468">
        <v>751698874</v>
      </c>
      <c r="I468">
        <v>573823642</v>
      </c>
      <c r="J468">
        <v>734111160</v>
      </c>
      <c r="K468">
        <v>544257558</v>
      </c>
      <c r="L468">
        <v>441607554</v>
      </c>
      <c r="M468">
        <v>452133086</v>
      </c>
      <c r="N468">
        <v>448856813</v>
      </c>
      <c r="O468">
        <v>185072214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2060304516</v>
      </c>
      <c r="G469">
        <v>1238423135</v>
      </c>
      <c r="H469">
        <v>1408842009</v>
      </c>
      <c r="I469">
        <v>1166573384</v>
      </c>
      <c r="J469">
        <v>1080367553</v>
      </c>
      <c r="K469">
        <v>993640151</v>
      </c>
      <c r="L469">
        <v>941020063</v>
      </c>
      <c r="M469">
        <v>961777590</v>
      </c>
      <c r="N469">
        <v>850470995</v>
      </c>
      <c r="O469">
        <v>837393170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17945863111</v>
      </c>
      <c r="G470">
        <v>17214071562</v>
      </c>
      <c r="H470">
        <v>16891590140</v>
      </c>
      <c r="I470">
        <v>15524422596</v>
      </c>
      <c r="J470">
        <v>8486169181</v>
      </c>
      <c r="K470">
        <v>9240900475</v>
      </c>
      <c r="L470">
        <v>6147273563</v>
      </c>
      <c r="M470">
        <v>5266253308</v>
      </c>
      <c r="N470">
        <v>4101773325</v>
      </c>
      <c r="O470">
        <v>1852179169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6211479307</v>
      </c>
      <c r="G471">
        <v>5044399201</v>
      </c>
      <c r="H471">
        <v>5999473130</v>
      </c>
      <c r="I471">
        <v>5952731556</v>
      </c>
      <c r="J471">
        <v>4480807407</v>
      </c>
      <c r="K471">
        <v>3818868298</v>
      </c>
      <c r="L471">
        <v>3047862270</v>
      </c>
      <c r="M471">
        <v>2267411245</v>
      </c>
      <c r="N471">
        <v>187368267</v>
      </c>
      <c r="O471">
        <v>200024863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24714348467</v>
      </c>
      <c r="G472">
        <v>15063305602</v>
      </c>
      <c r="H472">
        <v>15368418265</v>
      </c>
      <c r="I472">
        <v>16548420800</v>
      </c>
      <c r="J472">
        <v>9615986721</v>
      </c>
      <c r="K472">
        <v>6260642262</v>
      </c>
      <c r="L472">
        <v>5324353490</v>
      </c>
      <c r="M472">
        <v>5698453614</v>
      </c>
      <c r="N472">
        <v>1607630911</v>
      </c>
      <c r="O472">
        <v>3309715434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440681919</v>
      </c>
      <c r="G473">
        <v>523199569</v>
      </c>
      <c r="H473">
        <v>604745116</v>
      </c>
      <c r="I473">
        <v>437345873</v>
      </c>
      <c r="J473">
        <v>580305227</v>
      </c>
      <c r="K473">
        <v>1115556481</v>
      </c>
      <c r="L473">
        <v>913776872</v>
      </c>
      <c r="M473">
        <v>522222853</v>
      </c>
      <c r="N473">
        <v>540063711</v>
      </c>
      <c r="O473">
        <v>553469045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43413075454</v>
      </c>
      <c r="G474">
        <v>23636828898</v>
      </c>
      <c r="H474">
        <v>21626315752</v>
      </c>
      <c r="I474">
        <v>27414041409</v>
      </c>
      <c r="J474">
        <v>24334185366</v>
      </c>
      <c r="K474">
        <v>20994471936</v>
      </c>
      <c r="L474">
        <v>18842132828</v>
      </c>
      <c r="M474">
        <v>22523120892</v>
      </c>
      <c r="N474">
        <v>23695003258</v>
      </c>
      <c r="O474">
        <v>19494638665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2967272282</v>
      </c>
      <c r="G475">
        <v>2574662085</v>
      </c>
      <c r="H475">
        <v>2262847444</v>
      </c>
      <c r="I475">
        <v>1981905432</v>
      </c>
      <c r="J475">
        <v>1721199618</v>
      </c>
      <c r="K475">
        <v>1364431061</v>
      </c>
      <c r="L475">
        <v>1379611364</v>
      </c>
      <c r="M475">
        <v>751854875</v>
      </c>
      <c r="N475">
        <v>646773784</v>
      </c>
      <c r="O475">
        <v>533672077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809210296</v>
      </c>
      <c r="G476">
        <v>658775968</v>
      </c>
      <c r="H476">
        <v>712145017</v>
      </c>
      <c r="I476">
        <v>765510475</v>
      </c>
      <c r="J476">
        <v>687611790</v>
      </c>
      <c r="K476">
        <v>638561836</v>
      </c>
      <c r="L476">
        <v>492826309</v>
      </c>
      <c r="M476">
        <v>650010363</v>
      </c>
      <c r="N476">
        <v>411075033</v>
      </c>
      <c r="O476">
        <v>327790987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4272919643</v>
      </c>
      <c r="G477">
        <v>4547425193</v>
      </c>
      <c r="H477">
        <v>5542958077</v>
      </c>
      <c r="I477">
        <v>4945259073</v>
      </c>
      <c r="J477">
        <v>3593450814</v>
      </c>
      <c r="K477">
        <v>4636638634</v>
      </c>
      <c r="L477">
        <v>3591474566</v>
      </c>
      <c r="M477">
        <v>2604078700</v>
      </c>
      <c r="N477">
        <v>2058790642</v>
      </c>
      <c r="O477">
        <v>1912809060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595984147</v>
      </c>
      <c r="G478">
        <v>624188273</v>
      </c>
      <c r="H478">
        <v>568163531</v>
      </c>
      <c r="I478">
        <v>579962325</v>
      </c>
      <c r="J478">
        <v>586472420</v>
      </c>
      <c r="K478">
        <v>625711544</v>
      </c>
      <c r="L478">
        <v>747852368</v>
      </c>
      <c r="M478">
        <v>815097532</v>
      </c>
      <c r="N478">
        <v>740297148</v>
      </c>
      <c r="O478">
        <v>665187359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17059717333</v>
      </c>
      <c r="G479">
        <v>8372512931</v>
      </c>
      <c r="H479">
        <v>9049217954</v>
      </c>
      <c r="I479">
        <v>8292924443</v>
      </c>
      <c r="J479">
        <v>6716692443</v>
      </c>
      <c r="K479">
        <v>4918322729</v>
      </c>
      <c r="L479">
        <v>4048081292</v>
      </c>
      <c r="M479">
        <v>25417929839</v>
      </c>
      <c r="N479">
        <v>26763528401</v>
      </c>
      <c r="O479">
        <v>23967193676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690318660</v>
      </c>
      <c r="G480">
        <v>528013333</v>
      </c>
      <c r="H480">
        <v>772601683</v>
      </c>
      <c r="I480">
        <v>544414393</v>
      </c>
      <c r="J480">
        <v>364399498</v>
      </c>
      <c r="K480">
        <v>453115804</v>
      </c>
      <c r="L480">
        <v>54233952</v>
      </c>
      <c r="M480">
        <v>16463270</v>
      </c>
      <c r="N480">
        <v>137248972</v>
      </c>
      <c r="O480">
        <v>88061239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13086410823</v>
      </c>
      <c r="G481">
        <v>7886736195</v>
      </c>
      <c r="H481">
        <v>8055722798</v>
      </c>
      <c r="I481">
        <v>9858062162</v>
      </c>
      <c r="J481">
        <v>7860851100</v>
      </c>
      <c r="K481">
        <v>6876699675</v>
      </c>
      <c r="L481">
        <v>7550609970</v>
      </c>
      <c r="M481">
        <v>7471855319</v>
      </c>
      <c r="N481">
        <v>7114220867</v>
      </c>
      <c r="O481">
        <v>6544348562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16254095977</v>
      </c>
      <c r="G482">
        <v>13291751743</v>
      </c>
      <c r="H482">
        <v>12075488929</v>
      </c>
      <c r="I482">
        <v>8746947500</v>
      </c>
      <c r="J482">
        <v>7654034902</v>
      </c>
      <c r="K482">
        <v>6582219912</v>
      </c>
      <c r="L482">
        <v>8676004554</v>
      </c>
      <c r="M482">
        <v>8316800131</v>
      </c>
      <c r="N482">
        <v>8481478301</v>
      </c>
      <c r="O482">
        <v>3170250427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8546469108</v>
      </c>
      <c r="G483">
        <v>8019752915</v>
      </c>
      <c r="H483">
        <v>9415263022</v>
      </c>
      <c r="I483">
        <v>589606869</v>
      </c>
      <c r="J483">
        <v>439502040</v>
      </c>
      <c r="K483">
        <v>363655065</v>
      </c>
      <c r="L483">
        <v>437175916</v>
      </c>
      <c r="M483">
        <v>458214016</v>
      </c>
      <c r="N483">
        <v>259834985</v>
      </c>
      <c r="O483">
        <v>221478403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8597950444</v>
      </c>
      <c r="G484">
        <v>8114559058</v>
      </c>
      <c r="H484">
        <v>8455469719</v>
      </c>
      <c r="I484">
        <v>7785191160</v>
      </c>
      <c r="J484">
        <v>6910952134</v>
      </c>
      <c r="K484">
        <v>6291168273</v>
      </c>
      <c r="L484">
        <v>6028918533</v>
      </c>
      <c r="M484">
        <v>4639058697</v>
      </c>
      <c r="N484">
        <v>3547490917</v>
      </c>
      <c r="O484">
        <v>1618226450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18788974425</v>
      </c>
      <c r="G485">
        <v>13123366244</v>
      </c>
      <c r="H485">
        <v>15840828183</v>
      </c>
      <c r="I485">
        <v>13425694932</v>
      </c>
      <c r="J485">
        <v>12540047533</v>
      </c>
      <c r="K485">
        <v>5812964868</v>
      </c>
      <c r="L485">
        <v>8619429786</v>
      </c>
      <c r="M485">
        <v>6766263012</v>
      </c>
      <c r="N485">
        <v>5145788689</v>
      </c>
      <c r="O485">
        <v>8501018427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11929450049</v>
      </c>
      <c r="G486">
        <v>9135404333</v>
      </c>
      <c r="H486">
        <v>10090792568</v>
      </c>
      <c r="I486">
        <v>9277542376</v>
      </c>
      <c r="J486">
        <v>7468837236</v>
      </c>
      <c r="K486">
        <v>5817487530</v>
      </c>
      <c r="L486">
        <v>6022562659</v>
      </c>
      <c r="M486">
        <v>4580067658</v>
      </c>
      <c r="N486">
        <v>5421337963</v>
      </c>
      <c r="O486">
        <v>6354352717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15060809100</v>
      </c>
      <c r="G487">
        <v>13019752800</v>
      </c>
      <c r="H487">
        <v>7656183120</v>
      </c>
      <c r="I487">
        <v>5833537370</v>
      </c>
      <c r="J487">
        <v>6568010098</v>
      </c>
      <c r="K487">
        <v>10353549204</v>
      </c>
      <c r="L487">
        <v>11387400424</v>
      </c>
      <c r="M487">
        <v>13717777984</v>
      </c>
      <c r="N487">
        <v>12070954747</v>
      </c>
      <c r="O487">
        <v>6956186431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22833905106</v>
      </c>
      <c r="G488">
        <v>19360121932</v>
      </c>
      <c r="H488">
        <v>16650927457</v>
      </c>
      <c r="I488">
        <v>17820368534</v>
      </c>
      <c r="J488">
        <v>16564768620</v>
      </c>
      <c r="K488">
        <v>12654457704</v>
      </c>
      <c r="L488">
        <v>6870610784</v>
      </c>
      <c r="M488">
        <v>4742614322</v>
      </c>
      <c r="N488">
        <v>3881017405</v>
      </c>
      <c r="O488">
        <v>2960452300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141553852062</v>
      </c>
      <c r="G489">
        <v>143816633662</v>
      </c>
      <c r="H489">
        <v>140933287616</v>
      </c>
      <c r="I489">
        <v>99473954265</v>
      </c>
      <c r="J489">
        <v>63069809560</v>
      </c>
      <c r="K489">
        <v>47316623294</v>
      </c>
      <c r="L489">
        <v>45125122552</v>
      </c>
      <c r="M489">
        <v>58865474391</v>
      </c>
      <c r="N489">
        <v>49328157754</v>
      </c>
      <c r="O489">
        <v>43679460876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3055568077</v>
      </c>
      <c r="G490">
        <v>3750109224</v>
      </c>
      <c r="H490">
        <v>3923400092</v>
      </c>
      <c r="I490">
        <v>3880888365</v>
      </c>
      <c r="J490">
        <v>3575361161</v>
      </c>
      <c r="K490">
        <v>3016986147</v>
      </c>
      <c r="L490">
        <v>2804240669</v>
      </c>
      <c r="M490">
        <v>3144270654</v>
      </c>
      <c r="N490">
        <v>2724765494</v>
      </c>
      <c r="O490">
        <v>2541529161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8761515587</v>
      </c>
      <c r="G491">
        <v>7662638379</v>
      </c>
      <c r="H491">
        <v>7005858539</v>
      </c>
      <c r="I491">
        <v>8593782492</v>
      </c>
      <c r="J491">
        <v>8004024175</v>
      </c>
      <c r="K491">
        <v>6740530359</v>
      </c>
      <c r="L491">
        <v>5750920134</v>
      </c>
      <c r="M491">
        <v>4793934296</v>
      </c>
      <c r="N491">
        <v>3473676016</v>
      </c>
      <c r="O491">
        <v>2398143940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4769183149</v>
      </c>
      <c r="G492">
        <v>4746118476</v>
      </c>
      <c r="H492">
        <v>5284967587</v>
      </c>
      <c r="I492">
        <v>4696115581</v>
      </c>
      <c r="J492">
        <v>3384131165</v>
      </c>
      <c r="K492">
        <v>2827295924</v>
      </c>
      <c r="L492">
        <v>2317495227</v>
      </c>
      <c r="M492">
        <v>2516853580</v>
      </c>
      <c r="N492">
        <v>2601676247</v>
      </c>
      <c r="O492">
        <v>2448719236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672771045</v>
      </c>
      <c r="G493">
        <v>770543124</v>
      </c>
      <c r="H493">
        <v>1039333320</v>
      </c>
      <c r="I493">
        <v>1099655053</v>
      </c>
      <c r="J493">
        <v>1066950782</v>
      </c>
      <c r="K493">
        <v>965414479</v>
      </c>
      <c r="L493">
        <v>791772222</v>
      </c>
      <c r="M493">
        <v>917605821</v>
      </c>
      <c r="N493">
        <v>878185342</v>
      </c>
      <c r="O493">
        <v>826956998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3984613618</v>
      </c>
      <c r="G494">
        <v>3855833842</v>
      </c>
      <c r="H494">
        <v>6422755171</v>
      </c>
      <c r="I494">
        <v>4054420953</v>
      </c>
      <c r="J494">
        <v>2309478630</v>
      </c>
      <c r="K494">
        <v>1910338272</v>
      </c>
      <c r="L494">
        <v>1603090052</v>
      </c>
      <c r="M494">
        <v>1279095799</v>
      </c>
      <c r="N494">
        <v>1388478058</v>
      </c>
      <c r="O494">
        <v>1783993642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873826393</v>
      </c>
      <c r="G495">
        <v>656450625</v>
      </c>
      <c r="H495">
        <v>686311842</v>
      </c>
      <c r="I495">
        <v>687621904</v>
      </c>
      <c r="J495">
        <v>457144972</v>
      </c>
      <c r="K495">
        <v>419864159</v>
      </c>
      <c r="L495">
        <v>469554814</v>
      </c>
      <c r="M495">
        <v>464091322</v>
      </c>
      <c r="N495">
        <v>413154562</v>
      </c>
      <c r="O495">
        <v>558894059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202085190</v>
      </c>
      <c r="G496">
        <v>45323954</v>
      </c>
      <c r="H496">
        <v>283232183</v>
      </c>
      <c r="I496">
        <v>309338275</v>
      </c>
      <c r="J496">
        <v>319174484</v>
      </c>
      <c r="K496">
        <v>284200874</v>
      </c>
      <c r="L496">
        <v>282912105</v>
      </c>
      <c r="M496">
        <v>261919987</v>
      </c>
      <c r="N496">
        <v>219453130</v>
      </c>
      <c r="O496">
        <v>177545762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2835478561</v>
      </c>
      <c r="G497">
        <v>2794508539</v>
      </c>
      <c r="H497">
        <v>2717070788</v>
      </c>
      <c r="I497">
        <v>2881660480</v>
      </c>
      <c r="J497">
        <v>3259602402</v>
      </c>
      <c r="K497">
        <v>2897073022</v>
      </c>
      <c r="L497">
        <v>2688536713</v>
      </c>
      <c r="M497">
        <v>2620518986</v>
      </c>
      <c r="N497">
        <v>2186375479</v>
      </c>
      <c r="O497">
        <v>1611424037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8424905650</v>
      </c>
      <c r="G498">
        <v>4393594872</v>
      </c>
      <c r="H498">
        <v>4433063113</v>
      </c>
      <c r="I498">
        <v>11271327080</v>
      </c>
      <c r="J498">
        <v>9793930968</v>
      </c>
      <c r="K498">
        <v>11094371027</v>
      </c>
      <c r="L498">
        <v>5579307723</v>
      </c>
      <c r="M498">
        <v>6051938988</v>
      </c>
      <c r="N498">
        <v>6245316496</v>
      </c>
      <c r="O498">
        <v>7569653309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9357193907</v>
      </c>
      <c r="G499">
        <v>5881965683</v>
      </c>
      <c r="H499">
        <v>5672756396</v>
      </c>
      <c r="I499">
        <v>6386910637</v>
      </c>
      <c r="J499">
        <v>6172585632</v>
      </c>
      <c r="K499">
        <v>5564807260</v>
      </c>
      <c r="L499">
        <v>6350532856</v>
      </c>
      <c r="M499">
        <v>6483239540</v>
      </c>
      <c r="N499">
        <v>5925571331</v>
      </c>
      <c r="O499">
        <v>4779012403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24892897119</v>
      </c>
      <c r="G500">
        <v>21309172784</v>
      </c>
      <c r="H500">
        <v>19389859152</v>
      </c>
      <c r="I500">
        <v>18190707112</v>
      </c>
      <c r="J500">
        <v>18919795847</v>
      </c>
      <c r="K500">
        <v>17724883817</v>
      </c>
      <c r="L500">
        <v>25188039402</v>
      </c>
      <c r="M500">
        <v>17479918483</v>
      </c>
      <c r="N500">
        <v>13326525127</v>
      </c>
      <c r="O500">
        <v>11234103252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3092618314</v>
      </c>
      <c r="G501">
        <v>2768178012</v>
      </c>
      <c r="H501">
        <v>2472188836</v>
      </c>
      <c r="I501">
        <v>2688790549</v>
      </c>
      <c r="J501">
        <v>2036604980</v>
      </c>
      <c r="K501">
        <v>2690987324</v>
      </c>
      <c r="L501">
        <v>2612530838</v>
      </c>
      <c r="M501">
        <v>4216785487</v>
      </c>
      <c r="N501">
        <v>7916906327</v>
      </c>
      <c r="O501">
        <v>11064113106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171618817</v>
      </c>
      <c r="G502">
        <v>140742908</v>
      </c>
      <c r="H502">
        <v>120445419</v>
      </c>
      <c r="I502">
        <v>159126242</v>
      </c>
      <c r="J502">
        <v>149923746</v>
      </c>
      <c r="K502">
        <v>176651384</v>
      </c>
      <c r="L502">
        <v>218084204</v>
      </c>
      <c r="M502">
        <v>108447296</v>
      </c>
      <c r="N502">
        <v>150373642</v>
      </c>
      <c r="O502">
        <v>205926633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28916016055</v>
      </c>
      <c r="G503">
        <v>26481923474</v>
      </c>
      <c r="H503">
        <v>27241933790</v>
      </c>
      <c r="I503">
        <v>27132042556</v>
      </c>
      <c r="J503">
        <v>25532071222</v>
      </c>
      <c r="K503">
        <v>25066932156</v>
      </c>
      <c r="L503">
        <v>26315037626</v>
      </c>
      <c r="M503">
        <v>27829722331</v>
      </c>
      <c r="N503">
        <v>26650702377</v>
      </c>
      <c r="O503">
        <v>23697653711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4073051924</v>
      </c>
      <c r="G504">
        <v>4866684970</v>
      </c>
      <c r="H504">
        <v>4625690365</v>
      </c>
      <c r="I504">
        <v>4280466361</v>
      </c>
      <c r="J504">
        <v>3949661828</v>
      </c>
      <c r="K504">
        <v>4448141903</v>
      </c>
      <c r="L504">
        <v>4316013823</v>
      </c>
      <c r="M504">
        <v>3432297494</v>
      </c>
      <c r="N504">
        <v>4128736478</v>
      </c>
      <c r="O504">
        <v>3824849907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3614974141</v>
      </c>
      <c r="G505">
        <v>3233680941</v>
      </c>
      <c r="H505">
        <v>3235994530</v>
      </c>
      <c r="I505">
        <v>3162637887</v>
      </c>
      <c r="J505">
        <v>3038104777</v>
      </c>
      <c r="K505">
        <v>2364016371</v>
      </c>
      <c r="L505">
        <v>715993590</v>
      </c>
      <c r="M505">
        <v>792109672</v>
      </c>
      <c r="N505">
        <v>887126081</v>
      </c>
      <c r="O505">
        <v>671059349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3299066272</v>
      </c>
      <c r="G506">
        <v>3495460024</v>
      </c>
      <c r="H506">
        <v>4205781720</v>
      </c>
      <c r="I506">
        <v>2474583520</v>
      </c>
      <c r="J506">
        <v>847123214</v>
      </c>
      <c r="K506">
        <v>310610572</v>
      </c>
      <c r="L506">
        <v>30104503</v>
      </c>
      <c r="M506">
        <v>49967626</v>
      </c>
      <c r="N506">
        <v>7995074</v>
      </c>
      <c r="O506">
        <v>0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506108135</v>
      </c>
      <c r="G507">
        <v>1327332801</v>
      </c>
      <c r="H507">
        <v>358383857</v>
      </c>
      <c r="I507">
        <v>371026255</v>
      </c>
      <c r="J507">
        <v>577379570</v>
      </c>
      <c r="K507">
        <v>2227006164</v>
      </c>
      <c r="L507">
        <v>436935674</v>
      </c>
      <c r="M507">
        <v>200618156</v>
      </c>
      <c r="N507">
        <v>268018991</v>
      </c>
      <c r="O507">
        <v>119801591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172855666</v>
      </c>
      <c r="G508">
        <v>69067775</v>
      </c>
      <c r="H508">
        <v>86673651</v>
      </c>
      <c r="I508">
        <v>2077330576</v>
      </c>
      <c r="J508">
        <v>2197207243</v>
      </c>
      <c r="K508">
        <v>1896549905</v>
      </c>
      <c r="L508">
        <v>1531598819</v>
      </c>
      <c r="M508">
        <v>1973427970</v>
      </c>
      <c r="N508">
        <v>1934852649</v>
      </c>
      <c r="O508">
        <v>1657005957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415162961830</v>
      </c>
      <c r="G509">
        <v>336568574155</v>
      </c>
      <c r="H509">
        <v>359806531234</v>
      </c>
      <c r="I509">
        <v>343374817465</v>
      </c>
      <c r="J509">
        <v>246394505481</v>
      </c>
      <c r="K509">
        <v>207459771515</v>
      </c>
      <c r="L509">
        <v>157393837390</v>
      </c>
      <c r="M509">
        <v>437101215</v>
      </c>
      <c r="N509">
        <v>325525847</v>
      </c>
      <c r="O509">
        <v>363686126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571420176</v>
      </c>
      <c r="G510">
        <v>896157847</v>
      </c>
      <c r="H510">
        <v>783851069</v>
      </c>
      <c r="I510">
        <v>836954295</v>
      </c>
      <c r="J510">
        <v>320043325</v>
      </c>
      <c r="K510">
        <v>182777046</v>
      </c>
      <c r="L510">
        <v>140189280</v>
      </c>
      <c r="M510">
        <v>148188442</v>
      </c>
      <c r="N510">
        <v>149577556</v>
      </c>
      <c r="O510">
        <v>149065398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4433100083</v>
      </c>
      <c r="G511">
        <v>4641576860</v>
      </c>
      <c r="H511">
        <v>5059360880</v>
      </c>
      <c r="I511">
        <v>4583234547</v>
      </c>
      <c r="J511">
        <v>3899934349</v>
      </c>
      <c r="K511">
        <v>3052735691</v>
      </c>
      <c r="L511">
        <v>2579808339</v>
      </c>
      <c r="M511">
        <v>3338436134</v>
      </c>
      <c r="N511">
        <v>3144560344</v>
      </c>
      <c r="O511">
        <v>3043003491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958190904</v>
      </c>
      <c r="G512">
        <v>685728045</v>
      </c>
      <c r="H512">
        <v>647</v>
      </c>
      <c r="I512">
        <v>1502161</v>
      </c>
      <c r="J512">
        <v>376982663</v>
      </c>
      <c r="K512">
        <v>24535382</v>
      </c>
      <c r="L512">
        <v>99781304</v>
      </c>
      <c r="M512">
        <v>94192755</v>
      </c>
      <c r="N512">
        <v>53414753</v>
      </c>
      <c r="O512">
        <v>52511568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3223314292</v>
      </c>
      <c r="G513">
        <v>2069700024</v>
      </c>
      <c r="H513">
        <v>2262730774</v>
      </c>
      <c r="I513">
        <v>2412156674</v>
      </c>
      <c r="J513">
        <v>1775145909</v>
      </c>
      <c r="K513">
        <v>3164949930</v>
      </c>
      <c r="L513">
        <v>2076576628</v>
      </c>
      <c r="M513">
        <v>2319250087</v>
      </c>
      <c r="N513">
        <v>2562328271</v>
      </c>
      <c r="O513">
        <v>2152444846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49449705712</v>
      </c>
      <c r="G514">
        <v>42916596067</v>
      </c>
      <c r="H514">
        <v>43807680707</v>
      </c>
      <c r="I514">
        <v>39169936712</v>
      </c>
      <c r="J514">
        <v>34867249804</v>
      </c>
      <c r="K514">
        <v>30140048917</v>
      </c>
      <c r="L514">
        <v>29969890616</v>
      </c>
      <c r="M514">
        <v>29433621802</v>
      </c>
      <c r="N514">
        <v>30495976890</v>
      </c>
      <c r="O514">
        <v>24086453006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1496247077</v>
      </c>
      <c r="G515">
        <v>1256489506</v>
      </c>
      <c r="H515">
        <v>1382281917</v>
      </c>
      <c r="I515">
        <v>1358397883</v>
      </c>
      <c r="J515">
        <v>1277582777</v>
      </c>
      <c r="K515">
        <v>1136733383</v>
      </c>
      <c r="L515">
        <v>926975074</v>
      </c>
      <c r="M515">
        <v>807263476</v>
      </c>
      <c r="N515">
        <v>563997841</v>
      </c>
      <c r="O515">
        <v>88330705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25306287</v>
      </c>
      <c r="H516">
        <v>1376244226</v>
      </c>
      <c r="I516">
        <v>1701571549</v>
      </c>
      <c r="J516">
        <v>1531123194</v>
      </c>
      <c r="K516">
        <v>1759591545</v>
      </c>
      <c r="L516">
        <v>1404995546</v>
      </c>
      <c r="M516">
        <v>615697469</v>
      </c>
      <c r="N516">
        <v>972773750</v>
      </c>
      <c r="O516">
        <v>854079160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32693155</v>
      </c>
      <c r="G517">
        <v>27280602</v>
      </c>
      <c r="H517">
        <v>27533106</v>
      </c>
      <c r="I517">
        <v>52358329</v>
      </c>
      <c r="J517">
        <v>38640227</v>
      </c>
      <c r="K517">
        <v>49298112</v>
      </c>
      <c r="L517">
        <v>37998400</v>
      </c>
      <c r="M517">
        <v>39382184</v>
      </c>
      <c r="N517">
        <v>306505</v>
      </c>
      <c r="O517">
        <v>23409906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547210502</v>
      </c>
      <c r="G518">
        <v>524153586</v>
      </c>
      <c r="H518">
        <v>671507911</v>
      </c>
      <c r="I518">
        <v>710112102</v>
      </c>
      <c r="J518">
        <v>830310893</v>
      </c>
      <c r="K518">
        <v>879962545</v>
      </c>
      <c r="L518">
        <v>826107612</v>
      </c>
      <c r="M518">
        <v>767539173</v>
      </c>
      <c r="N518">
        <v>832805425</v>
      </c>
      <c r="O518">
        <v>734671539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7898352300</v>
      </c>
      <c r="G519">
        <v>5887718142</v>
      </c>
      <c r="H519">
        <v>7615373246</v>
      </c>
      <c r="I519">
        <v>6712908445</v>
      </c>
      <c r="J519">
        <v>5442379252</v>
      </c>
      <c r="K519">
        <v>4743973207</v>
      </c>
      <c r="L519">
        <v>5259540153</v>
      </c>
      <c r="M519">
        <v>3755220164</v>
      </c>
      <c r="N519">
        <v>0</v>
      </c>
      <c r="O519">
        <v>10533899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3630265830</v>
      </c>
      <c r="G520">
        <v>3625683866</v>
      </c>
      <c r="H520">
        <v>5653067756</v>
      </c>
      <c r="I520">
        <v>5419658397</v>
      </c>
      <c r="J520">
        <v>5541539965</v>
      </c>
      <c r="K520">
        <v>5593141166</v>
      </c>
      <c r="L520">
        <v>5385297826</v>
      </c>
      <c r="M520">
        <v>5460142661</v>
      </c>
      <c r="N520">
        <v>5609783332</v>
      </c>
      <c r="O520">
        <v>4622070458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11134306411</v>
      </c>
      <c r="G521">
        <v>7231640161</v>
      </c>
      <c r="H521">
        <v>7408504413</v>
      </c>
      <c r="I521">
        <v>7445378945</v>
      </c>
      <c r="J521">
        <v>6742656585</v>
      </c>
      <c r="K521">
        <v>5591621940</v>
      </c>
      <c r="L521">
        <v>5384426328</v>
      </c>
      <c r="M521">
        <v>4960539990</v>
      </c>
      <c r="N521">
        <v>5091944381</v>
      </c>
      <c r="O521">
        <v>5261272612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34538138</v>
      </c>
      <c r="G522">
        <v>35696394</v>
      </c>
      <c r="H522">
        <v>41660563</v>
      </c>
      <c r="I522">
        <v>42261907</v>
      </c>
      <c r="J522">
        <v>36989337</v>
      </c>
      <c r="K522">
        <v>42354409</v>
      </c>
      <c r="L522">
        <v>37861639</v>
      </c>
      <c r="M522">
        <v>32959714</v>
      </c>
      <c r="N522">
        <v>35466101</v>
      </c>
      <c r="O522">
        <v>75329509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113685161</v>
      </c>
      <c r="G523">
        <v>111593654</v>
      </c>
      <c r="H523">
        <v>915639193</v>
      </c>
      <c r="I523">
        <v>490708669</v>
      </c>
      <c r="J523">
        <v>292519305</v>
      </c>
      <c r="K523">
        <v>285226728</v>
      </c>
      <c r="L523">
        <v>245625866</v>
      </c>
      <c r="M523">
        <v>821127912</v>
      </c>
      <c r="N523">
        <v>734357841</v>
      </c>
      <c r="O523">
        <v>578978363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5483438556</v>
      </c>
      <c r="G524">
        <v>2326784183</v>
      </c>
      <c r="H524">
        <v>3914033422</v>
      </c>
      <c r="I524">
        <v>3372654427</v>
      </c>
      <c r="J524">
        <v>1798442027</v>
      </c>
      <c r="K524">
        <v>3312800199</v>
      </c>
      <c r="L524">
        <v>1906187570</v>
      </c>
      <c r="M524">
        <v>1371083475</v>
      </c>
      <c r="N524">
        <v>1896185342</v>
      </c>
      <c r="O524">
        <v>1486994335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30950307013</v>
      </c>
      <c r="G525">
        <v>23126121490</v>
      </c>
      <c r="H525">
        <v>36942629309</v>
      </c>
      <c r="I525">
        <v>39177620071</v>
      </c>
      <c r="J525">
        <v>42001559675</v>
      </c>
      <c r="K525">
        <v>32788909027</v>
      </c>
      <c r="L525">
        <v>29613574972</v>
      </c>
      <c r="M525">
        <v>9133198503</v>
      </c>
      <c r="N525">
        <v>8624471350</v>
      </c>
      <c r="O525">
        <v>8751261168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804978195</v>
      </c>
      <c r="G526">
        <v>680856243</v>
      </c>
      <c r="H526">
        <v>712583369</v>
      </c>
      <c r="I526">
        <v>997587805</v>
      </c>
      <c r="J526">
        <v>685603072</v>
      </c>
      <c r="K526">
        <v>518958140</v>
      </c>
      <c r="L526">
        <v>605323546</v>
      </c>
      <c r="M526">
        <v>731729632</v>
      </c>
      <c r="N526">
        <v>662782076</v>
      </c>
      <c r="O526">
        <v>597446900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21101156.52</v>
      </c>
      <c r="L527">
        <v>14515273.609999999</v>
      </c>
      <c r="M527">
        <v>26068576.379999999</v>
      </c>
      <c r="N527">
        <v>9281237.5700000003</v>
      </c>
      <c r="O527">
        <v>8340036.2800000003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9033346873</v>
      </c>
      <c r="G528">
        <v>7713768370</v>
      </c>
      <c r="H528">
        <v>11039969235</v>
      </c>
      <c r="I528">
        <v>13049299904</v>
      </c>
      <c r="J528">
        <v>6437659880</v>
      </c>
      <c r="K528">
        <v>5680012891</v>
      </c>
      <c r="L528">
        <v>5189331925</v>
      </c>
      <c r="M528">
        <v>5149618566</v>
      </c>
      <c r="N528">
        <v>5053519672</v>
      </c>
      <c r="O528">
        <v>5021840101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1085382538</v>
      </c>
      <c r="G529">
        <v>1688221334</v>
      </c>
      <c r="H529">
        <v>1484437925</v>
      </c>
      <c r="I529">
        <v>2198365901</v>
      </c>
      <c r="J529">
        <v>2299115695</v>
      </c>
      <c r="K529">
        <v>2349810397</v>
      </c>
      <c r="L529">
        <v>2435143583</v>
      </c>
      <c r="M529">
        <v>2554208581</v>
      </c>
      <c r="N529">
        <v>2575302822</v>
      </c>
      <c r="O529">
        <v>2497655187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5667668599</v>
      </c>
      <c r="G530">
        <v>5374855147</v>
      </c>
      <c r="H530">
        <v>4302443186</v>
      </c>
      <c r="I530">
        <v>3819217622</v>
      </c>
      <c r="J530">
        <v>3754170890</v>
      </c>
      <c r="K530">
        <v>2714259155</v>
      </c>
      <c r="L530">
        <v>2795781797</v>
      </c>
      <c r="M530">
        <v>278908127</v>
      </c>
      <c r="N530">
        <v>277787469</v>
      </c>
      <c r="O530">
        <v>192587454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2585617215</v>
      </c>
      <c r="G531">
        <v>2859207089</v>
      </c>
      <c r="H531">
        <v>3114240540</v>
      </c>
      <c r="I531">
        <v>3508444969</v>
      </c>
      <c r="J531">
        <v>3318508808</v>
      </c>
      <c r="K531">
        <v>3413167403</v>
      </c>
      <c r="L531">
        <v>3294658556</v>
      </c>
      <c r="M531">
        <v>3460915401</v>
      </c>
      <c r="N531">
        <v>3495099638</v>
      </c>
      <c r="O531">
        <v>4211981327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47539046828.389999</v>
      </c>
      <c r="O532">
        <v>42347919250.339996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2459145297</v>
      </c>
      <c r="G533">
        <v>2677295515</v>
      </c>
      <c r="H533">
        <v>2054165833</v>
      </c>
      <c r="I533">
        <v>1410303878</v>
      </c>
      <c r="J533">
        <v>1339742504</v>
      </c>
      <c r="K533">
        <v>2185407848</v>
      </c>
      <c r="L533">
        <v>2090621509</v>
      </c>
      <c r="M533">
        <v>1823917751</v>
      </c>
      <c r="N533">
        <v>1463904024</v>
      </c>
      <c r="O533">
        <v>887206957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262752320</v>
      </c>
      <c r="H534">
        <v>728420044</v>
      </c>
      <c r="I534">
        <v>560637835</v>
      </c>
      <c r="J534">
        <v>621298054</v>
      </c>
      <c r="K534">
        <v>1997273912</v>
      </c>
      <c r="L534">
        <v>1435595438</v>
      </c>
      <c r="M534">
        <v>2581715213</v>
      </c>
      <c r="N534">
        <v>958602</v>
      </c>
      <c r="O534">
        <v>29021692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4763161118</v>
      </c>
      <c r="G535">
        <v>3993993056</v>
      </c>
      <c r="H535">
        <v>4370907305</v>
      </c>
      <c r="I535">
        <v>4222451364</v>
      </c>
      <c r="J535">
        <v>3909374080</v>
      </c>
      <c r="K535">
        <v>3932251724</v>
      </c>
      <c r="L535">
        <v>3936219600</v>
      </c>
      <c r="M535">
        <v>3031647703</v>
      </c>
      <c r="N535">
        <v>2792672062</v>
      </c>
      <c r="O535">
        <v>2710118112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340068810</v>
      </c>
      <c r="G536">
        <v>458316773</v>
      </c>
      <c r="H536">
        <v>886497427</v>
      </c>
      <c r="I536">
        <v>1348774723</v>
      </c>
      <c r="J536">
        <v>4385451130</v>
      </c>
      <c r="K536">
        <v>4175027422</v>
      </c>
      <c r="L536">
        <v>3248513965</v>
      </c>
      <c r="M536">
        <v>3491471937</v>
      </c>
      <c r="N536">
        <v>3155476463</v>
      </c>
      <c r="O536">
        <v>2710945637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8129075004</v>
      </c>
      <c r="G537">
        <v>10688618341</v>
      </c>
      <c r="H537">
        <v>10096392123</v>
      </c>
      <c r="I537">
        <v>10969005244</v>
      </c>
      <c r="J537">
        <v>15555635782</v>
      </c>
      <c r="K537">
        <v>16915728260</v>
      </c>
      <c r="L537">
        <v>14220615767</v>
      </c>
      <c r="M537">
        <v>1754373340</v>
      </c>
      <c r="N537">
        <v>1430765665</v>
      </c>
      <c r="O537">
        <v>1199488651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2823767616</v>
      </c>
      <c r="G538">
        <v>2411317925</v>
      </c>
      <c r="H538">
        <v>1592639484</v>
      </c>
      <c r="I538">
        <v>1936935730</v>
      </c>
      <c r="J538">
        <v>647555847</v>
      </c>
      <c r="K538">
        <v>603507126</v>
      </c>
      <c r="L538">
        <v>644684685</v>
      </c>
      <c r="M538">
        <v>529586745</v>
      </c>
      <c r="N538">
        <v>402065752</v>
      </c>
      <c r="O538">
        <v>1187974652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1864551860</v>
      </c>
      <c r="G539">
        <v>6446499691</v>
      </c>
      <c r="H539">
        <v>2119682621</v>
      </c>
      <c r="I539">
        <v>1562014363</v>
      </c>
      <c r="J539">
        <v>1970210193</v>
      </c>
      <c r="K539">
        <v>1722912014</v>
      </c>
      <c r="L539">
        <v>1213210902</v>
      </c>
      <c r="M539">
        <v>1249680139</v>
      </c>
      <c r="N539">
        <v>978829958</v>
      </c>
      <c r="O539">
        <v>913382785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3720595776</v>
      </c>
      <c r="G540">
        <v>2943089849</v>
      </c>
      <c r="H540">
        <v>3039709367</v>
      </c>
      <c r="I540">
        <v>3844318764</v>
      </c>
      <c r="J540">
        <v>4104204126</v>
      </c>
      <c r="K540">
        <v>1882511800</v>
      </c>
      <c r="L540">
        <v>2871506013</v>
      </c>
      <c r="M540">
        <v>1611109088</v>
      </c>
      <c r="N540">
        <v>1347236753</v>
      </c>
      <c r="O540">
        <v>1527581980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454901103</v>
      </c>
      <c r="G541">
        <v>691184390</v>
      </c>
      <c r="H541">
        <v>1017497679</v>
      </c>
      <c r="I541">
        <v>1402874731</v>
      </c>
      <c r="J541">
        <v>1075071182</v>
      </c>
      <c r="K541">
        <v>3160625429</v>
      </c>
      <c r="L541">
        <v>2089826527</v>
      </c>
      <c r="M541">
        <v>1357747568</v>
      </c>
      <c r="N541">
        <v>1220178733</v>
      </c>
      <c r="O541">
        <v>996325146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19780990174</v>
      </c>
      <c r="G542">
        <v>15338627965</v>
      </c>
      <c r="H542">
        <v>33092646465</v>
      </c>
      <c r="I542">
        <v>30181282393</v>
      </c>
      <c r="J542">
        <v>27347619675</v>
      </c>
      <c r="K542">
        <v>23658001299</v>
      </c>
      <c r="L542">
        <v>25696571731</v>
      </c>
      <c r="M542">
        <v>23648808339</v>
      </c>
      <c r="N542">
        <v>22505488087</v>
      </c>
      <c r="O542">
        <v>21302057249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2397882645</v>
      </c>
      <c r="G543">
        <v>1325564715</v>
      </c>
      <c r="H543">
        <v>1200439254</v>
      </c>
      <c r="I543">
        <v>292027960</v>
      </c>
      <c r="J543">
        <v>327241776</v>
      </c>
      <c r="K543">
        <v>238125480</v>
      </c>
      <c r="L543">
        <v>165993483</v>
      </c>
      <c r="M543">
        <v>290229664</v>
      </c>
      <c r="N543">
        <v>119250122</v>
      </c>
      <c r="O543">
        <v>187980238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2297560832</v>
      </c>
      <c r="G544">
        <v>1897702084</v>
      </c>
      <c r="H544">
        <v>1961382787</v>
      </c>
      <c r="I544">
        <v>1692149402</v>
      </c>
      <c r="J544">
        <v>1645591034</v>
      </c>
      <c r="K544">
        <v>1642611022</v>
      </c>
      <c r="L544">
        <v>1324927194</v>
      </c>
      <c r="M544">
        <v>1269668601</v>
      </c>
      <c r="N544">
        <v>1223063064</v>
      </c>
      <c r="O544">
        <v>1232526267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1209446823</v>
      </c>
      <c r="G545">
        <v>1024401730</v>
      </c>
      <c r="H545">
        <v>1073303102</v>
      </c>
      <c r="I545">
        <v>974117792</v>
      </c>
      <c r="J545">
        <v>653355265</v>
      </c>
      <c r="K545">
        <v>614147416</v>
      </c>
      <c r="L545">
        <v>541999098</v>
      </c>
      <c r="M545">
        <v>373491058</v>
      </c>
      <c r="N545">
        <v>305910302</v>
      </c>
      <c r="O545">
        <v>268994019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K546">
        <v>510000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194798960</v>
      </c>
      <c r="G547">
        <v>107197027</v>
      </c>
      <c r="H547">
        <v>16426292</v>
      </c>
      <c r="I547">
        <v>8730852</v>
      </c>
      <c r="J547">
        <v>23480817</v>
      </c>
      <c r="K547">
        <v>39658918</v>
      </c>
      <c r="L547">
        <v>72835026</v>
      </c>
      <c r="M547">
        <v>106896430</v>
      </c>
      <c r="N547">
        <v>117117829</v>
      </c>
      <c r="O547">
        <v>123062255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6453129464</v>
      </c>
      <c r="G548">
        <v>7242753353</v>
      </c>
      <c r="H548">
        <v>5620018698</v>
      </c>
      <c r="I548">
        <v>5216466175</v>
      </c>
      <c r="J548">
        <v>7903608117</v>
      </c>
      <c r="K548">
        <v>4968439248</v>
      </c>
      <c r="L548">
        <v>5916005419</v>
      </c>
      <c r="M548">
        <v>4795960678</v>
      </c>
      <c r="N548">
        <v>4262587399</v>
      </c>
      <c r="O548">
        <v>5006332072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8420817902</v>
      </c>
      <c r="G549">
        <v>2777219550</v>
      </c>
      <c r="H549">
        <v>1485151759</v>
      </c>
      <c r="I549">
        <v>4026683889</v>
      </c>
      <c r="J549">
        <v>2142705971</v>
      </c>
      <c r="K549">
        <v>4980452029</v>
      </c>
      <c r="L549">
        <v>5814325760</v>
      </c>
      <c r="M549">
        <v>4101890617</v>
      </c>
      <c r="N549">
        <v>3317147341</v>
      </c>
      <c r="O549">
        <v>3806073919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2044037594</v>
      </c>
      <c r="G550">
        <v>2075970984</v>
      </c>
      <c r="H550">
        <v>1983164324</v>
      </c>
      <c r="I550">
        <v>1766764640</v>
      </c>
      <c r="J550">
        <v>2002578468</v>
      </c>
      <c r="K550">
        <v>1870680967</v>
      </c>
      <c r="L550">
        <v>1709988537</v>
      </c>
      <c r="M550">
        <v>1732638896</v>
      </c>
      <c r="N550">
        <v>1648776942</v>
      </c>
      <c r="O550">
        <v>1650913731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3440496438</v>
      </c>
      <c r="G551">
        <v>3415739735</v>
      </c>
      <c r="H551">
        <v>2211778226</v>
      </c>
      <c r="I551">
        <v>3075126312</v>
      </c>
      <c r="J551">
        <v>2945997535</v>
      </c>
      <c r="K551">
        <v>3549254549</v>
      </c>
      <c r="L551">
        <v>1990953746</v>
      </c>
      <c r="M551">
        <v>1441680746</v>
      </c>
      <c r="N551">
        <v>1482287494</v>
      </c>
      <c r="O551">
        <v>1360674491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9804452</v>
      </c>
      <c r="G552">
        <v>5918835</v>
      </c>
      <c r="H552">
        <v>20232561</v>
      </c>
      <c r="I552">
        <v>69579042</v>
      </c>
      <c r="J552">
        <v>147423938</v>
      </c>
      <c r="K552">
        <v>183828374</v>
      </c>
      <c r="L552">
        <v>1077438304</v>
      </c>
      <c r="M552">
        <v>1067340704</v>
      </c>
      <c r="N552">
        <v>716789921</v>
      </c>
      <c r="O552">
        <v>1129527112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6308176477</v>
      </c>
      <c r="G553">
        <v>5270054322</v>
      </c>
      <c r="H553">
        <v>6722709898</v>
      </c>
      <c r="I553">
        <v>5113518517</v>
      </c>
      <c r="J553">
        <v>1764201539</v>
      </c>
      <c r="K553">
        <v>2754152886</v>
      </c>
      <c r="L553">
        <v>1381035887</v>
      </c>
      <c r="M553">
        <v>1680657034</v>
      </c>
      <c r="N553">
        <v>1599482386</v>
      </c>
      <c r="O553">
        <v>5053452969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2002934194</v>
      </c>
      <c r="G554">
        <v>1953723809</v>
      </c>
      <c r="H554">
        <v>2238833458</v>
      </c>
      <c r="I554">
        <v>2272031587</v>
      </c>
      <c r="J554">
        <v>2658211182</v>
      </c>
      <c r="K554">
        <v>1765693987</v>
      </c>
      <c r="L554">
        <v>812121583</v>
      </c>
      <c r="M554">
        <v>1034540656</v>
      </c>
      <c r="N554">
        <v>1179214881</v>
      </c>
      <c r="O554">
        <v>1248758235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35852376215</v>
      </c>
      <c r="G555">
        <v>29879605595</v>
      </c>
      <c r="H555">
        <v>30326072679</v>
      </c>
      <c r="I555">
        <v>24554911775</v>
      </c>
      <c r="J555">
        <v>15082265697</v>
      </c>
      <c r="K555">
        <v>13234682353</v>
      </c>
      <c r="L555">
        <v>15159222525</v>
      </c>
      <c r="M555">
        <v>15670146369</v>
      </c>
      <c r="N555">
        <v>22842840933</v>
      </c>
      <c r="O555">
        <v>15999275907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0</v>
      </c>
      <c r="M556">
        <v>103212029.70999999</v>
      </c>
      <c r="N556">
        <v>134541614.69</v>
      </c>
      <c r="O556">
        <v>98600710.430000007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18737789975</v>
      </c>
      <c r="G557">
        <v>12355027122</v>
      </c>
      <c r="H557">
        <v>12080609000</v>
      </c>
      <c r="I557">
        <v>16769856266</v>
      </c>
      <c r="J557">
        <v>10993434741</v>
      </c>
      <c r="K557">
        <v>10689914763</v>
      </c>
      <c r="L557">
        <v>6904547410</v>
      </c>
      <c r="M557">
        <v>3546158720</v>
      </c>
      <c r="N557">
        <v>3301605665</v>
      </c>
      <c r="O557">
        <v>2116847154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3417976491</v>
      </c>
      <c r="G558">
        <v>2827077710</v>
      </c>
      <c r="H558">
        <v>601998825</v>
      </c>
      <c r="I558">
        <v>1224682486</v>
      </c>
      <c r="J558">
        <v>863936026</v>
      </c>
      <c r="K558">
        <v>804308215</v>
      </c>
      <c r="L558">
        <v>632739800</v>
      </c>
      <c r="M558">
        <v>750317700</v>
      </c>
      <c r="N558">
        <v>1368801989</v>
      </c>
      <c r="O558">
        <v>726384223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18279353061</v>
      </c>
      <c r="G559">
        <v>13982167001</v>
      </c>
      <c r="H559">
        <v>17078106101</v>
      </c>
      <c r="I559">
        <v>17928985742</v>
      </c>
      <c r="J559">
        <v>14894311643</v>
      </c>
      <c r="K559">
        <v>12449591043</v>
      </c>
      <c r="L559">
        <v>11063782245</v>
      </c>
      <c r="M559">
        <v>10394521015</v>
      </c>
      <c r="N559">
        <v>9099503766</v>
      </c>
      <c r="O559">
        <v>8273452367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1144777180</v>
      </c>
      <c r="G560">
        <v>1394788205</v>
      </c>
      <c r="H560">
        <v>1662351082</v>
      </c>
      <c r="I560">
        <v>1757362389</v>
      </c>
      <c r="J560">
        <v>1441923027</v>
      </c>
      <c r="K560">
        <v>1234202422</v>
      </c>
      <c r="L560">
        <v>979345713</v>
      </c>
      <c r="M560">
        <v>1026523529</v>
      </c>
      <c r="N560">
        <v>456772333</v>
      </c>
      <c r="O560">
        <v>453117638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9000912901</v>
      </c>
      <c r="G561">
        <v>2028234382</v>
      </c>
      <c r="H561">
        <v>2915883846</v>
      </c>
      <c r="I561">
        <v>3201764208</v>
      </c>
      <c r="J561">
        <v>3153158470</v>
      </c>
      <c r="K561">
        <v>3993734600</v>
      </c>
      <c r="L561">
        <v>3765549798</v>
      </c>
      <c r="M561">
        <v>3616701552</v>
      </c>
      <c r="N561">
        <v>3654444874</v>
      </c>
      <c r="O561">
        <v>2900882286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9532800317</v>
      </c>
      <c r="G562">
        <v>6656076933</v>
      </c>
      <c r="H562">
        <v>6098146469</v>
      </c>
      <c r="I562">
        <v>9222348640</v>
      </c>
      <c r="J562">
        <v>4070510154</v>
      </c>
      <c r="K562">
        <v>7892264612</v>
      </c>
      <c r="L562">
        <v>6463558649</v>
      </c>
      <c r="M562">
        <v>3814057481</v>
      </c>
      <c r="N562">
        <v>3641504965</v>
      </c>
      <c r="O562">
        <v>5298891285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8799611622</v>
      </c>
      <c r="G563">
        <v>8307853812</v>
      </c>
      <c r="H563">
        <v>8277918515</v>
      </c>
      <c r="I563">
        <v>7977578253</v>
      </c>
      <c r="J563">
        <v>8669816566</v>
      </c>
      <c r="K563">
        <v>11012178987</v>
      </c>
      <c r="L563">
        <v>10645643535</v>
      </c>
      <c r="M563">
        <v>11478518094</v>
      </c>
      <c r="N563">
        <v>11612494092</v>
      </c>
      <c r="O563">
        <v>11480880166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8128371725</v>
      </c>
      <c r="G564">
        <v>7039929702</v>
      </c>
      <c r="H564">
        <v>3634502487</v>
      </c>
      <c r="I564">
        <v>4969569797</v>
      </c>
      <c r="J564">
        <v>3814697396</v>
      </c>
      <c r="K564">
        <v>3976561288</v>
      </c>
      <c r="L564">
        <v>2022763610</v>
      </c>
      <c r="M564">
        <v>1805970594</v>
      </c>
      <c r="N564">
        <v>1280451309</v>
      </c>
      <c r="O564">
        <v>1307142540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368079903</v>
      </c>
      <c r="G565">
        <v>210543282</v>
      </c>
      <c r="H565">
        <v>431229273</v>
      </c>
      <c r="I565">
        <v>626488032</v>
      </c>
      <c r="J565">
        <v>675003261</v>
      </c>
      <c r="K565">
        <v>332273866</v>
      </c>
      <c r="L565">
        <v>426974393</v>
      </c>
      <c r="M565">
        <v>816347118</v>
      </c>
      <c r="N565">
        <v>670783866</v>
      </c>
      <c r="O565">
        <v>651623344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15444650034</v>
      </c>
      <c r="G566">
        <v>12138632310</v>
      </c>
      <c r="H566">
        <v>12174130629</v>
      </c>
      <c r="I566">
        <v>10610819816</v>
      </c>
      <c r="J566">
        <v>8142191710</v>
      </c>
      <c r="K566">
        <v>2484215695</v>
      </c>
      <c r="L566">
        <v>2698695244</v>
      </c>
      <c r="M566">
        <v>2581611520</v>
      </c>
      <c r="N566">
        <v>2880255706</v>
      </c>
      <c r="O566">
        <v>3274567253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2629960731</v>
      </c>
      <c r="G567">
        <v>2356569568</v>
      </c>
      <c r="H567">
        <v>2640507709</v>
      </c>
      <c r="I567">
        <v>2547793931</v>
      </c>
      <c r="J567">
        <v>2241880440</v>
      </c>
      <c r="K567">
        <v>1907086407</v>
      </c>
      <c r="L567">
        <v>1744382248</v>
      </c>
      <c r="M567">
        <v>1817968821</v>
      </c>
      <c r="N567">
        <v>1676795449</v>
      </c>
      <c r="O567">
        <v>1308875313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0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4192000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86436163</v>
      </c>
      <c r="G570">
        <v>151345623</v>
      </c>
      <c r="H570">
        <v>212901551</v>
      </c>
      <c r="I570">
        <v>238172599</v>
      </c>
      <c r="J570">
        <v>73007949</v>
      </c>
      <c r="K570">
        <v>62425289</v>
      </c>
      <c r="L570">
        <v>66355834</v>
      </c>
      <c r="M570">
        <v>93631544</v>
      </c>
      <c r="N570">
        <v>163068902</v>
      </c>
      <c r="O570">
        <v>153756851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195699389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8498415614</v>
      </c>
      <c r="G572">
        <v>9399649877</v>
      </c>
      <c r="H572">
        <v>10791190128</v>
      </c>
      <c r="I572">
        <v>7328047915</v>
      </c>
      <c r="J572">
        <v>4190120685</v>
      </c>
      <c r="K572">
        <v>4002480274</v>
      </c>
      <c r="L572">
        <v>3861917822</v>
      </c>
      <c r="M572">
        <v>3331881294</v>
      </c>
      <c r="N572">
        <v>2913410649</v>
      </c>
      <c r="O572">
        <v>3212804241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895140845</v>
      </c>
      <c r="G573">
        <v>604921909</v>
      </c>
      <c r="H573">
        <v>664797675</v>
      </c>
      <c r="I573">
        <v>714923198</v>
      </c>
      <c r="J573">
        <v>814756415</v>
      </c>
      <c r="K573">
        <v>645716364</v>
      </c>
      <c r="L573">
        <v>852005695</v>
      </c>
      <c r="M573">
        <v>825627619</v>
      </c>
      <c r="N573">
        <v>901125542</v>
      </c>
      <c r="O573">
        <v>877715751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3648910769</v>
      </c>
      <c r="G574">
        <v>7104504473</v>
      </c>
      <c r="H574">
        <v>6508856033</v>
      </c>
      <c r="I574">
        <v>6001913531</v>
      </c>
      <c r="J574">
        <v>6464570530</v>
      </c>
      <c r="K574">
        <v>10126287140</v>
      </c>
      <c r="L574">
        <v>6994826957</v>
      </c>
      <c r="M574">
        <v>3154716900</v>
      </c>
      <c r="N574">
        <v>4562876671</v>
      </c>
      <c r="O574">
        <v>3647070605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6061309747</v>
      </c>
      <c r="G575">
        <v>6143522437</v>
      </c>
      <c r="H575">
        <v>6558951062</v>
      </c>
      <c r="I575">
        <v>7457289193</v>
      </c>
      <c r="J575">
        <v>7287233917</v>
      </c>
      <c r="K575">
        <v>7036267680</v>
      </c>
      <c r="L575">
        <v>7375988927</v>
      </c>
      <c r="M575">
        <v>7136248374</v>
      </c>
      <c r="N575">
        <v>6914960055</v>
      </c>
      <c r="O575">
        <v>6181409541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2252101511</v>
      </c>
      <c r="H576">
        <v>4203778756</v>
      </c>
      <c r="I576">
        <v>7887843618</v>
      </c>
      <c r="J576">
        <v>8606287908</v>
      </c>
      <c r="K576">
        <v>8546613279</v>
      </c>
      <c r="L576">
        <v>3483388129</v>
      </c>
      <c r="M576">
        <v>5242945340</v>
      </c>
      <c r="N576">
        <v>6811112302</v>
      </c>
      <c r="O576">
        <v>6973362152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178042504</v>
      </c>
      <c r="G577">
        <v>97837572</v>
      </c>
      <c r="H577">
        <v>201978955</v>
      </c>
      <c r="I577">
        <v>296742947</v>
      </c>
      <c r="J577">
        <v>83523207</v>
      </c>
      <c r="K577">
        <v>41149167</v>
      </c>
      <c r="L577">
        <v>29604561</v>
      </c>
      <c r="M577">
        <v>38031225</v>
      </c>
      <c r="N577">
        <v>23566645</v>
      </c>
      <c r="O577">
        <v>2196014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1546715105</v>
      </c>
      <c r="G578">
        <v>1055250427</v>
      </c>
      <c r="H578">
        <v>836071767</v>
      </c>
      <c r="I578">
        <v>648522357</v>
      </c>
      <c r="J578">
        <v>1171003101</v>
      </c>
      <c r="K578">
        <v>433430400</v>
      </c>
      <c r="L578">
        <v>442347414</v>
      </c>
      <c r="M578">
        <v>480675506</v>
      </c>
      <c r="N578">
        <v>0</v>
      </c>
      <c r="O578">
        <v>606068050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273771782</v>
      </c>
      <c r="I579">
        <v>243023423</v>
      </c>
      <c r="J579">
        <v>528410965</v>
      </c>
      <c r="K579">
        <v>613888220.38</v>
      </c>
      <c r="L579">
        <v>823945955.53999996</v>
      </c>
      <c r="M579">
        <v>988142234.09000003</v>
      </c>
      <c r="N579">
        <v>1110780949.3299999</v>
      </c>
      <c r="O579">
        <v>950479392.51999998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3161200172</v>
      </c>
      <c r="G580">
        <v>2867757423</v>
      </c>
      <c r="H580">
        <v>3189273309</v>
      </c>
      <c r="I580">
        <v>2952481186</v>
      </c>
      <c r="J580">
        <v>1766818948</v>
      </c>
      <c r="K580">
        <v>1102867098</v>
      </c>
      <c r="L580">
        <v>16642474</v>
      </c>
      <c r="M580">
        <v>43548963</v>
      </c>
      <c r="N580">
        <v>44735501</v>
      </c>
      <c r="O580">
        <v>53763412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6158297708</v>
      </c>
      <c r="G581">
        <v>5741468604</v>
      </c>
      <c r="H581">
        <v>6343215340</v>
      </c>
      <c r="I581">
        <v>10236830003</v>
      </c>
      <c r="J581">
        <v>12196197926</v>
      </c>
      <c r="K581">
        <v>14324860176</v>
      </c>
      <c r="L581">
        <v>12963657707</v>
      </c>
      <c r="M581">
        <v>2550853427</v>
      </c>
      <c r="N581">
        <v>2432808639</v>
      </c>
      <c r="O581">
        <v>2328099938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9226524784</v>
      </c>
      <c r="G582">
        <v>7905026568</v>
      </c>
      <c r="H582">
        <v>4304878734</v>
      </c>
      <c r="I582">
        <v>3713409429</v>
      </c>
      <c r="J582">
        <v>2346131560</v>
      </c>
      <c r="K582">
        <v>5149495837</v>
      </c>
      <c r="L582">
        <v>6300542145</v>
      </c>
      <c r="M582">
        <v>4006483414</v>
      </c>
      <c r="N582">
        <v>861924197</v>
      </c>
      <c r="O582">
        <v>835348889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3506367451</v>
      </c>
      <c r="G583">
        <v>2044063909</v>
      </c>
      <c r="H583">
        <v>2049051100</v>
      </c>
      <c r="I583">
        <v>2055938577</v>
      </c>
      <c r="J583">
        <v>2389468957</v>
      </c>
      <c r="K583">
        <v>2940593288</v>
      </c>
      <c r="L583">
        <v>1606762274</v>
      </c>
      <c r="M583">
        <v>915708474</v>
      </c>
      <c r="N583">
        <v>1686542548</v>
      </c>
      <c r="O583">
        <v>1333292321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8971729350</v>
      </c>
      <c r="G584">
        <v>7004157325</v>
      </c>
      <c r="H584">
        <v>10611856810</v>
      </c>
      <c r="I584">
        <v>11019232898</v>
      </c>
      <c r="J584">
        <v>13004523414</v>
      </c>
      <c r="K584">
        <v>12740723084</v>
      </c>
      <c r="L584">
        <v>13679023602</v>
      </c>
      <c r="M584">
        <v>4867604254</v>
      </c>
      <c r="N584">
        <v>3801307239</v>
      </c>
      <c r="O584">
        <v>4585000076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11785056680</v>
      </c>
      <c r="G585">
        <v>11035154109</v>
      </c>
      <c r="H585">
        <v>13109582383</v>
      </c>
      <c r="I585">
        <v>12641859756</v>
      </c>
      <c r="J585">
        <v>11826251811</v>
      </c>
      <c r="K585">
        <v>12090129246</v>
      </c>
      <c r="L585">
        <v>15284678962</v>
      </c>
      <c r="M585">
        <v>11762452991</v>
      </c>
      <c r="N585">
        <v>12154459870</v>
      </c>
      <c r="O585">
        <v>12211347108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417353822</v>
      </c>
      <c r="H586">
        <v>1816549240</v>
      </c>
      <c r="I586">
        <v>7937270437</v>
      </c>
      <c r="J586">
        <v>6393585255</v>
      </c>
      <c r="K586">
        <v>8781199640</v>
      </c>
      <c r="L586">
        <v>7018898160</v>
      </c>
      <c r="M586">
        <v>2185324384</v>
      </c>
      <c r="N586">
        <v>525041200</v>
      </c>
      <c r="O586">
        <v>1332486025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65528288000</v>
      </c>
      <c r="G587">
        <v>59664017000</v>
      </c>
      <c r="H587">
        <v>82838287000</v>
      </c>
      <c r="I587">
        <v>88657753000</v>
      </c>
      <c r="J587">
        <v>75576811000</v>
      </c>
      <c r="K587">
        <v>61971130000</v>
      </c>
      <c r="L587">
        <v>69523781000</v>
      </c>
      <c r="M587">
        <v>90370477000</v>
      </c>
      <c r="N587">
        <v>98939697000</v>
      </c>
      <c r="O587">
        <v>82064595000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933331467</v>
      </c>
      <c r="G588">
        <v>912613200</v>
      </c>
      <c r="H588">
        <v>981398282</v>
      </c>
      <c r="I588">
        <v>990954687</v>
      </c>
      <c r="J588">
        <v>943944812</v>
      </c>
      <c r="K588">
        <v>766672081</v>
      </c>
      <c r="L588">
        <v>823150382</v>
      </c>
      <c r="M588">
        <v>991464363</v>
      </c>
      <c r="N588">
        <v>1209661797</v>
      </c>
      <c r="O588">
        <v>1819625396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173651240499</v>
      </c>
      <c r="G589">
        <v>147291023851</v>
      </c>
      <c r="H589">
        <v>147718346195</v>
      </c>
      <c r="I589">
        <v>136356353258</v>
      </c>
      <c r="J589">
        <v>139498787397</v>
      </c>
      <c r="K589">
        <v>90002652626</v>
      </c>
      <c r="L589">
        <v>69964673788</v>
      </c>
      <c r="M589">
        <v>68801956688</v>
      </c>
      <c r="N589">
        <v>58594550180</v>
      </c>
      <c r="O589">
        <v>44025121715</v>
      </c>
      <c r="P589">
        <v>41083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12508645996</v>
      </c>
      <c r="G590">
        <v>12517003839</v>
      </c>
      <c r="H590">
        <v>14437604871</v>
      </c>
      <c r="I590">
        <v>16532612860</v>
      </c>
      <c r="J590">
        <v>17685323163</v>
      </c>
      <c r="K590">
        <v>13874187936</v>
      </c>
      <c r="L590">
        <v>13834129144</v>
      </c>
      <c r="M590">
        <v>14107986248</v>
      </c>
      <c r="N590">
        <v>21348322113</v>
      </c>
      <c r="O590">
        <v>16325164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1134631463</v>
      </c>
      <c r="G591">
        <v>986925481</v>
      </c>
      <c r="H591">
        <v>427995310</v>
      </c>
      <c r="I591">
        <v>295516374</v>
      </c>
      <c r="J591">
        <v>508959347</v>
      </c>
      <c r="K591">
        <v>829511200</v>
      </c>
      <c r="L591">
        <v>908860355</v>
      </c>
      <c r="M591">
        <v>165583424</v>
      </c>
      <c r="N591">
        <v>352584370</v>
      </c>
      <c r="O591">
        <v>198289875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1437061278</v>
      </c>
      <c r="G592">
        <v>1287216876</v>
      </c>
      <c r="H592">
        <v>2991905567</v>
      </c>
      <c r="I592">
        <v>2262052556</v>
      </c>
      <c r="J592">
        <v>3022242019</v>
      </c>
      <c r="K592">
        <v>1918849943</v>
      </c>
      <c r="L592">
        <v>1605271527</v>
      </c>
      <c r="M592">
        <v>1330311787</v>
      </c>
      <c r="N592">
        <v>1615515500</v>
      </c>
      <c r="O592">
        <v>1642075020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13002475165</v>
      </c>
      <c r="G593">
        <v>12039234121</v>
      </c>
      <c r="H593">
        <v>16873540942</v>
      </c>
      <c r="I593">
        <v>19085775752</v>
      </c>
      <c r="J593">
        <v>21507880542</v>
      </c>
      <c r="K593">
        <v>22680676386</v>
      </c>
      <c r="L593">
        <v>25213777428</v>
      </c>
      <c r="M593">
        <v>26440373855</v>
      </c>
      <c r="N593">
        <v>27614396095</v>
      </c>
      <c r="O593">
        <v>26197235723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44723746</v>
      </c>
      <c r="G594">
        <v>8629623</v>
      </c>
      <c r="H594">
        <v>21862606</v>
      </c>
      <c r="I594">
        <v>28410010</v>
      </c>
      <c r="J594">
        <v>26305424</v>
      </c>
      <c r="K594">
        <v>30798013</v>
      </c>
      <c r="L594">
        <v>217634252</v>
      </c>
      <c r="M594">
        <v>168078437</v>
      </c>
      <c r="N594">
        <v>212039276</v>
      </c>
      <c r="O594">
        <v>247021621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667039314</v>
      </c>
      <c r="G595">
        <v>148411931</v>
      </c>
      <c r="H595">
        <v>108271792</v>
      </c>
      <c r="I595">
        <v>478023495</v>
      </c>
      <c r="J595">
        <v>173353467</v>
      </c>
      <c r="K595">
        <v>121818752</v>
      </c>
      <c r="L595">
        <v>9250815</v>
      </c>
      <c r="M595">
        <v>183681829</v>
      </c>
      <c r="N595">
        <v>197475446</v>
      </c>
      <c r="O595">
        <v>184169968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12892956789</v>
      </c>
      <c r="G596">
        <v>12741290109</v>
      </c>
      <c r="H596">
        <v>13321271477</v>
      </c>
      <c r="I596">
        <v>13140412482</v>
      </c>
      <c r="J596">
        <v>11716985471</v>
      </c>
      <c r="K596">
        <v>10804704821</v>
      </c>
      <c r="L596">
        <v>10170005914</v>
      </c>
      <c r="M596">
        <v>9333359169</v>
      </c>
      <c r="N596">
        <v>8428355495</v>
      </c>
      <c r="O596">
        <v>6635750013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235497416</v>
      </c>
      <c r="G597">
        <v>188610109</v>
      </c>
      <c r="H597">
        <v>159900879</v>
      </c>
      <c r="I597">
        <v>369773827</v>
      </c>
      <c r="J597">
        <v>307723947</v>
      </c>
      <c r="K597">
        <v>227072571</v>
      </c>
      <c r="L597">
        <v>291969986</v>
      </c>
      <c r="M597">
        <v>272380129</v>
      </c>
      <c r="N597">
        <v>285047371</v>
      </c>
      <c r="O597">
        <v>700178915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37100608358</v>
      </c>
      <c r="G598">
        <v>37378707370</v>
      </c>
      <c r="H598">
        <v>47494028938</v>
      </c>
      <c r="I598">
        <v>42624868114</v>
      </c>
      <c r="J598">
        <v>20734532911</v>
      </c>
      <c r="K598">
        <v>11821427285</v>
      </c>
      <c r="L598">
        <v>5956926808</v>
      </c>
      <c r="M598">
        <v>4921702631</v>
      </c>
      <c r="N598">
        <v>3958307237</v>
      </c>
      <c r="O598">
        <v>907035837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2556505</v>
      </c>
      <c r="L599">
        <v>2954905</v>
      </c>
      <c r="M599">
        <v>2895864</v>
      </c>
      <c r="N599">
        <v>2857230</v>
      </c>
      <c r="O599">
        <v>2422009.92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377591898</v>
      </c>
      <c r="H600">
        <v>429968399</v>
      </c>
      <c r="I600">
        <v>884121420</v>
      </c>
      <c r="J600">
        <v>2624593671</v>
      </c>
      <c r="K600">
        <v>751229288</v>
      </c>
      <c r="L600">
        <v>536489820</v>
      </c>
      <c r="M600">
        <v>610815931</v>
      </c>
      <c r="N600">
        <v>509890352</v>
      </c>
      <c r="O600">
        <v>564778677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4330913086</v>
      </c>
      <c r="G601">
        <v>2003809109</v>
      </c>
      <c r="H601">
        <v>2124404745</v>
      </c>
      <c r="I601">
        <v>2052462732</v>
      </c>
      <c r="J601">
        <v>1425942503</v>
      </c>
      <c r="K601">
        <v>1078830184</v>
      </c>
      <c r="L601">
        <v>947447181</v>
      </c>
      <c r="M601">
        <v>1078814969</v>
      </c>
      <c r="N601">
        <v>1474532115</v>
      </c>
      <c r="O601">
        <v>1430126892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6523787376</v>
      </c>
      <c r="G602">
        <v>5452642162</v>
      </c>
      <c r="H602">
        <v>5535505277</v>
      </c>
      <c r="I602">
        <v>5113511763</v>
      </c>
      <c r="J602">
        <v>4448882520</v>
      </c>
      <c r="K602">
        <v>2950806167</v>
      </c>
      <c r="L602">
        <v>2833240412</v>
      </c>
      <c r="M602">
        <v>2147157433</v>
      </c>
      <c r="N602">
        <v>1766721020</v>
      </c>
      <c r="O602">
        <v>1178398052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491501900381</v>
      </c>
      <c r="G603">
        <v>335850371224</v>
      </c>
      <c r="H603">
        <v>295913407607</v>
      </c>
      <c r="I603">
        <v>254451380784</v>
      </c>
      <c r="J603">
        <v>229490374444</v>
      </c>
      <c r="K603">
        <v>161988689223</v>
      </c>
      <c r="L603">
        <v>148940517235</v>
      </c>
      <c r="M603">
        <v>32891562538</v>
      </c>
      <c r="N603">
        <v>31897824038</v>
      </c>
      <c r="O603">
        <v>32397086259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44704109528</v>
      </c>
      <c r="G604">
        <v>38932470997</v>
      </c>
      <c r="H604">
        <v>43554444936</v>
      </c>
      <c r="I604">
        <v>25582252374</v>
      </c>
      <c r="J604">
        <v>20846845436</v>
      </c>
      <c r="K604">
        <v>14512749766</v>
      </c>
      <c r="L604">
        <v>9872458754</v>
      </c>
      <c r="M604">
        <v>8201151685</v>
      </c>
      <c r="N604">
        <v>5433057531</v>
      </c>
      <c r="O604">
        <v>4834113484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867795011</v>
      </c>
      <c r="G605">
        <v>603034213</v>
      </c>
      <c r="H605">
        <v>1067459701</v>
      </c>
      <c r="I605">
        <v>996545500</v>
      </c>
      <c r="J605">
        <v>795031484</v>
      </c>
      <c r="K605">
        <v>635448979</v>
      </c>
      <c r="L605">
        <v>673143838</v>
      </c>
      <c r="M605">
        <v>658678604</v>
      </c>
      <c r="N605">
        <v>767970543</v>
      </c>
      <c r="O605">
        <v>685457430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12154393754</v>
      </c>
      <c r="G606">
        <v>6298511910</v>
      </c>
      <c r="H606">
        <v>3775658369</v>
      </c>
      <c r="I606">
        <v>503562248</v>
      </c>
      <c r="J606">
        <v>317936912</v>
      </c>
      <c r="K606">
        <v>482528828</v>
      </c>
      <c r="L606">
        <v>270970429</v>
      </c>
      <c r="M606">
        <v>179645277</v>
      </c>
      <c r="N606">
        <v>289979406</v>
      </c>
      <c r="O606">
        <v>202553017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16212517494</v>
      </c>
      <c r="G607">
        <v>12040176688</v>
      </c>
      <c r="H607">
        <v>11056858259</v>
      </c>
      <c r="I607">
        <v>17224435093</v>
      </c>
      <c r="J607">
        <v>14030426099</v>
      </c>
      <c r="K607">
        <v>15062233488</v>
      </c>
      <c r="L607">
        <v>9231403044</v>
      </c>
      <c r="M607">
        <v>3082731385</v>
      </c>
      <c r="N607">
        <v>1859535958</v>
      </c>
      <c r="O607">
        <v>1615998446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5346880.95</v>
      </c>
      <c r="L608">
        <v>9352579.4000000004</v>
      </c>
      <c r="M608">
        <v>15588713.279999999</v>
      </c>
      <c r="N608">
        <v>17453867.77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130671384767</v>
      </c>
      <c r="G609">
        <v>79048383924</v>
      </c>
      <c r="H609">
        <v>70784172331</v>
      </c>
      <c r="I609">
        <v>66973733348</v>
      </c>
      <c r="J609">
        <v>57843843140</v>
      </c>
      <c r="K609">
        <v>493089260</v>
      </c>
      <c r="L609">
        <v>496849820</v>
      </c>
      <c r="M609">
        <v>356647674</v>
      </c>
      <c r="N609">
        <v>334842389</v>
      </c>
      <c r="O609">
        <v>615936969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45247703104</v>
      </c>
      <c r="G610">
        <v>37717257738</v>
      </c>
      <c r="H610">
        <v>27727957230</v>
      </c>
      <c r="I610">
        <v>22560732361</v>
      </c>
      <c r="J610">
        <v>14733351690</v>
      </c>
      <c r="K610">
        <v>10516666669</v>
      </c>
      <c r="L610">
        <v>5445980423</v>
      </c>
      <c r="M610">
        <v>2717400345</v>
      </c>
      <c r="N610">
        <v>692299848</v>
      </c>
      <c r="O610">
        <v>926358163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1192679428</v>
      </c>
      <c r="G611">
        <v>1088724496</v>
      </c>
      <c r="H611">
        <v>1579858256</v>
      </c>
      <c r="I611">
        <v>1865610348</v>
      </c>
      <c r="J611">
        <v>1817592276</v>
      </c>
      <c r="K611">
        <v>1843245070</v>
      </c>
      <c r="L611">
        <v>2217184246</v>
      </c>
      <c r="M611">
        <v>2121168037</v>
      </c>
      <c r="N611">
        <v>2545311672</v>
      </c>
      <c r="O611">
        <v>2210289865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32359378201</v>
      </c>
      <c r="G612">
        <v>29264727230</v>
      </c>
      <c r="H612">
        <v>27234993298</v>
      </c>
      <c r="I612">
        <v>21735766654</v>
      </c>
      <c r="J612">
        <v>16805488968</v>
      </c>
      <c r="K612">
        <v>17249144256</v>
      </c>
      <c r="L612">
        <v>16418535827</v>
      </c>
      <c r="M612">
        <v>14469285559</v>
      </c>
      <c r="N612">
        <v>10847054088</v>
      </c>
      <c r="O612">
        <v>11345706841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185846997</v>
      </c>
      <c r="G613">
        <v>69819320</v>
      </c>
      <c r="H613">
        <v>121974553</v>
      </c>
      <c r="I613">
        <v>77029684</v>
      </c>
      <c r="J613">
        <v>39812061</v>
      </c>
      <c r="K613">
        <v>83475894</v>
      </c>
      <c r="L613">
        <v>453263519</v>
      </c>
      <c r="M613">
        <v>187965832</v>
      </c>
      <c r="N613">
        <v>424139270</v>
      </c>
      <c r="O613">
        <v>416664067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589887165</v>
      </c>
      <c r="G614">
        <v>731661731</v>
      </c>
      <c r="H614">
        <v>1611063457</v>
      </c>
      <c r="I614">
        <v>1463968535</v>
      </c>
      <c r="J614">
        <v>1893650363</v>
      </c>
      <c r="K614">
        <v>1234807787</v>
      </c>
      <c r="L614">
        <v>115099738</v>
      </c>
      <c r="M614">
        <v>18872821</v>
      </c>
      <c r="N614">
        <v>15376914</v>
      </c>
      <c r="O614">
        <v>63042840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298434701</v>
      </c>
      <c r="G615">
        <v>250517896</v>
      </c>
      <c r="H615">
        <v>542528023</v>
      </c>
      <c r="I615">
        <v>1092919120</v>
      </c>
      <c r="J615">
        <v>872095215</v>
      </c>
      <c r="K615">
        <v>1622469617</v>
      </c>
      <c r="L615">
        <v>505597466</v>
      </c>
      <c r="M615">
        <v>957263236</v>
      </c>
      <c r="N615">
        <v>1153912200</v>
      </c>
      <c r="O615">
        <v>1031722535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9631177527</v>
      </c>
      <c r="G616">
        <v>8998030740</v>
      </c>
      <c r="H616">
        <v>9516726679</v>
      </c>
      <c r="I616">
        <v>9749210049</v>
      </c>
      <c r="J616">
        <v>10885825151</v>
      </c>
      <c r="K616">
        <v>9168631806</v>
      </c>
      <c r="L616">
        <v>11627894305</v>
      </c>
      <c r="M616">
        <v>13640282572</v>
      </c>
      <c r="N616">
        <v>9905453395</v>
      </c>
      <c r="O616">
        <v>9150311925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5978448446</v>
      </c>
      <c r="G617">
        <v>5092231742</v>
      </c>
      <c r="H617">
        <v>4788027046</v>
      </c>
      <c r="I617">
        <v>4336392382</v>
      </c>
      <c r="J617">
        <v>4552835177</v>
      </c>
      <c r="K617">
        <v>5173382349</v>
      </c>
      <c r="L617">
        <v>4877917387</v>
      </c>
      <c r="M617">
        <v>4887142258</v>
      </c>
      <c r="N617">
        <v>4667688641</v>
      </c>
      <c r="O617">
        <v>4389393027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191395353</v>
      </c>
      <c r="G618">
        <v>280776200</v>
      </c>
      <c r="H618">
        <v>313379793</v>
      </c>
      <c r="I618">
        <v>317414765</v>
      </c>
      <c r="J618">
        <v>328387694</v>
      </c>
      <c r="K618">
        <v>297184895</v>
      </c>
      <c r="L618">
        <v>324710850</v>
      </c>
      <c r="M618">
        <v>488993363</v>
      </c>
      <c r="N618">
        <v>353891958</v>
      </c>
      <c r="O618">
        <v>350930385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4772256055</v>
      </c>
      <c r="G619">
        <v>5115293793</v>
      </c>
      <c r="H619">
        <v>3897925636</v>
      </c>
      <c r="I619">
        <v>3012854676</v>
      </c>
      <c r="J619">
        <v>2883392455</v>
      </c>
      <c r="K619">
        <v>2809958966</v>
      </c>
      <c r="L619">
        <v>3073792113</v>
      </c>
      <c r="M619">
        <v>4286474058</v>
      </c>
      <c r="N619">
        <v>4051448630</v>
      </c>
      <c r="O619">
        <v>3070528084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163719870</v>
      </c>
      <c r="G620">
        <v>107789606</v>
      </c>
      <c r="H620">
        <v>173104307</v>
      </c>
      <c r="I620">
        <v>272418650</v>
      </c>
      <c r="J620">
        <v>305609010</v>
      </c>
      <c r="K620">
        <v>600986762</v>
      </c>
      <c r="L620">
        <v>517920480</v>
      </c>
      <c r="M620">
        <v>686226541</v>
      </c>
      <c r="N620">
        <v>930539057</v>
      </c>
      <c r="O620">
        <v>781507911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701768347</v>
      </c>
      <c r="G621">
        <v>339394228</v>
      </c>
      <c r="H621">
        <v>657144714</v>
      </c>
      <c r="I621">
        <v>559436704</v>
      </c>
      <c r="J621">
        <v>390107816</v>
      </c>
      <c r="K621">
        <v>234059388</v>
      </c>
      <c r="L621">
        <v>251759507</v>
      </c>
      <c r="M621">
        <v>676404700</v>
      </c>
      <c r="N621">
        <v>900408586</v>
      </c>
      <c r="O621">
        <v>445686948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2184962429</v>
      </c>
      <c r="H622">
        <v>8067462028</v>
      </c>
      <c r="I622">
        <v>8266266468</v>
      </c>
      <c r="J622">
        <v>8358014719</v>
      </c>
      <c r="K622">
        <v>8234213531</v>
      </c>
      <c r="L622">
        <v>9148912145</v>
      </c>
      <c r="M622">
        <v>9737098215</v>
      </c>
      <c r="N622">
        <v>9994400770</v>
      </c>
      <c r="O622">
        <v>10289668210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1739169351</v>
      </c>
      <c r="G623">
        <v>1927110093</v>
      </c>
      <c r="H623">
        <v>1953895980</v>
      </c>
      <c r="I623">
        <v>3753739627</v>
      </c>
      <c r="J623">
        <v>3964698089</v>
      </c>
      <c r="K623">
        <v>2540659756</v>
      </c>
      <c r="L623">
        <v>2434129228</v>
      </c>
      <c r="M623">
        <v>2033374977</v>
      </c>
      <c r="N623">
        <v>3323996922</v>
      </c>
      <c r="O623">
        <v>3361765119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1469049220</v>
      </c>
      <c r="G624">
        <v>964029553</v>
      </c>
      <c r="H624">
        <v>624312004</v>
      </c>
      <c r="I624">
        <v>387417049</v>
      </c>
      <c r="J624">
        <v>254851013</v>
      </c>
      <c r="K624">
        <v>1194470282</v>
      </c>
      <c r="L624">
        <v>2098132845</v>
      </c>
      <c r="M624">
        <v>4244544345</v>
      </c>
      <c r="N624">
        <v>6360570610</v>
      </c>
      <c r="O624">
        <v>4963537868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8923609548</v>
      </c>
      <c r="G625">
        <v>9420689538</v>
      </c>
      <c r="H625">
        <v>8044807205</v>
      </c>
      <c r="I625">
        <v>7153224019</v>
      </c>
      <c r="J625">
        <v>5727538592</v>
      </c>
      <c r="K625">
        <v>6618283140</v>
      </c>
      <c r="L625">
        <v>7302296498</v>
      </c>
      <c r="M625">
        <v>8106244770</v>
      </c>
      <c r="N625">
        <v>10312791855</v>
      </c>
      <c r="O625">
        <v>8766004980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2692789356</v>
      </c>
      <c r="G626">
        <v>1784699035</v>
      </c>
      <c r="H626">
        <v>887520876</v>
      </c>
      <c r="I626">
        <v>452263196</v>
      </c>
      <c r="J626">
        <v>404382262</v>
      </c>
      <c r="K626">
        <v>379437343</v>
      </c>
      <c r="L626">
        <v>473984686</v>
      </c>
      <c r="M626">
        <v>413885817</v>
      </c>
      <c r="N626">
        <v>293318056</v>
      </c>
      <c r="O626">
        <v>412424318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4398457181</v>
      </c>
      <c r="G627">
        <v>3238262767</v>
      </c>
      <c r="H627">
        <v>2658463397</v>
      </c>
      <c r="I627">
        <v>2875727484</v>
      </c>
      <c r="J627">
        <v>2541132549</v>
      </c>
      <c r="K627">
        <v>1858299321</v>
      </c>
      <c r="L627">
        <v>1506559471</v>
      </c>
      <c r="M627">
        <v>1412562889</v>
      </c>
      <c r="N627">
        <v>448710422</v>
      </c>
      <c r="O627">
        <v>488308584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25152927322</v>
      </c>
      <c r="G628">
        <v>23790697886</v>
      </c>
      <c r="H628">
        <v>26428232506</v>
      </c>
      <c r="I628">
        <v>26758017915</v>
      </c>
      <c r="J628">
        <v>25316821750</v>
      </c>
      <c r="K628">
        <v>26543358880</v>
      </c>
      <c r="L628">
        <v>24486898528</v>
      </c>
      <c r="M628">
        <v>20522027901</v>
      </c>
      <c r="N628">
        <v>20461126751</v>
      </c>
      <c r="O628">
        <v>20530637819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82531766</v>
      </c>
      <c r="G629">
        <v>81853351</v>
      </c>
      <c r="H629">
        <v>88141809</v>
      </c>
      <c r="I629">
        <v>96129246</v>
      </c>
      <c r="J629">
        <v>133380045</v>
      </c>
      <c r="K629">
        <v>1308000614</v>
      </c>
      <c r="L629">
        <v>488436525</v>
      </c>
      <c r="M629">
        <v>247834138</v>
      </c>
      <c r="N629">
        <v>696359554</v>
      </c>
      <c r="O629">
        <v>359403483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1505099218</v>
      </c>
      <c r="G630">
        <v>1534890367</v>
      </c>
      <c r="H630">
        <v>1469885719</v>
      </c>
      <c r="I630">
        <v>1051387048</v>
      </c>
      <c r="J630">
        <v>985871729</v>
      </c>
      <c r="K630">
        <v>921158460</v>
      </c>
      <c r="L630">
        <v>952777645</v>
      </c>
      <c r="M630">
        <v>919936827</v>
      </c>
      <c r="N630">
        <v>874456897</v>
      </c>
      <c r="O630">
        <v>951285676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7261369579</v>
      </c>
      <c r="G631">
        <v>3847010073</v>
      </c>
      <c r="H631">
        <v>3650836114</v>
      </c>
      <c r="I631">
        <v>24012676</v>
      </c>
      <c r="J631">
        <v>47084309</v>
      </c>
      <c r="K631">
        <v>41731911</v>
      </c>
      <c r="L631">
        <v>82854811</v>
      </c>
      <c r="M631">
        <v>41383907</v>
      </c>
      <c r="N631">
        <v>77702627</v>
      </c>
      <c r="O631">
        <v>36386349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9933122267</v>
      </c>
      <c r="G632">
        <v>5829793711</v>
      </c>
      <c r="H632">
        <v>7694765570</v>
      </c>
      <c r="I632">
        <v>4914583240</v>
      </c>
      <c r="J632">
        <v>1041720</v>
      </c>
      <c r="K632">
        <v>4964061</v>
      </c>
      <c r="L632">
        <v>5739826</v>
      </c>
      <c r="M632">
        <v>18877468</v>
      </c>
      <c r="N632">
        <v>37735636</v>
      </c>
      <c r="O632">
        <v>34929762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748963345</v>
      </c>
      <c r="G633">
        <v>675311263</v>
      </c>
      <c r="H633">
        <v>2615542772</v>
      </c>
      <c r="I633">
        <v>4513675635</v>
      </c>
      <c r="J633">
        <v>4739318286</v>
      </c>
      <c r="K633">
        <v>1017431405</v>
      </c>
      <c r="L633">
        <v>197905743</v>
      </c>
      <c r="M633">
        <v>127024478</v>
      </c>
      <c r="N633">
        <v>92865482</v>
      </c>
      <c r="O633">
        <v>38045807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1062718245</v>
      </c>
      <c r="G634">
        <v>938141759</v>
      </c>
      <c r="H634">
        <v>1097117204</v>
      </c>
      <c r="I634">
        <v>1054593903</v>
      </c>
      <c r="J634">
        <v>1071902387</v>
      </c>
      <c r="K634">
        <v>1017160367</v>
      </c>
      <c r="L634">
        <v>1055689698</v>
      </c>
      <c r="M634">
        <v>1040064261</v>
      </c>
      <c r="N634">
        <v>1234595653</v>
      </c>
      <c r="O634">
        <v>639020428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9940965269</v>
      </c>
      <c r="G635">
        <v>10262543679</v>
      </c>
      <c r="H635">
        <v>4389598631</v>
      </c>
      <c r="I635">
        <v>5137137151</v>
      </c>
      <c r="J635">
        <v>5835181338</v>
      </c>
      <c r="K635">
        <v>6367749068</v>
      </c>
      <c r="L635">
        <v>1672372549</v>
      </c>
      <c r="M635">
        <v>1792756226</v>
      </c>
      <c r="N635">
        <v>2319363768</v>
      </c>
      <c r="O635">
        <v>1412729354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22405062354</v>
      </c>
      <c r="G636">
        <v>18654886346</v>
      </c>
      <c r="H636">
        <v>14223224654</v>
      </c>
      <c r="I636">
        <v>14766585696</v>
      </c>
      <c r="J636">
        <v>14624105049</v>
      </c>
      <c r="K636">
        <v>9606016261</v>
      </c>
      <c r="L636">
        <v>8806644582</v>
      </c>
      <c r="M636">
        <v>6666717358</v>
      </c>
      <c r="N636">
        <v>8717061068</v>
      </c>
      <c r="O636">
        <v>3141093385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730964265</v>
      </c>
      <c r="G637">
        <v>647013066</v>
      </c>
      <c r="H637">
        <v>1270531598</v>
      </c>
      <c r="I637">
        <v>1345591286</v>
      </c>
      <c r="J637">
        <v>1415745837</v>
      </c>
      <c r="K637">
        <v>902730926</v>
      </c>
      <c r="L637">
        <v>898431219</v>
      </c>
      <c r="M637">
        <v>966469665</v>
      </c>
      <c r="N637">
        <v>1181608399</v>
      </c>
      <c r="O637">
        <v>1164008880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12359900249</v>
      </c>
      <c r="G638">
        <v>10929185242</v>
      </c>
      <c r="H638">
        <v>11800784346</v>
      </c>
      <c r="I638">
        <v>12136442939</v>
      </c>
      <c r="J638">
        <v>8923778074</v>
      </c>
      <c r="K638">
        <v>5696185601</v>
      </c>
      <c r="L638">
        <v>6392079502</v>
      </c>
      <c r="M638">
        <v>6528177427</v>
      </c>
      <c r="N638">
        <v>5897350061</v>
      </c>
      <c r="O638">
        <v>6273066650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8539025166</v>
      </c>
      <c r="G639">
        <v>4976575627</v>
      </c>
      <c r="H639">
        <v>5145458013</v>
      </c>
      <c r="I639">
        <v>5177878504</v>
      </c>
      <c r="J639">
        <v>4019213826</v>
      </c>
      <c r="K639">
        <v>2824719361</v>
      </c>
      <c r="L639">
        <v>2442652821</v>
      </c>
      <c r="M639">
        <v>2765595607</v>
      </c>
      <c r="N639">
        <v>3180691513</v>
      </c>
      <c r="O639">
        <v>3309559223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85294586596</v>
      </c>
      <c r="G640">
        <v>76703144188</v>
      </c>
      <c r="H640">
        <v>92899626586</v>
      </c>
      <c r="I640">
        <v>107686969267</v>
      </c>
      <c r="J640">
        <v>102153114042</v>
      </c>
      <c r="K640">
        <v>93232828975</v>
      </c>
      <c r="L640">
        <v>64978453712</v>
      </c>
      <c r="M640">
        <v>54256045942</v>
      </c>
      <c r="N640">
        <v>47251120908</v>
      </c>
      <c r="O640">
        <v>40968891878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13947963145</v>
      </c>
      <c r="G641">
        <v>10597259190</v>
      </c>
      <c r="H641">
        <v>4224945007</v>
      </c>
      <c r="I641">
        <v>4493809549</v>
      </c>
      <c r="J641">
        <v>3939953265</v>
      </c>
      <c r="K641">
        <v>3644196780</v>
      </c>
      <c r="L641">
        <v>3059606443</v>
      </c>
      <c r="M641">
        <v>2671416984</v>
      </c>
      <c r="N641">
        <v>1764171499</v>
      </c>
      <c r="O641">
        <v>1545685119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12529238087</v>
      </c>
      <c r="G642">
        <v>8458358593</v>
      </c>
      <c r="H642">
        <v>7634138090</v>
      </c>
      <c r="I642">
        <v>6930059500</v>
      </c>
      <c r="J642">
        <v>5950688810</v>
      </c>
      <c r="K642">
        <v>6468855950</v>
      </c>
      <c r="L642">
        <v>4418640012</v>
      </c>
      <c r="M642">
        <v>2911157499</v>
      </c>
      <c r="N642">
        <v>2828071978</v>
      </c>
      <c r="O642">
        <v>2884772599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6907383289</v>
      </c>
      <c r="G643">
        <v>6449564409</v>
      </c>
      <c r="H643">
        <v>7921154120</v>
      </c>
      <c r="I643">
        <v>8551987112</v>
      </c>
      <c r="J643">
        <v>5429166577</v>
      </c>
      <c r="K643">
        <v>4312520560</v>
      </c>
      <c r="L643">
        <v>6653882403</v>
      </c>
      <c r="M643">
        <v>4983361805</v>
      </c>
      <c r="N643">
        <v>6346795854</v>
      </c>
      <c r="O643">
        <v>6601490310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37990504335</v>
      </c>
      <c r="G644">
        <v>46263650735</v>
      </c>
      <c r="H644">
        <v>18428048228</v>
      </c>
      <c r="I644">
        <v>9258573076</v>
      </c>
      <c r="J644">
        <v>11511442594</v>
      </c>
      <c r="K644">
        <v>7749564781</v>
      </c>
      <c r="L644">
        <v>389440235</v>
      </c>
      <c r="M644">
        <v>672308920</v>
      </c>
      <c r="N644">
        <v>1774192301</v>
      </c>
      <c r="O644">
        <v>1116409360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4870842170</v>
      </c>
      <c r="G645">
        <v>2252882432</v>
      </c>
      <c r="H645">
        <v>257684619</v>
      </c>
      <c r="I645">
        <v>320124429</v>
      </c>
      <c r="J645">
        <v>559698935</v>
      </c>
      <c r="K645">
        <v>414268635</v>
      </c>
      <c r="L645">
        <v>401086575</v>
      </c>
      <c r="M645">
        <v>459113849</v>
      </c>
      <c r="N645">
        <v>521782000</v>
      </c>
      <c r="O645">
        <v>460299171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301262974</v>
      </c>
      <c r="I646">
        <v>1555396721</v>
      </c>
      <c r="J646">
        <v>1017315947</v>
      </c>
      <c r="K646">
        <v>1838972104</v>
      </c>
      <c r="L646">
        <v>2143035938</v>
      </c>
      <c r="M646">
        <v>499434047</v>
      </c>
      <c r="N646">
        <v>123785178</v>
      </c>
      <c r="O646">
        <v>262553492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6485817938</v>
      </c>
      <c r="G647">
        <v>5989668411</v>
      </c>
      <c r="H647">
        <v>6840126279</v>
      </c>
      <c r="I647">
        <v>5989674208</v>
      </c>
      <c r="J647">
        <v>5606077446</v>
      </c>
      <c r="K647">
        <v>7516618046</v>
      </c>
      <c r="L647">
        <v>3095265290</v>
      </c>
      <c r="M647">
        <v>1477073005</v>
      </c>
      <c r="N647">
        <v>2124509960</v>
      </c>
      <c r="O647">
        <v>2091604087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127457505</v>
      </c>
      <c r="G648">
        <v>97797551</v>
      </c>
      <c r="H648">
        <v>159256648</v>
      </c>
      <c r="I648">
        <v>139912424</v>
      </c>
      <c r="J648">
        <v>120330596</v>
      </c>
      <c r="K648">
        <v>127189846</v>
      </c>
      <c r="L648">
        <v>145478228</v>
      </c>
      <c r="M648">
        <v>130783029</v>
      </c>
      <c r="N648">
        <v>131134527</v>
      </c>
      <c r="O648">
        <v>142828115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1937184039</v>
      </c>
      <c r="G649">
        <v>2180092202</v>
      </c>
      <c r="H649">
        <v>2038881014</v>
      </c>
      <c r="I649">
        <v>1428810362</v>
      </c>
      <c r="J649">
        <v>1126302533</v>
      </c>
      <c r="K649">
        <v>1576786933</v>
      </c>
      <c r="L649">
        <v>1884627197</v>
      </c>
      <c r="M649">
        <v>1724323482</v>
      </c>
      <c r="N649">
        <v>1555137830</v>
      </c>
      <c r="O649">
        <v>1608292688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177670852000</v>
      </c>
      <c r="G650">
        <v>240747187000</v>
      </c>
      <c r="H650">
        <v>247217445000</v>
      </c>
      <c r="I650">
        <v>237486362000</v>
      </c>
      <c r="J650">
        <v>226139235000</v>
      </c>
      <c r="K650">
        <v>1607887125</v>
      </c>
      <c r="L650">
        <v>220835477</v>
      </c>
      <c r="M650">
        <v>221580965</v>
      </c>
      <c r="N650">
        <v>171132632</v>
      </c>
      <c r="O650">
        <v>87109331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L651">
        <v>0</v>
      </c>
      <c r="M651">
        <v>0</v>
      </c>
      <c r="N651">
        <v>0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1091623164</v>
      </c>
      <c r="G652">
        <v>2101884996</v>
      </c>
      <c r="H652">
        <v>740715819</v>
      </c>
      <c r="I652">
        <v>1663093876</v>
      </c>
      <c r="J652">
        <v>260908264</v>
      </c>
      <c r="K652">
        <v>29470761</v>
      </c>
      <c r="L652">
        <v>5052370</v>
      </c>
      <c r="M652">
        <v>4808301</v>
      </c>
      <c r="N652">
        <v>13569896</v>
      </c>
      <c r="O652">
        <v>1641290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8169312430</v>
      </c>
      <c r="G653">
        <v>7389437692</v>
      </c>
      <c r="H653">
        <v>11571417599</v>
      </c>
      <c r="I653">
        <v>11626120397</v>
      </c>
      <c r="J653">
        <v>10356334379</v>
      </c>
      <c r="K653">
        <v>7714748613</v>
      </c>
      <c r="L653">
        <v>4035302541</v>
      </c>
      <c r="M653">
        <v>2149237570</v>
      </c>
      <c r="N653">
        <v>1895615913</v>
      </c>
      <c r="O653">
        <v>1743666788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409916320767</v>
      </c>
      <c r="G654">
        <v>254382540397</v>
      </c>
      <c r="H654">
        <v>185814351447</v>
      </c>
      <c r="I654">
        <v>165358164130</v>
      </c>
      <c r="J654">
        <v>123970274613</v>
      </c>
      <c r="K654">
        <v>77978899657</v>
      </c>
      <c r="L654">
        <v>51007625956</v>
      </c>
      <c r="M654">
        <v>44216390908</v>
      </c>
      <c r="N654">
        <v>41986944858</v>
      </c>
      <c r="O654">
        <v>36231717742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922050241</v>
      </c>
      <c r="G655">
        <v>773369628</v>
      </c>
      <c r="H655">
        <v>750859823</v>
      </c>
      <c r="I655">
        <v>674488401</v>
      </c>
      <c r="J655">
        <v>775031966</v>
      </c>
      <c r="K655">
        <v>597877869</v>
      </c>
      <c r="L655">
        <v>643122052</v>
      </c>
      <c r="M655">
        <v>630492964</v>
      </c>
      <c r="N655">
        <v>529909064</v>
      </c>
      <c r="O655">
        <v>382740191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6121040018</v>
      </c>
      <c r="G656">
        <v>6539569309</v>
      </c>
      <c r="H656">
        <v>6830318519</v>
      </c>
      <c r="I656">
        <v>7924133141</v>
      </c>
      <c r="J656">
        <v>6881893540</v>
      </c>
      <c r="K656">
        <v>9145592055</v>
      </c>
      <c r="L656">
        <v>4222801626</v>
      </c>
      <c r="M656">
        <v>2872766370</v>
      </c>
      <c r="N656">
        <v>2337750423</v>
      </c>
      <c r="O656">
        <v>2322387114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4247623048</v>
      </c>
      <c r="G657">
        <v>4223078405</v>
      </c>
      <c r="H657">
        <v>5175370411</v>
      </c>
      <c r="I657">
        <v>5259404241</v>
      </c>
      <c r="J657">
        <v>4919709048</v>
      </c>
      <c r="K657">
        <v>4430127637</v>
      </c>
      <c r="L657">
        <v>135198397</v>
      </c>
      <c r="M657">
        <v>201054135</v>
      </c>
      <c r="N657">
        <v>188594388</v>
      </c>
      <c r="O657">
        <v>152878805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1631995863</v>
      </c>
      <c r="G658">
        <v>1349421533</v>
      </c>
      <c r="H658">
        <v>1985552935</v>
      </c>
      <c r="I658">
        <v>3055459252</v>
      </c>
      <c r="J658">
        <v>2647399734</v>
      </c>
      <c r="K658">
        <v>787387945</v>
      </c>
      <c r="L658">
        <v>918470290</v>
      </c>
      <c r="M658">
        <v>678514260</v>
      </c>
      <c r="N658">
        <v>921987341</v>
      </c>
      <c r="O658">
        <v>816761929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50351254743</v>
      </c>
      <c r="G659">
        <v>9340668677</v>
      </c>
      <c r="H659">
        <v>12865728936</v>
      </c>
      <c r="I659">
        <v>6815696254</v>
      </c>
      <c r="J659">
        <v>628301704</v>
      </c>
      <c r="K659">
        <v>689284461</v>
      </c>
      <c r="L659">
        <v>819164410</v>
      </c>
      <c r="M659">
        <v>1376739412</v>
      </c>
      <c r="N659">
        <v>1259584619</v>
      </c>
      <c r="O659">
        <v>1619328647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9093458605</v>
      </c>
      <c r="G660">
        <v>6942983341</v>
      </c>
      <c r="H660">
        <v>6134466041</v>
      </c>
      <c r="I660">
        <v>5998902096</v>
      </c>
      <c r="J660">
        <v>5103235440</v>
      </c>
      <c r="K660">
        <v>4018997527</v>
      </c>
      <c r="L660">
        <v>3677696312</v>
      </c>
      <c r="M660">
        <v>4086125897</v>
      </c>
      <c r="N660">
        <v>3840560805</v>
      </c>
      <c r="O660">
        <v>3671921013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2074798255</v>
      </c>
      <c r="G661">
        <v>1444332915</v>
      </c>
      <c r="H661">
        <v>1400714906</v>
      </c>
      <c r="I661">
        <v>1131554060</v>
      </c>
      <c r="J661">
        <v>850401821</v>
      </c>
      <c r="K661">
        <v>628548437</v>
      </c>
      <c r="L661">
        <v>554984450</v>
      </c>
      <c r="M661">
        <v>428459363</v>
      </c>
      <c r="N661">
        <v>340800341</v>
      </c>
      <c r="O661">
        <v>284220911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2967894486</v>
      </c>
      <c r="G662">
        <v>2151926935</v>
      </c>
      <c r="H662">
        <v>170309130</v>
      </c>
      <c r="I662">
        <v>113261445</v>
      </c>
      <c r="J662">
        <v>179413278</v>
      </c>
      <c r="K662">
        <v>252861996</v>
      </c>
      <c r="L662">
        <v>619023705</v>
      </c>
      <c r="M662">
        <v>630556899</v>
      </c>
      <c r="N662">
        <v>584226584</v>
      </c>
      <c r="O662">
        <v>807860449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5311922075</v>
      </c>
      <c r="G663">
        <v>3253061698</v>
      </c>
      <c r="H663">
        <v>2850285650</v>
      </c>
      <c r="I663">
        <v>2817102302</v>
      </c>
      <c r="J663">
        <v>2969984071</v>
      </c>
      <c r="K663">
        <v>3079688227</v>
      </c>
      <c r="L663">
        <v>3423082655</v>
      </c>
      <c r="M663">
        <v>2999671001</v>
      </c>
      <c r="N663">
        <v>3496376618</v>
      </c>
      <c r="O663">
        <v>2863850563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207627722</v>
      </c>
      <c r="G664">
        <v>20980665</v>
      </c>
      <c r="H664">
        <v>23089104</v>
      </c>
      <c r="I664">
        <v>4003493</v>
      </c>
      <c r="J664">
        <v>3969250</v>
      </c>
      <c r="K664">
        <v>5481008</v>
      </c>
      <c r="L664">
        <v>6077200</v>
      </c>
      <c r="M664">
        <v>14525050</v>
      </c>
      <c r="N664">
        <v>1138068</v>
      </c>
      <c r="O664">
        <v>44788437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30691840</v>
      </c>
      <c r="G665">
        <v>87343487</v>
      </c>
      <c r="H665">
        <v>132853684</v>
      </c>
      <c r="I665">
        <v>31604430</v>
      </c>
      <c r="J665">
        <v>58510473</v>
      </c>
      <c r="K665">
        <v>77431982</v>
      </c>
      <c r="L665">
        <v>49516163</v>
      </c>
      <c r="M665">
        <v>146039810</v>
      </c>
      <c r="N665">
        <v>287792113</v>
      </c>
      <c r="O665">
        <v>100728231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275774856</v>
      </c>
      <c r="G666">
        <v>359305852</v>
      </c>
      <c r="H666">
        <v>509234825</v>
      </c>
      <c r="I666">
        <v>674080684</v>
      </c>
      <c r="J666">
        <v>716965836</v>
      </c>
      <c r="K666">
        <v>620462759</v>
      </c>
      <c r="L666">
        <v>624554604</v>
      </c>
      <c r="M666">
        <v>749126350</v>
      </c>
      <c r="N666">
        <v>748988456</v>
      </c>
      <c r="O666">
        <v>875854518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27282079</v>
      </c>
      <c r="G667">
        <v>15347552</v>
      </c>
      <c r="H667">
        <v>14521491</v>
      </c>
      <c r="I667">
        <v>22581713</v>
      </c>
      <c r="J667">
        <v>58075517</v>
      </c>
      <c r="K667">
        <v>15157613</v>
      </c>
      <c r="L667">
        <v>13664524</v>
      </c>
      <c r="M667">
        <v>9207719</v>
      </c>
      <c r="N667">
        <v>4746969</v>
      </c>
      <c r="O667">
        <v>319227904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270753016</v>
      </c>
      <c r="G668">
        <v>334159454</v>
      </c>
      <c r="H668">
        <v>450120860</v>
      </c>
      <c r="I668">
        <v>314035978</v>
      </c>
      <c r="J668">
        <v>509608393</v>
      </c>
      <c r="K668">
        <v>510760279</v>
      </c>
      <c r="L668">
        <v>450847718</v>
      </c>
      <c r="M668">
        <v>355551930</v>
      </c>
      <c r="N668">
        <v>356440289</v>
      </c>
      <c r="O668">
        <v>500476820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829643332</v>
      </c>
      <c r="G669">
        <v>514857165</v>
      </c>
      <c r="H669">
        <v>677985146</v>
      </c>
      <c r="I669">
        <v>501671759</v>
      </c>
      <c r="J669">
        <v>460673854</v>
      </c>
      <c r="K669">
        <v>368599950</v>
      </c>
      <c r="L669">
        <v>231335709</v>
      </c>
      <c r="M669">
        <v>242241934</v>
      </c>
      <c r="N669">
        <v>216381603</v>
      </c>
      <c r="O669">
        <v>218658372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1675339526</v>
      </c>
      <c r="G670">
        <v>2169527842</v>
      </c>
      <c r="H670">
        <v>1414090650</v>
      </c>
      <c r="I670">
        <v>810151413</v>
      </c>
      <c r="J670">
        <v>1549580765</v>
      </c>
      <c r="K670">
        <v>415460154</v>
      </c>
      <c r="L670">
        <v>216867742</v>
      </c>
      <c r="M670">
        <v>1189318721</v>
      </c>
      <c r="N670">
        <v>500539727</v>
      </c>
      <c r="O670">
        <v>534799717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1815182850</v>
      </c>
      <c r="G671">
        <v>488991478</v>
      </c>
      <c r="H671">
        <v>904199707</v>
      </c>
      <c r="I671">
        <v>939130207</v>
      </c>
      <c r="J671">
        <v>823561206</v>
      </c>
      <c r="K671">
        <v>758671222</v>
      </c>
      <c r="L671">
        <v>810686796</v>
      </c>
      <c r="M671">
        <v>769699737</v>
      </c>
      <c r="N671">
        <v>841443872</v>
      </c>
      <c r="O671">
        <v>742621677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3617829411</v>
      </c>
      <c r="G672">
        <v>2749972244</v>
      </c>
      <c r="H672">
        <v>2950166254</v>
      </c>
      <c r="I672">
        <v>3281785739</v>
      </c>
      <c r="J672">
        <v>3332816552</v>
      </c>
      <c r="K672">
        <v>2962469009</v>
      </c>
      <c r="L672">
        <v>2928220630</v>
      </c>
      <c r="M672">
        <v>1838262194</v>
      </c>
      <c r="N672">
        <v>1567645882</v>
      </c>
      <c r="O672">
        <v>1680476810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1905898506</v>
      </c>
      <c r="G673">
        <v>1721807811</v>
      </c>
      <c r="H673">
        <v>1654850113</v>
      </c>
      <c r="I673">
        <v>1590008939</v>
      </c>
      <c r="J673">
        <v>1602360573</v>
      </c>
      <c r="K673">
        <v>1837496999</v>
      </c>
      <c r="L673">
        <v>2163153659</v>
      </c>
      <c r="M673">
        <v>2021272214</v>
      </c>
      <c r="N673">
        <v>2199042114</v>
      </c>
      <c r="O673">
        <v>1697506624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2996311586</v>
      </c>
      <c r="G674">
        <v>3844041190</v>
      </c>
      <c r="H674">
        <v>4201439115</v>
      </c>
      <c r="I674">
        <v>3434969009</v>
      </c>
      <c r="J674">
        <v>558044678</v>
      </c>
      <c r="K674">
        <v>277857470</v>
      </c>
      <c r="L674">
        <v>445643340</v>
      </c>
      <c r="M674">
        <v>403441033</v>
      </c>
      <c r="N674">
        <v>961395109</v>
      </c>
      <c r="O674">
        <v>692054192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3351166311</v>
      </c>
      <c r="G675">
        <v>3172469983</v>
      </c>
      <c r="H675">
        <v>4155849399</v>
      </c>
      <c r="I675">
        <v>4789501050</v>
      </c>
      <c r="J675">
        <v>4817192037</v>
      </c>
      <c r="K675">
        <v>4875145643</v>
      </c>
      <c r="L675">
        <v>5398150946</v>
      </c>
      <c r="M675">
        <v>5621168152</v>
      </c>
      <c r="N675">
        <v>7033360410</v>
      </c>
      <c r="O675">
        <v>5681830634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3912221518</v>
      </c>
      <c r="G676">
        <v>2385444583</v>
      </c>
      <c r="H676">
        <v>3002061606</v>
      </c>
      <c r="I676">
        <v>2280712807</v>
      </c>
      <c r="J676">
        <v>1693967308</v>
      </c>
      <c r="K676">
        <v>829201570</v>
      </c>
      <c r="L676">
        <v>612357386</v>
      </c>
      <c r="M676">
        <v>308285176</v>
      </c>
      <c r="N676">
        <v>305248180</v>
      </c>
      <c r="O676">
        <v>1185246328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6710053736</v>
      </c>
      <c r="G677">
        <v>5640170387</v>
      </c>
      <c r="H677">
        <v>5585717024</v>
      </c>
      <c r="I677">
        <v>4886606912</v>
      </c>
      <c r="J677">
        <v>4220589369</v>
      </c>
      <c r="K677">
        <v>3939660780</v>
      </c>
      <c r="L677">
        <v>4305910782</v>
      </c>
      <c r="M677">
        <v>5391978220</v>
      </c>
      <c r="N677">
        <v>5531984337</v>
      </c>
      <c r="O677">
        <v>5316457835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1364937017</v>
      </c>
      <c r="G678">
        <v>2209175846</v>
      </c>
      <c r="H678">
        <v>3719975957</v>
      </c>
      <c r="I678">
        <v>4897169125</v>
      </c>
      <c r="J678">
        <v>404184689</v>
      </c>
      <c r="K678">
        <v>337325544</v>
      </c>
      <c r="L678">
        <v>315572683</v>
      </c>
      <c r="M678">
        <v>292704760</v>
      </c>
      <c r="N678">
        <v>263288159</v>
      </c>
      <c r="O678">
        <v>215142363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59786260114</v>
      </c>
      <c r="G679">
        <v>36923646551</v>
      </c>
      <c r="H679">
        <v>23145694199</v>
      </c>
      <c r="I679">
        <v>22714815452</v>
      </c>
      <c r="J679">
        <v>15806806468</v>
      </c>
      <c r="K679">
        <v>10144187338</v>
      </c>
      <c r="L679">
        <v>11054853933</v>
      </c>
      <c r="M679">
        <v>13131518106</v>
      </c>
      <c r="N679">
        <v>14849016810</v>
      </c>
      <c r="O679">
        <v>16520024127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69419109</v>
      </c>
      <c r="G680">
        <v>58904214</v>
      </c>
      <c r="H680">
        <v>144741722</v>
      </c>
      <c r="I680">
        <v>123917340</v>
      </c>
      <c r="J680">
        <v>115344052</v>
      </c>
      <c r="K680">
        <v>134598000</v>
      </c>
      <c r="L680">
        <v>148025767</v>
      </c>
      <c r="M680">
        <v>151661325</v>
      </c>
      <c r="N680">
        <v>151354743</v>
      </c>
      <c r="O680">
        <v>163905898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1574645862</v>
      </c>
      <c r="G681">
        <v>1641457214</v>
      </c>
      <c r="H681">
        <v>1282569644</v>
      </c>
      <c r="I681">
        <v>1674747956</v>
      </c>
      <c r="J681">
        <v>935206379</v>
      </c>
      <c r="K681">
        <v>2592827908</v>
      </c>
      <c r="L681">
        <v>1952760320</v>
      </c>
      <c r="M681">
        <v>2238041181</v>
      </c>
      <c r="N681">
        <v>4423539175</v>
      </c>
      <c r="O681">
        <v>4023698042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5769118888</v>
      </c>
      <c r="G682">
        <v>5515400887</v>
      </c>
      <c r="H682">
        <v>5849526460</v>
      </c>
      <c r="I682">
        <v>6020685241</v>
      </c>
      <c r="J682">
        <v>5570597202</v>
      </c>
      <c r="K682">
        <v>5550949108</v>
      </c>
      <c r="L682">
        <v>5808508477</v>
      </c>
      <c r="M682">
        <v>5375045108</v>
      </c>
      <c r="N682">
        <v>5340011780</v>
      </c>
      <c r="O682">
        <v>4789615273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62121928245</v>
      </c>
      <c r="G683">
        <v>38347224009</v>
      </c>
      <c r="H683">
        <v>38107824072</v>
      </c>
      <c r="I683">
        <v>29764777403</v>
      </c>
      <c r="J683">
        <v>20287021785</v>
      </c>
      <c r="K683">
        <v>11096249494</v>
      </c>
      <c r="L683">
        <v>14420077191</v>
      </c>
      <c r="M683">
        <v>18886416386</v>
      </c>
      <c r="N683">
        <v>24204327243</v>
      </c>
      <c r="O683">
        <v>21923379627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2726619420</v>
      </c>
      <c r="G684">
        <v>2455563874</v>
      </c>
      <c r="H684">
        <v>3220785625</v>
      </c>
      <c r="I684">
        <v>2477731799</v>
      </c>
      <c r="J684">
        <v>2263359211</v>
      </c>
      <c r="K684">
        <v>2232866930</v>
      </c>
      <c r="L684">
        <v>1906721366</v>
      </c>
      <c r="M684">
        <v>1962957088</v>
      </c>
      <c r="N684">
        <v>1852027220</v>
      </c>
      <c r="O684">
        <v>1838578407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374056575</v>
      </c>
      <c r="G685">
        <v>180645775</v>
      </c>
      <c r="H685">
        <v>413524580</v>
      </c>
      <c r="I685">
        <v>2026351844</v>
      </c>
      <c r="J685">
        <v>176947822</v>
      </c>
      <c r="K685">
        <v>662400278</v>
      </c>
      <c r="L685">
        <v>173965694</v>
      </c>
      <c r="M685">
        <v>151095215</v>
      </c>
      <c r="N685">
        <v>145263765</v>
      </c>
      <c r="O685">
        <v>1517777160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3568103978</v>
      </c>
      <c r="G686">
        <v>3093123112</v>
      </c>
      <c r="H686">
        <v>182894097</v>
      </c>
      <c r="I686">
        <v>1007550736</v>
      </c>
      <c r="J686">
        <v>1231206311</v>
      </c>
      <c r="K686">
        <v>302580927</v>
      </c>
      <c r="L686">
        <v>427394789</v>
      </c>
      <c r="M686">
        <v>935259441</v>
      </c>
      <c r="N686">
        <v>1294695356</v>
      </c>
      <c r="O686">
        <v>274755171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3520696566</v>
      </c>
      <c r="G687">
        <v>3191823974</v>
      </c>
      <c r="H687">
        <v>2414179711</v>
      </c>
      <c r="I687">
        <v>2672503087</v>
      </c>
      <c r="J687">
        <v>2234557942</v>
      </c>
      <c r="K687">
        <v>1461441290</v>
      </c>
      <c r="L687">
        <v>2154637839</v>
      </c>
      <c r="M687">
        <v>2759988600</v>
      </c>
      <c r="N687">
        <v>3307995368</v>
      </c>
      <c r="O687">
        <v>3042063084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1407431885</v>
      </c>
      <c r="G688">
        <v>1102740059</v>
      </c>
      <c r="H688">
        <v>1132126900</v>
      </c>
      <c r="I688">
        <v>771270698</v>
      </c>
      <c r="J688">
        <v>938480476</v>
      </c>
      <c r="K688">
        <v>241722310</v>
      </c>
      <c r="L688">
        <v>636067</v>
      </c>
      <c r="M688">
        <v>2615493</v>
      </c>
      <c r="N688">
        <v>2334574</v>
      </c>
      <c r="O688">
        <v>2025662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1722094716</v>
      </c>
      <c r="G689">
        <v>1693539286</v>
      </c>
      <c r="H689">
        <v>1908366916</v>
      </c>
      <c r="I689">
        <v>1208888951</v>
      </c>
      <c r="J689">
        <v>749883766</v>
      </c>
      <c r="K689">
        <v>533409419</v>
      </c>
      <c r="L689">
        <v>651863955</v>
      </c>
      <c r="M689">
        <v>396532015</v>
      </c>
      <c r="N689">
        <v>290246014</v>
      </c>
      <c r="O689">
        <v>273824209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127798005790</v>
      </c>
      <c r="G690">
        <v>84313796848</v>
      </c>
      <c r="H690">
        <v>90736922042</v>
      </c>
      <c r="I690">
        <v>47812098769</v>
      </c>
      <c r="J690">
        <v>48590657817</v>
      </c>
      <c r="K690">
        <v>44801302290</v>
      </c>
      <c r="L690">
        <v>47393582558</v>
      </c>
      <c r="M690">
        <v>53673648428</v>
      </c>
      <c r="N690">
        <v>51487458086</v>
      </c>
      <c r="O690">
        <v>43663741123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382578779</v>
      </c>
      <c r="G691">
        <v>276809510</v>
      </c>
      <c r="H691">
        <v>286421979</v>
      </c>
      <c r="I691">
        <v>344511882</v>
      </c>
      <c r="J691">
        <v>356088210</v>
      </c>
      <c r="K691">
        <v>338510274</v>
      </c>
      <c r="L691">
        <v>348736231</v>
      </c>
      <c r="M691">
        <v>313398325</v>
      </c>
      <c r="N691">
        <v>397207732</v>
      </c>
      <c r="O691">
        <v>385864881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2824595395</v>
      </c>
      <c r="G692">
        <v>2560035264</v>
      </c>
      <c r="H692">
        <v>2445452967</v>
      </c>
      <c r="I692">
        <v>2446791285</v>
      </c>
      <c r="J692">
        <v>2149372671</v>
      </c>
      <c r="K692">
        <v>2514889964</v>
      </c>
      <c r="L692">
        <v>3550961362</v>
      </c>
      <c r="M692">
        <v>3995176491</v>
      </c>
      <c r="N692">
        <v>3832123034</v>
      </c>
      <c r="O692">
        <v>3801291262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1766500565</v>
      </c>
      <c r="G693">
        <v>1598067854</v>
      </c>
      <c r="H693">
        <v>1887161998</v>
      </c>
      <c r="I693">
        <v>1508698455</v>
      </c>
      <c r="J693">
        <v>1280872903</v>
      </c>
      <c r="K693">
        <v>898312997</v>
      </c>
      <c r="L693">
        <v>872905707</v>
      </c>
      <c r="M693">
        <v>780031670</v>
      </c>
      <c r="N693">
        <v>808048439</v>
      </c>
      <c r="O693">
        <v>773275090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3556695463</v>
      </c>
      <c r="G694">
        <v>2183970648</v>
      </c>
      <c r="H694">
        <v>81005406</v>
      </c>
      <c r="I694">
        <v>101913582</v>
      </c>
      <c r="J694">
        <v>99655610</v>
      </c>
      <c r="K694">
        <v>79412180</v>
      </c>
      <c r="L694">
        <v>86662799</v>
      </c>
      <c r="M694">
        <v>112591447</v>
      </c>
      <c r="N694">
        <v>117729912</v>
      </c>
      <c r="O694">
        <v>114019465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21240586758</v>
      </c>
      <c r="G695">
        <v>22923621377</v>
      </c>
      <c r="H695">
        <v>25853553418</v>
      </c>
      <c r="I695">
        <v>22103507293</v>
      </c>
      <c r="J695">
        <v>16037322482</v>
      </c>
      <c r="K695">
        <v>10693071721</v>
      </c>
      <c r="L695">
        <v>11669334859</v>
      </c>
      <c r="M695">
        <v>13563960269</v>
      </c>
      <c r="N695">
        <v>11532487487</v>
      </c>
      <c r="O695">
        <v>10066957874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1926227312</v>
      </c>
      <c r="G696">
        <v>2122851604</v>
      </c>
      <c r="H696">
        <v>1968492655</v>
      </c>
      <c r="I696">
        <v>1989122048</v>
      </c>
      <c r="J696">
        <v>1219698286</v>
      </c>
      <c r="K696">
        <v>887906949</v>
      </c>
      <c r="L696">
        <v>2813785270</v>
      </c>
      <c r="M696">
        <v>1899649014</v>
      </c>
      <c r="N696">
        <v>1310192711</v>
      </c>
      <c r="O696">
        <v>1170924393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90655150000</v>
      </c>
      <c r="G697">
        <v>67945117453</v>
      </c>
      <c r="H697">
        <v>8995150127</v>
      </c>
      <c r="I697">
        <v>8823081203</v>
      </c>
      <c r="J697">
        <v>6347672340</v>
      </c>
      <c r="K697">
        <v>3738811878</v>
      </c>
      <c r="L697">
        <v>3619259401</v>
      </c>
      <c r="M697">
        <v>3229036519</v>
      </c>
      <c r="N697">
        <v>3444112947</v>
      </c>
      <c r="O697">
        <v>1378816439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3030948887</v>
      </c>
      <c r="G698">
        <v>3577280524</v>
      </c>
      <c r="H698">
        <v>4002375169</v>
      </c>
      <c r="I698">
        <v>5134218507</v>
      </c>
      <c r="J698">
        <v>6659940980</v>
      </c>
      <c r="K698">
        <v>7394259415</v>
      </c>
      <c r="L698">
        <v>7086807246</v>
      </c>
      <c r="M698">
        <v>5971320349</v>
      </c>
      <c r="N698">
        <v>5036480814</v>
      </c>
      <c r="O698">
        <v>1940439988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3121054528</v>
      </c>
      <c r="G699">
        <v>1906237527</v>
      </c>
      <c r="H699">
        <v>1878363080</v>
      </c>
      <c r="I699">
        <v>1428699194</v>
      </c>
      <c r="J699">
        <v>1219595166</v>
      </c>
      <c r="K699">
        <v>1105139024</v>
      </c>
      <c r="L699">
        <v>1281834983</v>
      </c>
      <c r="M699">
        <v>1719516535</v>
      </c>
      <c r="N699">
        <v>1858630366</v>
      </c>
      <c r="O699">
        <v>1881654647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313365312</v>
      </c>
      <c r="K700">
        <v>328403027.41000003</v>
      </c>
      <c r="L700">
        <v>550565349.75</v>
      </c>
      <c r="M700">
        <v>717789242.70000005</v>
      </c>
      <c r="N700">
        <v>499520136.19</v>
      </c>
      <c r="O700">
        <v>866993161.04999995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806055992</v>
      </c>
      <c r="G701">
        <v>574003782</v>
      </c>
      <c r="H701">
        <v>705881591</v>
      </c>
      <c r="I701">
        <v>789312008</v>
      </c>
      <c r="J701">
        <v>1464315193</v>
      </c>
      <c r="K701">
        <v>1305036463</v>
      </c>
      <c r="L701">
        <v>796175969</v>
      </c>
      <c r="M701">
        <v>491934982</v>
      </c>
      <c r="N701">
        <v>491901540</v>
      </c>
      <c r="O701">
        <v>326612124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97938615377</v>
      </c>
      <c r="G702">
        <v>67065846666</v>
      </c>
      <c r="H702">
        <v>60447771472</v>
      </c>
      <c r="I702">
        <v>66594946420</v>
      </c>
      <c r="J702">
        <v>55571282395</v>
      </c>
      <c r="K702">
        <v>35922882724</v>
      </c>
      <c r="L702">
        <v>38070596190</v>
      </c>
      <c r="M702">
        <v>51660086483</v>
      </c>
      <c r="N702">
        <v>63775120780</v>
      </c>
      <c r="O702">
        <v>69221484821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18835329919</v>
      </c>
      <c r="G703">
        <v>10328491977</v>
      </c>
      <c r="H703">
        <v>10431326779</v>
      </c>
      <c r="I703">
        <v>5751881419</v>
      </c>
      <c r="J703">
        <v>4375722453</v>
      </c>
      <c r="K703">
        <v>3335812040</v>
      </c>
      <c r="L703">
        <v>3096780087</v>
      </c>
      <c r="M703">
        <v>3453485422</v>
      </c>
      <c r="N703">
        <v>4426943191</v>
      </c>
      <c r="O703">
        <v>5224682484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8228161815</v>
      </c>
      <c r="G704">
        <v>7351508482</v>
      </c>
      <c r="H704">
        <v>6746640326</v>
      </c>
      <c r="I704">
        <v>5713249705</v>
      </c>
      <c r="J704">
        <v>5016214787</v>
      </c>
      <c r="K704">
        <v>6048827165</v>
      </c>
      <c r="L704">
        <v>4053771830</v>
      </c>
      <c r="M704">
        <v>4923471289</v>
      </c>
      <c r="N704">
        <v>3669269775</v>
      </c>
      <c r="O704">
        <v>7863502328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11308723728</v>
      </c>
      <c r="G705">
        <v>12990574053</v>
      </c>
      <c r="H705">
        <v>14587408614</v>
      </c>
      <c r="I705">
        <v>8049620659</v>
      </c>
      <c r="J705">
        <v>5939290866</v>
      </c>
      <c r="K705">
        <v>4621666902</v>
      </c>
      <c r="L705">
        <v>5555762177</v>
      </c>
      <c r="M705">
        <v>4440724755</v>
      </c>
      <c r="N705">
        <v>6361876298</v>
      </c>
      <c r="O705">
        <v>3974605466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6530844074</v>
      </c>
      <c r="G706">
        <v>7253068277</v>
      </c>
      <c r="H706">
        <v>6418377555</v>
      </c>
      <c r="I706">
        <v>5846525142</v>
      </c>
      <c r="J706">
        <v>4425624931</v>
      </c>
      <c r="K706">
        <v>4543859626</v>
      </c>
      <c r="L706">
        <v>4395990015</v>
      </c>
      <c r="M706">
        <v>5754243627</v>
      </c>
      <c r="N706">
        <v>6901742387</v>
      </c>
      <c r="O706">
        <v>3816663056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112500</v>
      </c>
      <c r="L707">
        <v>947190.06</v>
      </c>
      <c r="M707">
        <v>1559915.55</v>
      </c>
      <c r="N707">
        <v>138921</v>
      </c>
      <c r="O707">
        <v>1084242.43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8565270746</v>
      </c>
      <c r="G708">
        <v>5850660114</v>
      </c>
      <c r="H708">
        <v>5096269970</v>
      </c>
      <c r="I708">
        <v>4843285777</v>
      </c>
      <c r="J708">
        <v>4646776086</v>
      </c>
      <c r="K708">
        <v>4257702584</v>
      </c>
      <c r="L708">
        <v>4459551279</v>
      </c>
      <c r="M708">
        <v>4831634704</v>
      </c>
      <c r="N708">
        <v>1429348518</v>
      </c>
      <c r="O708">
        <v>1595028829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959299739</v>
      </c>
      <c r="G709">
        <v>1114693409</v>
      </c>
      <c r="H709">
        <v>1398754297</v>
      </c>
      <c r="I709">
        <v>2612283121</v>
      </c>
      <c r="J709">
        <v>3575107664</v>
      </c>
      <c r="K709">
        <v>2357254029</v>
      </c>
      <c r="L709">
        <v>2507497956</v>
      </c>
      <c r="M709">
        <v>3693944781</v>
      </c>
      <c r="N709">
        <v>4485636361</v>
      </c>
      <c r="O709">
        <v>4522374729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16019057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2674218725</v>
      </c>
      <c r="G711">
        <v>72032174</v>
      </c>
      <c r="H711">
        <v>57369598</v>
      </c>
      <c r="I711">
        <v>8885081</v>
      </c>
      <c r="J711">
        <v>4407795</v>
      </c>
      <c r="K711">
        <v>12403440</v>
      </c>
      <c r="L711">
        <v>15400310</v>
      </c>
      <c r="M711">
        <v>25762181</v>
      </c>
      <c r="N711">
        <v>43919518</v>
      </c>
      <c r="O711">
        <v>12787038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550993456</v>
      </c>
      <c r="G712">
        <v>562231476</v>
      </c>
      <c r="H712">
        <v>433233345</v>
      </c>
      <c r="I712">
        <v>380663174</v>
      </c>
      <c r="J712">
        <v>464196139</v>
      </c>
      <c r="K712">
        <v>509973209</v>
      </c>
      <c r="L712">
        <v>479297618</v>
      </c>
      <c r="M712">
        <v>484991800</v>
      </c>
      <c r="N712">
        <v>449025403</v>
      </c>
      <c r="O712">
        <v>417104967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3660353564</v>
      </c>
      <c r="G713">
        <v>3075690616</v>
      </c>
      <c r="H713">
        <v>3621898980</v>
      </c>
      <c r="I713">
        <v>3026771399</v>
      </c>
      <c r="J713">
        <v>2575474467</v>
      </c>
      <c r="K713">
        <v>2532406179</v>
      </c>
      <c r="L713">
        <v>2357039544</v>
      </c>
      <c r="M713">
        <v>2191195791</v>
      </c>
      <c r="N713">
        <v>2163415249</v>
      </c>
      <c r="O713">
        <v>1766363772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45882450276</v>
      </c>
      <c r="G714">
        <v>34667284938</v>
      </c>
      <c r="H714">
        <v>34181473687</v>
      </c>
      <c r="I714">
        <v>26869213184</v>
      </c>
      <c r="J714">
        <v>21825311316</v>
      </c>
      <c r="K714">
        <v>16590923200</v>
      </c>
      <c r="L714">
        <v>17741646686</v>
      </c>
      <c r="M714">
        <v>16792325901</v>
      </c>
      <c r="N714">
        <v>14660741446</v>
      </c>
      <c r="O714">
        <v>14326996036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841096417</v>
      </c>
      <c r="G715">
        <v>609826429</v>
      </c>
      <c r="H715">
        <v>56309854</v>
      </c>
      <c r="I715">
        <v>135076990</v>
      </c>
      <c r="J715">
        <v>159697300</v>
      </c>
      <c r="K715">
        <v>246756949</v>
      </c>
      <c r="L715">
        <v>445070439</v>
      </c>
      <c r="M715">
        <v>631699283</v>
      </c>
      <c r="N715">
        <v>741664954</v>
      </c>
      <c r="O715">
        <v>873700023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6346910505</v>
      </c>
      <c r="G716">
        <v>6656505322</v>
      </c>
      <c r="H716">
        <v>6531079584</v>
      </c>
      <c r="I716">
        <v>5625620533</v>
      </c>
      <c r="J716">
        <v>5200189514</v>
      </c>
      <c r="K716">
        <v>16439608380</v>
      </c>
      <c r="L716">
        <v>56895737415</v>
      </c>
      <c r="M716">
        <v>65574303071</v>
      </c>
      <c r="N716">
        <v>91911017175</v>
      </c>
      <c r="O716">
        <v>84589798428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18901984458</v>
      </c>
      <c r="G717">
        <v>12109180465</v>
      </c>
      <c r="H717">
        <v>13743573891</v>
      </c>
      <c r="I717">
        <v>13740952382</v>
      </c>
      <c r="J717">
        <v>14018191665</v>
      </c>
      <c r="K717">
        <v>8427444188</v>
      </c>
      <c r="L717">
        <v>6387378146</v>
      </c>
      <c r="M717">
        <v>6975994545</v>
      </c>
      <c r="N717">
        <v>7433748868</v>
      </c>
      <c r="O717">
        <v>5879419218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741635828</v>
      </c>
      <c r="G718">
        <v>818279530</v>
      </c>
      <c r="H718">
        <v>1095486238</v>
      </c>
      <c r="I718">
        <v>1136640076</v>
      </c>
      <c r="J718">
        <v>1503493345</v>
      </c>
      <c r="K718">
        <v>2350086781</v>
      </c>
      <c r="L718">
        <v>3084399016</v>
      </c>
      <c r="M718">
        <v>2643705623</v>
      </c>
      <c r="N718">
        <v>2445070372</v>
      </c>
      <c r="O718">
        <v>2150214653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714943975</v>
      </c>
      <c r="G719">
        <v>633057219</v>
      </c>
      <c r="H719">
        <v>719102251</v>
      </c>
      <c r="I719">
        <v>737131516</v>
      </c>
      <c r="J719">
        <v>874574884</v>
      </c>
      <c r="K719">
        <v>902089414</v>
      </c>
      <c r="L719">
        <v>984210749</v>
      </c>
      <c r="M719">
        <v>1136537038</v>
      </c>
      <c r="N719">
        <v>1194692202</v>
      </c>
      <c r="O719">
        <v>1177765661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733562746</v>
      </c>
      <c r="G720">
        <v>1953765956</v>
      </c>
      <c r="H720">
        <v>2254884521</v>
      </c>
      <c r="I720">
        <v>2353837058</v>
      </c>
      <c r="J720">
        <v>2731592272</v>
      </c>
      <c r="K720">
        <v>1910819420</v>
      </c>
      <c r="L720">
        <v>1851775080</v>
      </c>
      <c r="M720">
        <v>930351813</v>
      </c>
      <c r="N720">
        <v>955300784</v>
      </c>
      <c r="O720">
        <v>987130408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42000524262</v>
      </c>
      <c r="G721">
        <v>38566842327</v>
      </c>
      <c r="H721">
        <v>42377108660</v>
      </c>
      <c r="I721">
        <v>40953190539</v>
      </c>
      <c r="J721">
        <v>40013093999</v>
      </c>
      <c r="K721">
        <v>41052697250</v>
      </c>
      <c r="L721">
        <v>42085508866</v>
      </c>
      <c r="M721">
        <v>43746769327</v>
      </c>
      <c r="N721">
        <v>47539046828</v>
      </c>
      <c r="O721">
        <v>42347919250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7315176600</v>
      </c>
      <c r="G722">
        <v>6316746928</v>
      </c>
      <c r="H722">
        <v>9651636525</v>
      </c>
      <c r="I722">
        <v>10127546673</v>
      </c>
      <c r="J722">
        <v>9313239933</v>
      </c>
      <c r="K722">
        <v>6729064025</v>
      </c>
      <c r="L722">
        <v>1578897359</v>
      </c>
      <c r="M722">
        <v>1703667017</v>
      </c>
      <c r="N722">
        <v>1821978781</v>
      </c>
      <c r="O722">
        <v>1737286145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6318424997</v>
      </c>
      <c r="G723">
        <v>5789856960</v>
      </c>
      <c r="H723">
        <v>5552614543</v>
      </c>
      <c r="I723">
        <v>5525646047</v>
      </c>
      <c r="J723">
        <v>5918503178</v>
      </c>
      <c r="K723">
        <v>5625399518</v>
      </c>
      <c r="L723">
        <v>5430468136</v>
      </c>
      <c r="M723">
        <v>1688119742</v>
      </c>
      <c r="N723">
        <v>2163610688</v>
      </c>
      <c r="O723">
        <v>2370880368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124740202</v>
      </c>
      <c r="G724">
        <v>43066057</v>
      </c>
      <c r="H724">
        <v>230216222</v>
      </c>
      <c r="I724">
        <v>718264088</v>
      </c>
      <c r="J724">
        <v>764635851</v>
      </c>
      <c r="K724">
        <v>1502037834</v>
      </c>
      <c r="L724">
        <v>1296181398</v>
      </c>
      <c r="M724">
        <v>657739876</v>
      </c>
      <c r="N724">
        <v>692964435</v>
      </c>
      <c r="O724">
        <v>791284629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1482301145</v>
      </c>
      <c r="G725">
        <v>1675531098</v>
      </c>
      <c r="H725">
        <v>1686121567</v>
      </c>
      <c r="I725">
        <v>1778814505</v>
      </c>
      <c r="J725">
        <v>1949343661</v>
      </c>
      <c r="K725">
        <v>1655909778</v>
      </c>
      <c r="L725">
        <v>1597633812</v>
      </c>
      <c r="M725">
        <v>1609047862</v>
      </c>
      <c r="N725">
        <v>1499597442</v>
      </c>
      <c r="O725">
        <v>1310668979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2800057918.9499998</v>
      </c>
      <c r="N726">
        <v>2646896800.4899998</v>
      </c>
      <c r="O726">
        <v>2571999619.48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1023117708</v>
      </c>
      <c r="G727">
        <v>1302730501</v>
      </c>
      <c r="H727">
        <v>923687051</v>
      </c>
      <c r="I727">
        <v>845799249</v>
      </c>
      <c r="J727">
        <v>1233886767</v>
      </c>
      <c r="K727">
        <v>1209641902</v>
      </c>
      <c r="L727">
        <v>1197500880</v>
      </c>
      <c r="M727">
        <v>1130072158</v>
      </c>
      <c r="N727">
        <v>1005058028</v>
      </c>
      <c r="O727">
        <v>1038123173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208342615</v>
      </c>
      <c r="G728">
        <v>230310755</v>
      </c>
      <c r="H728">
        <v>423797376</v>
      </c>
      <c r="I728">
        <v>564893529</v>
      </c>
      <c r="J728">
        <v>565922138</v>
      </c>
      <c r="K728">
        <v>572270635</v>
      </c>
      <c r="L728">
        <v>585307101</v>
      </c>
      <c r="M728">
        <v>562633097</v>
      </c>
      <c r="N728">
        <v>546597084</v>
      </c>
      <c r="O728">
        <v>546131138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19698168201</v>
      </c>
      <c r="G729">
        <v>17693474077</v>
      </c>
      <c r="H729">
        <v>16786020256</v>
      </c>
      <c r="I729">
        <v>16306225560</v>
      </c>
      <c r="J729">
        <v>16309796642</v>
      </c>
      <c r="K729">
        <v>16059469594</v>
      </c>
      <c r="L729">
        <v>16794904023</v>
      </c>
      <c r="M729">
        <v>19423122090</v>
      </c>
      <c r="N729">
        <v>17953117397</v>
      </c>
      <c r="O729">
        <v>17116459111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2421073301</v>
      </c>
      <c r="G730">
        <v>773897605</v>
      </c>
      <c r="H730">
        <v>1129561360</v>
      </c>
      <c r="I730">
        <v>994218640</v>
      </c>
      <c r="J730">
        <v>1286913122</v>
      </c>
      <c r="K730">
        <v>1096559118</v>
      </c>
      <c r="L730">
        <v>1030360382</v>
      </c>
      <c r="M730">
        <v>1340008022</v>
      </c>
      <c r="N730">
        <v>1381206240</v>
      </c>
      <c r="O730">
        <v>1393329390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85415582</v>
      </c>
      <c r="G732">
        <v>62690928</v>
      </c>
      <c r="H732">
        <v>50261598</v>
      </c>
      <c r="I732">
        <v>47107601</v>
      </c>
      <c r="J732">
        <v>66168401</v>
      </c>
      <c r="K732">
        <v>53199685</v>
      </c>
      <c r="L732">
        <v>62657992</v>
      </c>
      <c r="M732">
        <v>85057162</v>
      </c>
      <c r="N732">
        <v>119326839</v>
      </c>
      <c r="O732">
        <v>127567059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73712502764</v>
      </c>
      <c r="G733">
        <v>65796748582</v>
      </c>
      <c r="H733">
        <v>61746660002</v>
      </c>
      <c r="I733">
        <v>58078736721</v>
      </c>
      <c r="J733">
        <v>53900711329</v>
      </c>
      <c r="K733">
        <v>47202170899</v>
      </c>
      <c r="L733">
        <v>49007339461</v>
      </c>
      <c r="M733">
        <v>42368833180</v>
      </c>
      <c r="N733">
        <v>39875896617</v>
      </c>
      <c r="O733">
        <v>38052352652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11672874769</v>
      </c>
      <c r="G734">
        <v>3073510672</v>
      </c>
      <c r="H734">
        <v>3143882416</v>
      </c>
      <c r="I734">
        <v>3176222626</v>
      </c>
      <c r="J734">
        <v>2314884719</v>
      </c>
      <c r="K734">
        <v>1824352897</v>
      </c>
      <c r="L734">
        <v>1984504981</v>
      </c>
      <c r="M734">
        <v>2476693393</v>
      </c>
      <c r="N734">
        <v>1802805115</v>
      </c>
      <c r="O734">
        <v>2591360543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2382383698</v>
      </c>
      <c r="G735">
        <v>2408389657</v>
      </c>
      <c r="H735">
        <v>2476394814</v>
      </c>
      <c r="I735">
        <v>2364107042</v>
      </c>
      <c r="J735">
        <v>2331480732</v>
      </c>
      <c r="K735">
        <v>2118050438</v>
      </c>
      <c r="L735">
        <v>1943279831</v>
      </c>
      <c r="M735">
        <v>1596092709</v>
      </c>
      <c r="N735">
        <v>1484681249</v>
      </c>
      <c r="O735">
        <v>1395744981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871276148</v>
      </c>
      <c r="G736">
        <v>685725683</v>
      </c>
      <c r="H736">
        <v>1237551362</v>
      </c>
      <c r="I736">
        <v>1233806270</v>
      </c>
      <c r="J736">
        <v>988896001</v>
      </c>
      <c r="K736">
        <v>628498939</v>
      </c>
      <c r="L736">
        <v>969028553</v>
      </c>
      <c r="M736">
        <v>937289725</v>
      </c>
      <c r="N736">
        <v>574385918</v>
      </c>
      <c r="O736">
        <v>924919323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6731993156</v>
      </c>
      <c r="G737">
        <v>4913175057</v>
      </c>
      <c r="H737">
        <v>4390068897</v>
      </c>
      <c r="I737">
        <v>3449831987</v>
      </c>
      <c r="J737">
        <v>3389273432</v>
      </c>
      <c r="K737">
        <v>2801882988</v>
      </c>
      <c r="L737">
        <v>2811884798</v>
      </c>
      <c r="M737">
        <v>2370487153</v>
      </c>
      <c r="N737">
        <v>1961584681</v>
      </c>
      <c r="O737">
        <v>1918422473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2957074436</v>
      </c>
      <c r="G738">
        <v>5479135593</v>
      </c>
      <c r="H738">
        <v>3483376406</v>
      </c>
      <c r="I738">
        <v>4435689927</v>
      </c>
      <c r="J738">
        <v>2287918918</v>
      </c>
      <c r="K738">
        <v>3307769773</v>
      </c>
      <c r="L738">
        <v>2191741850</v>
      </c>
      <c r="M738">
        <v>2597370351</v>
      </c>
      <c r="N738">
        <v>3377419578</v>
      </c>
      <c r="O738">
        <v>1604128524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338250256</v>
      </c>
      <c r="G739">
        <v>345343249</v>
      </c>
      <c r="H739">
        <v>316443444</v>
      </c>
      <c r="I739">
        <v>377718019</v>
      </c>
      <c r="J739">
        <v>294282837</v>
      </c>
      <c r="K739">
        <v>153083456</v>
      </c>
      <c r="L739">
        <v>101999703</v>
      </c>
      <c r="M739">
        <v>92258466</v>
      </c>
      <c r="N739">
        <v>63525079</v>
      </c>
      <c r="O739">
        <v>102132563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5030384616</v>
      </c>
      <c r="G740">
        <v>3296696738</v>
      </c>
      <c r="H740">
        <v>2361711509</v>
      </c>
      <c r="I740">
        <v>992893178</v>
      </c>
      <c r="J740">
        <v>1770086529</v>
      </c>
      <c r="K740">
        <v>727282498</v>
      </c>
      <c r="L740">
        <v>463115170</v>
      </c>
      <c r="M740">
        <v>640170182</v>
      </c>
      <c r="N740">
        <v>650980066</v>
      </c>
      <c r="O740">
        <v>579987778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K741">
        <v>98881493918.710007</v>
      </c>
      <c r="L741">
        <v>85992658962.449997</v>
      </c>
      <c r="M741">
        <v>72033534409.75</v>
      </c>
      <c r="N741">
        <v>63871331373.32</v>
      </c>
      <c r="O741">
        <v>53999730759.989998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6806891262</v>
      </c>
      <c r="G742">
        <v>5577390676</v>
      </c>
      <c r="H742">
        <v>6403368369</v>
      </c>
      <c r="I742">
        <v>5552489637</v>
      </c>
      <c r="J742">
        <v>5296268748</v>
      </c>
      <c r="K742">
        <v>4757045925</v>
      </c>
      <c r="L742">
        <v>4432427803</v>
      </c>
      <c r="M742">
        <v>4251595660</v>
      </c>
      <c r="N742">
        <v>3613759088</v>
      </c>
      <c r="O742">
        <v>3501867915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1134547723</v>
      </c>
      <c r="G743">
        <v>841174932</v>
      </c>
      <c r="H743">
        <v>1073321449</v>
      </c>
      <c r="I743">
        <v>862660713</v>
      </c>
      <c r="J743">
        <v>890350191</v>
      </c>
      <c r="K743">
        <v>820514771</v>
      </c>
      <c r="L743">
        <v>887482730</v>
      </c>
      <c r="M743">
        <v>935304905</v>
      </c>
      <c r="N743">
        <v>1025211758</v>
      </c>
      <c r="O743">
        <v>977705629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"600853"</f>
        <v>600853</v>
      </c>
      <c r="C744" t="s">
        <v>1720</v>
      </c>
      <c r="D744" t="s">
        <v>101</v>
      </c>
      <c r="F744">
        <v>9554905513</v>
      </c>
      <c r="G744">
        <v>11838468318</v>
      </c>
      <c r="H744">
        <v>6519712152</v>
      </c>
      <c r="I744">
        <v>5738538174</v>
      </c>
      <c r="J744">
        <v>5165862464</v>
      </c>
      <c r="K744">
        <v>4964961935</v>
      </c>
      <c r="L744">
        <v>3591175555</v>
      </c>
      <c r="M744">
        <v>3310028639</v>
      </c>
      <c r="N744">
        <v>3085853437</v>
      </c>
      <c r="O744">
        <v>4304353616</v>
      </c>
      <c r="P744">
        <v>94</v>
      </c>
      <c r="Q744" t="s">
        <v>1721</v>
      </c>
    </row>
    <row r="745" spans="1:17" x14ac:dyDescent="0.3">
      <c r="A745" t="s">
        <v>17</v>
      </c>
      <c r="B745" t="str">
        <f>"600854"</f>
        <v>600854</v>
      </c>
      <c r="C745" t="s">
        <v>1722</v>
      </c>
      <c r="D745" t="s">
        <v>1723</v>
      </c>
      <c r="F745">
        <v>368526145</v>
      </c>
      <c r="G745">
        <v>124667668</v>
      </c>
      <c r="H745">
        <v>162537465</v>
      </c>
      <c r="I745">
        <v>195906189</v>
      </c>
      <c r="J745">
        <v>715127108</v>
      </c>
      <c r="K745">
        <v>225602826</v>
      </c>
      <c r="L745">
        <v>260218158</v>
      </c>
      <c r="M745">
        <v>452119704</v>
      </c>
      <c r="N745">
        <v>845080011</v>
      </c>
      <c r="O745">
        <v>618916185</v>
      </c>
      <c r="P745">
        <v>146</v>
      </c>
      <c r="Q745" t="s">
        <v>1724</v>
      </c>
    </row>
    <row r="746" spans="1:17" x14ac:dyDescent="0.3">
      <c r="A746" t="s">
        <v>17</v>
      </c>
      <c r="B746" t="str">
        <f>"600855"</f>
        <v>600855</v>
      </c>
      <c r="C746" t="s">
        <v>1725</v>
      </c>
      <c r="D746" t="s">
        <v>236</v>
      </c>
      <c r="F746">
        <v>1316369382</v>
      </c>
      <c r="G746">
        <v>1989781817</v>
      </c>
      <c r="H746">
        <v>1229501163</v>
      </c>
      <c r="I746">
        <v>844777797</v>
      </c>
      <c r="J746">
        <v>600576002</v>
      </c>
      <c r="K746">
        <v>623582718</v>
      </c>
      <c r="L746">
        <v>602276007</v>
      </c>
      <c r="M746">
        <v>520157123</v>
      </c>
      <c r="N746">
        <v>586950080</v>
      </c>
      <c r="O746">
        <v>495641480</v>
      </c>
      <c r="P746">
        <v>139</v>
      </c>
      <c r="Q746" t="s">
        <v>1726</v>
      </c>
    </row>
    <row r="747" spans="1:17" x14ac:dyDescent="0.3">
      <c r="A747" t="s">
        <v>17</v>
      </c>
      <c r="B747" t="str">
        <f>"600856"</f>
        <v>600856</v>
      </c>
      <c r="C747" t="s">
        <v>1727</v>
      </c>
      <c r="D747" t="s">
        <v>1541</v>
      </c>
      <c r="F747">
        <v>602481011</v>
      </c>
      <c r="G747">
        <v>410024051</v>
      </c>
      <c r="H747">
        <v>787864286</v>
      </c>
      <c r="I747">
        <v>3742541269</v>
      </c>
      <c r="J747">
        <v>4657220316</v>
      </c>
      <c r="K747">
        <v>2232132395</v>
      </c>
      <c r="L747">
        <v>1260032208</v>
      </c>
      <c r="M747">
        <v>325433433</v>
      </c>
      <c r="N747">
        <v>348916375</v>
      </c>
      <c r="O747">
        <v>326949805</v>
      </c>
      <c r="P747">
        <v>129</v>
      </c>
      <c r="Q747" t="s">
        <v>1728</v>
      </c>
    </row>
    <row r="748" spans="1:17" x14ac:dyDescent="0.3">
      <c r="A748" t="s">
        <v>17</v>
      </c>
      <c r="B748" t="str">
        <f>"600857"</f>
        <v>600857</v>
      </c>
      <c r="C748" t="s">
        <v>1729</v>
      </c>
      <c r="D748" t="s">
        <v>633</v>
      </c>
      <c r="F748">
        <v>995947450</v>
      </c>
      <c r="G748">
        <v>831830026</v>
      </c>
      <c r="H748">
        <v>786170983</v>
      </c>
      <c r="I748">
        <v>838036234</v>
      </c>
      <c r="J748">
        <v>795207798</v>
      </c>
      <c r="K748">
        <v>728432469</v>
      </c>
      <c r="L748">
        <v>937821075</v>
      </c>
      <c r="M748">
        <v>998565601</v>
      </c>
      <c r="N748">
        <v>1343452119</v>
      </c>
      <c r="O748">
        <v>1004749739</v>
      </c>
      <c r="P748">
        <v>74</v>
      </c>
      <c r="Q748" t="s">
        <v>1730</v>
      </c>
    </row>
    <row r="749" spans="1:17" x14ac:dyDescent="0.3">
      <c r="A749" t="s">
        <v>17</v>
      </c>
      <c r="B749" t="str">
        <f>"600858"</f>
        <v>600858</v>
      </c>
      <c r="C749" t="s">
        <v>1731</v>
      </c>
      <c r="D749" t="s">
        <v>1404</v>
      </c>
      <c r="F749">
        <v>4893911036</v>
      </c>
      <c r="G749">
        <v>8365210901</v>
      </c>
      <c r="H749">
        <v>10177604692</v>
      </c>
      <c r="I749">
        <v>10852884526</v>
      </c>
      <c r="J749">
        <v>10848446232</v>
      </c>
      <c r="K749">
        <v>10794467995</v>
      </c>
      <c r="L749">
        <v>11816813312</v>
      </c>
      <c r="M749">
        <v>12331961600</v>
      </c>
      <c r="N749">
        <v>12071387129</v>
      </c>
      <c r="O749">
        <v>10669994272</v>
      </c>
      <c r="P749">
        <v>91</v>
      </c>
      <c r="Q749" t="s">
        <v>1732</v>
      </c>
    </row>
    <row r="750" spans="1:17" x14ac:dyDescent="0.3">
      <c r="A750" t="s">
        <v>17</v>
      </c>
      <c r="B750" t="str">
        <f>"600859"</f>
        <v>600859</v>
      </c>
      <c r="C750" t="s">
        <v>1733</v>
      </c>
      <c r="D750" t="s">
        <v>633</v>
      </c>
      <c r="F750">
        <v>21618724411</v>
      </c>
      <c r="G750">
        <v>17563430086</v>
      </c>
      <c r="H750">
        <v>21640714318</v>
      </c>
      <c r="I750">
        <v>22110984346</v>
      </c>
      <c r="J750">
        <v>21104228232</v>
      </c>
      <c r="K750">
        <v>14038867540</v>
      </c>
      <c r="L750">
        <v>14137930919</v>
      </c>
      <c r="M750">
        <v>14791843009</v>
      </c>
      <c r="N750">
        <v>16344089387</v>
      </c>
      <c r="O750">
        <v>15311666810</v>
      </c>
      <c r="P750">
        <v>553</v>
      </c>
      <c r="Q750" t="s">
        <v>1734</v>
      </c>
    </row>
    <row r="751" spans="1:17" x14ac:dyDescent="0.3">
      <c r="A751" t="s">
        <v>17</v>
      </c>
      <c r="B751" t="str">
        <f>"600860"</f>
        <v>600860</v>
      </c>
      <c r="C751" t="s">
        <v>1735</v>
      </c>
      <c r="D751" t="s">
        <v>274</v>
      </c>
      <c r="F751">
        <v>818903634</v>
      </c>
      <c r="G751">
        <v>784414314</v>
      </c>
      <c r="H751">
        <v>789803834</v>
      </c>
      <c r="I751">
        <v>863248943</v>
      </c>
      <c r="J751">
        <v>619334930</v>
      </c>
      <c r="K751">
        <v>517127497</v>
      </c>
      <c r="L751">
        <v>657864878</v>
      </c>
      <c r="M751">
        <v>868495912</v>
      </c>
      <c r="N751">
        <v>427901587</v>
      </c>
      <c r="O751">
        <v>384533811</v>
      </c>
      <c r="P751">
        <v>108</v>
      </c>
      <c r="Q751" t="s">
        <v>1736</v>
      </c>
    </row>
    <row r="752" spans="1:17" x14ac:dyDescent="0.3">
      <c r="A752" t="s">
        <v>17</v>
      </c>
      <c r="B752" t="str">
        <f>"600861"</f>
        <v>600861</v>
      </c>
      <c r="C752" t="s">
        <v>1737</v>
      </c>
      <c r="D752" t="s">
        <v>1404</v>
      </c>
      <c r="F752">
        <v>560521249</v>
      </c>
      <c r="G752">
        <v>945923766</v>
      </c>
      <c r="H752">
        <v>1552055503</v>
      </c>
      <c r="I752">
        <v>1403779431</v>
      </c>
      <c r="J752">
        <v>1568391484</v>
      </c>
      <c r="K752">
        <v>2106950587</v>
      </c>
      <c r="L752">
        <v>1909097010</v>
      </c>
      <c r="M752">
        <v>2227541420</v>
      </c>
      <c r="N752">
        <v>1914954414</v>
      </c>
      <c r="O752">
        <v>1819243141</v>
      </c>
      <c r="P752">
        <v>72</v>
      </c>
      <c r="Q752" t="s">
        <v>1738</v>
      </c>
    </row>
    <row r="753" spans="1:17" x14ac:dyDescent="0.3">
      <c r="A753" t="s">
        <v>17</v>
      </c>
      <c r="B753" t="str">
        <f>"600862"</f>
        <v>600862</v>
      </c>
      <c r="C753" t="s">
        <v>1739</v>
      </c>
      <c r="D753" t="s">
        <v>98</v>
      </c>
      <c r="F753">
        <v>1359915373</v>
      </c>
      <c r="G753">
        <v>835000554</v>
      </c>
      <c r="H753">
        <v>1749908708</v>
      </c>
      <c r="I753">
        <v>1308435452</v>
      </c>
      <c r="J753">
        <v>2046866595</v>
      </c>
      <c r="K753">
        <v>2415863837</v>
      </c>
      <c r="L753">
        <v>1523872482</v>
      </c>
      <c r="M753">
        <v>684802722</v>
      </c>
      <c r="N753">
        <v>989234328</v>
      </c>
      <c r="O753">
        <v>703493464</v>
      </c>
      <c r="P753">
        <v>457</v>
      </c>
      <c r="Q753" t="s">
        <v>1740</v>
      </c>
    </row>
    <row r="754" spans="1:17" x14ac:dyDescent="0.3">
      <c r="A754" t="s">
        <v>17</v>
      </c>
      <c r="B754" t="str">
        <f>"600863"</f>
        <v>600863</v>
      </c>
      <c r="C754" t="s">
        <v>1741</v>
      </c>
      <c r="D754" t="s">
        <v>41</v>
      </c>
      <c r="F754">
        <v>12562196672</v>
      </c>
      <c r="G754">
        <v>9730146180</v>
      </c>
      <c r="H754">
        <v>9214883040</v>
      </c>
      <c r="I754">
        <v>8257525433</v>
      </c>
      <c r="J754">
        <v>6883824899</v>
      </c>
      <c r="K754">
        <v>6040121693</v>
      </c>
      <c r="L754">
        <v>8717437660</v>
      </c>
      <c r="M754">
        <v>8982848074</v>
      </c>
      <c r="N754">
        <v>8891711765</v>
      </c>
      <c r="O754">
        <v>8658265165</v>
      </c>
      <c r="P754">
        <v>310</v>
      </c>
      <c r="Q754" t="s">
        <v>1742</v>
      </c>
    </row>
    <row r="755" spans="1:17" x14ac:dyDescent="0.3">
      <c r="A755" t="s">
        <v>17</v>
      </c>
      <c r="B755" t="str">
        <f>"600864"</f>
        <v>600864</v>
      </c>
      <c r="C755" t="s">
        <v>1743</v>
      </c>
      <c r="D755" t="s">
        <v>80</v>
      </c>
      <c r="F755">
        <v>477082606</v>
      </c>
      <c r="G755">
        <v>482439373</v>
      </c>
      <c r="H755">
        <v>370452274</v>
      </c>
      <c r="I755">
        <v>281617008</v>
      </c>
      <c r="J755">
        <v>373621883</v>
      </c>
      <c r="K755">
        <v>329708676</v>
      </c>
      <c r="L755">
        <v>503960080</v>
      </c>
      <c r="M755">
        <v>512981171</v>
      </c>
      <c r="N755">
        <v>452382449</v>
      </c>
      <c r="O755">
        <v>510050432</v>
      </c>
      <c r="P755">
        <v>412</v>
      </c>
      <c r="Q755" t="s">
        <v>1744</v>
      </c>
    </row>
    <row r="756" spans="1:17" x14ac:dyDescent="0.3">
      <c r="A756" t="s">
        <v>17</v>
      </c>
      <c r="B756" t="str">
        <f>"600865"</f>
        <v>600865</v>
      </c>
      <c r="C756" t="s">
        <v>1745</v>
      </c>
      <c r="D756" t="s">
        <v>633</v>
      </c>
      <c r="F756">
        <v>758337019</v>
      </c>
      <c r="G756">
        <v>617691236</v>
      </c>
      <c r="H756">
        <v>629358591</v>
      </c>
      <c r="I756">
        <v>588822241</v>
      </c>
      <c r="J756">
        <v>739174986</v>
      </c>
      <c r="K756">
        <v>766608568</v>
      </c>
      <c r="L756">
        <v>831169594</v>
      </c>
      <c r="M756">
        <v>756201307</v>
      </c>
      <c r="N756">
        <v>1846502269</v>
      </c>
      <c r="O756">
        <v>924071091</v>
      </c>
      <c r="P756">
        <v>123</v>
      </c>
      <c r="Q756" t="s">
        <v>1746</v>
      </c>
    </row>
    <row r="757" spans="1:17" x14ac:dyDescent="0.3">
      <c r="A757" t="s">
        <v>17</v>
      </c>
      <c r="B757" t="str">
        <f>"600866"</f>
        <v>600866</v>
      </c>
      <c r="C757" t="s">
        <v>1747</v>
      </c>
      <c r="D757" t="s">
        <v>677</v>
      </c>
      <c r="F757">
        <v>674149714</v>
      </c>
      <c r="G757">
        <v>598054923</v>
      </c>
      <c r="H757">
        <v>687351681</v>
      </c>
      <c r="I757">
        <v>442143574</v>
      </c>
      <c r="J757">
        <v>373652791</v>
      </c>
      <c r="K757">
        <v>372050509</v>
      </c>
      <c r="L757">
        <v>442479159</v>
      </c>
      <c r="M757">
        <v>371535745</v>
      </c>
      <c r="N757">
        <v>558555898</v>
      </c>
      <c r="O757">
        <v>555276491</v>
      </c>
      <c r="P757">
        <v>143</v>
      </c>
      <c r="Q757" t="s">
        <v>1748</v>
      </c>
    </row>
    <row r="758" spans="1:17" x14ac:dyDescent="0.3">
      <c r="A758" t="s">
        <v>17</v>
      </c>
      <c r="B758" t="str">
        <f>"600867"</f>
        <v>600867</v>
      </c>
      <c r="C758" t="s">
        <v>1749</v>
      </c>
      <c r="D758" t="s">
        <v>1379</v>
      </c>
      <c r="F758">
        <v>2325280473</v>
      </c>
      <c r="G758">
        <v>1993989799</v>
      </c>
      <c r="H758">
        <v>1961430972</v>
      </c>
      <c r="I758">
        <v>1942445357</v>
      </c>
      <c r="J758">
        <v>1739858325</v>
      </c>
      <c r="K758">
        <v>1429482098</v>
      </c>
      <c r="L758">
        <v>1202355968</v>
      </c>
      <c r="M758">
        <v>1102031472</v>
      </c>
      <c r="N758">
        <v>927713604</v>
      </c>
      <c r="O758">
        <v>778034653</v>
      </c>
      <c r="P758">
        <v>2948</v>
      </c>
      <c r="Q758" t="s">
        <v>1750</v>
      </c>
    </row>
    <row r="759" spans="1:17" x14ac:dyDescent="0.3">
      <c r="A759" t="s">
        <v>17</v>
      </c>
      <c r="B759" t="str">
        <f>"600868"</f>
        <v>600868</v>
      </c>
      <c r="C759" t="s">
        <v>1751</v>
      </c>
      <c r="D759" t="s">
        <v>66</v>
      </c>
      <c r="F759">
        <v>170769888</v>
      </c>
      <c r="G759">
        <v>164425129</v>
      </c>
      <c r="H759">
        <v>273646330</v>
      </c>
      <c r="I759">
        <v>169367497</v>
      </c>
      <c r="J759">
        <v>232593480</v>
      </c>
      <c r="K759">
        <v>292997332</v>
      </c>
      <c r="L759">
        <v>225157986</v>
      </c>
      <c r="M759">
        <v>392042188</v>
      </c>
      <c r="N759">
        <v>375581860</v>
      </c>
      <c r="O759">
        <v>510075023</v>
      </c>
      <c r="P759">
        <v>125</v>
      </c>
      <c r="Q759" t="s">
        <v>1752</v>
      </c>
    </row>
    <row r="760" spans="1:17" x14ac:dyDescent="0.3">
      <c r="A760" t="s">
        <v>17</v>
      </c>
      <c r="B760" t="str">
        <f>"600869"</f>
        <v>600869</v>
      </c>
      <c r="C760" t="s">
        <v>1753</v>
      </c>
      <c r="D760" t="s">
        <v>1164</v>
      </c>
      <c r="F760">
        <v>14766957400</v>
      </c>
      <c r="G760">
        <v>13577339266</v>
      </c>
      <c r="H760">
        <v>12487361902</v>
      </c>
      <c r="I760">
        <v>12985022900</v>
      </c>
      <c r="J760">
        <v>13069785159</v>
      </c>
      <c r="K760">
        <v>9424673845</v>
      </c>
      <c r="L760">
        <v>9554178752</v>
      </c>
      <c r="M760">
        <v>8930631044</v>
      </c>
      <c r="N760">
        <v>9126447074</v>
      </c>
      <c r="O760">
        <v>8899941483</v>
      </c>
      <c r="P760">
        <v>206</v>
      </c>
      <c r="Q760" t="s">
        <v>1754</v>
      </c>
    </row>
    <row r="761" spans="1:17" x14ac:dyDescent="0.3">
      <c r="A761" t="s">
        <v>17</v>
      </c>
      <c r="B761" t="str">
        <f>"600870"</f>
        <v>600870</v>
      </c>
      <c r="C761" t="s">
        <v>1755</v>
      </c>
      <c r="D761" t="s">
        <v>131</v>
      </c>
      <c r="F761">
        <v>114052876</v>
      </c>
      <c r="G761">
        <v>7592747</v>
      </c>
      <c r="H761">
        <v>44228184</v>
      </c>
      <c r="I761">
        <v>61037437</v>
      </c>
      <c r="J761">
        <v>16151468</v>
      </c>
      <c r="K761">
        <v>408776020</v>
      </c>
      <c r="L761">
        <v>56998958</v>
      </c>
      <c r="M761">
        <v>436717600</v>
      </c>
      <c r="N761">
        <v>948539739</v>
      </c>
      <c r="O761">
        <v>2286707761</v>
      </c>
      <c r="P761">
        <v>55</v>
      </c>
      <c r="Q761" t="s">
        <v>1756</v>
      </c>
    </row>
    <row r="762" spans="1:17" x14ac:dyDescent="0.3">
      <c r="A762" t="s">
        <v>17</v>
      </c>
      <c r="B762" t="str">
        <f>"600871"</f>
        <v>600871</v>
      </c>
      <c r="C762" t="s">
        <v>1757</v>
      </c>
      <c r="D762" t="s">
        <v>1758</v>
      </c>
      <c r="F762">
        <v>36671744000</v>
      </c>
      <c r="G762">
        <v>33303661000</v>
      </c>
      <c r="H762">
        <v>36347932000</v>
      </c>
      <c r="I762">
        <v>26188713000</v>
      </c>
      <c r="J762">
        <v>23494806000</v>
      </c>
      <c r="K762">
        <v>25916941000</v>
      </c>
      <c r="L762">
        <v>41492881000</v>
      </c>
      <c r="M762">
        <v>12489527000</v>
      </c>
      <c r="N762">
        <v>12952710000</v>
      </c>
      <c r="O762">
        <v>13277973000</v>
      </c>
      <c r="P762">
        <v>172</v>
      </c>
      <c r="Q762" t="s">
        <v>1759</v>
      </c>
    </row>
    <row r="763" spans="1:17" x14ac:dyDescent="0.3">
      <c r="A763" t="s">
        <v>17</v>
      </c>
      <c r="B763" t="str">
        <f>"600872"</f>
        <v>600872</v>
      </c>
      <c r="C763" t="s">
        <v>1760</v>
      </c>
      <c r="D763" t="s">
        <v>433</v>
      </c>
      <c r="F763">
        <v>4029036470</v>
      </c>
      <c r="G763">
        <v>4231467661</v>
      </c>
      <c r="H763">
        <v>3992258057</v>
      </c>
      <c r="I763">
        <v>3459138897</v>
      </c>
      <c r="J763">
        <v>3088500967</v>
      </c>
      <c r="K763">
        <v>2689252035</v>
      </c>
      <c r="L763">
        <v>2334065897</v>
      </c>
      <c r="M763">
        <v>2118752799</v>
      </c>
      <c r="N763">
        <v>1866232867</v>
      </c>
      <c r="O763">
        <v>1510599696</v>
      </c>
      <c r="P763">
        <v>2534</v>
      </c>
      <c r="Q763" t="s">
        <v>1761</v>
      </c>
    </row>
    <row r="764" spans="1:17" x14ac:dyDescent="0.3">
      <c r="A764" t="s">
        <v>17</v>
      </c>
      <c r="B764" t="str">
        <f>"600873"</f>
        <v>600873</v>
      </c>
      <c r="C764" t="s">
        <v>1762</v>
      </c>
      <c r="D764" t="s">
        <v>433</v>
      </c>
      <c r="F764">
        <v>16516210219</v>
      </c>
      <c r="G764">
        <v>12123787059</v>
      </c>
      <c r="H764">
        <v>10947626649</v>
      </c>
      <c r="I764">
        <v>9813322040</v>
      </c>
      <c r="J764">
        <v>8123898134</v>
      </c>
      <c r="K764">
        <v>7871741279</v>
      </c>
      <c r="L764">
        <v>9009691769</v>
      </c>
      <c r="M764">
        <v>6548725197</v>
      </c>
      <c r="N764">
        <v>5789655375</v>
      </c>
      <c r="O764">
        <v>5346311888</v>
      </c>
      <c r="P764">
        <v>990</v>
      </c>
      <c r="Q764" t="s">
        <v>1763</v>
      </c>
    </row>
    <row r="765" spans="1:17" x14ac:dyDescent="0.3">
      <c r="A765" t="s">
        <v>17</v>
      </c>
      <c r="B765" t="str">
        <f>"600874"</f>
        <v>600874</v>
      </c>
      <c r="C765" t="s">
        <v>1764</v>
      </c>
      <c r="D765" t="s">
        <v>33</v>
      </c>
      <c r="F765">
        <v>2511581000</v>
      </c>
      <c r="G765">
        <v>1930950000</v>
      </c>
      <c r="H765">
        <v>2032415000</v>
      </c>
      <c r="I765">
        <v>1709396000</v>
      </c>
      <c r="J765">
        <v>1344647000</v>
      </c>
      <c r="K765">
        <v>1143114000</v>
      </c>
      <c r="L765">
        <v>2861795000</v>
      </c>
      <c r="M765">
        <v>1063225000</v>
      </c>
      <c r="N765">
        <v>976316000</v>
      </c>
      <c r="O765">
        <v>866856000</v>
      </c>
      <c r="P765">
        <v>201</v>
      </c>
      <c r="Q765" t="s">
        <v>1765</v>
      </c>
    </row>
    <row r="766" spans="1:17" x14ac:dyDescent="0.3">
      <c r="A766" t="s">
        <v>17</v>
      </c>
      <c r="B766" t="str">
        <f>"600875"</f>
        <v>600875</v>
      </c>
      <c r="C766" t="s">
        <v>1766</v>
      </c>
      <c r="D766" t="s">
        <v>973</v>
      </c>
      <c r="F766">
        <v>28420231213</v>
      </c>
      <c r="G766">
        <v>25246698895</v>
      </c>
      <c r="H766">
        <v>18480197894</v>
      </c>
      <c r="I766">
        <v>20465367179</v>
      </c>
      <c r="J766">
        <v>20146909905</v>
      </c>
      <c r="K766">
        <v>26081882810</v>
      </c>
      <c r="L766">
        <v>24499880149</v>
      </c>
      <c r="M766">
        <v>26965849162</v>
      </c>
      <c r="N766">
        <v>24707657239</v>
      </c>
      <c r="O766">
        <v>21723476213</v>
      </c>
      <c r="P766">
        <v>482</v>
      </c>
      <c r="Q766" t="s">
        <v>1767</v>
      </c>
    </row>
    <row r="767" spans="1:17" x14ac:dyDescent="0.3">
      <c r="A767" t="s">
        <v>17</v>
      </c>
      <c r="B767" t="str">
        <f>"600876"</f>
        <v>600876</v>
      </c>
      <c r="C767" t="s">
        <v>1768</v>
      </c>
      <c r="D767" t="s">
        <v>666</v>
      </c>
      <c r="F767">
        <v>2099323901</v>
      </c>
      <c r="G767">
        <v>1007012313</v>
      </c>
      <c r="H767">
        <v>643832757</v>
      </c>
      <c r="I767">
        <v>695028593</v>
      </c>
      <c r="J767">
        <v>121874918</v>
      </c>
      <c r="K767">
        <v>85036124</v>
      </c>
      <c r="L767">
        <v>188092156</v>
      </c>
      <c r="M767">
        <v>230616638</v>
      </c>
      <c r="N767">
        <v>148852592</v>
      </c>
      <c r="O767">
        <v>295132512</v>
      </c>
      <c r="P767">
        <v>175</v>
      </c>
      <c r="Q767" t="s">
        <v>1769</v>
      </c>
    </row>
    <row r="768" spans="1:17" x14ac:dyDescent="0.3">
      <c r="A768" t="s">
        <v>17</v>
      </c>
      <c r="B768" t="str">
        <f>"600877"</f>
        <v>600877</v>
      </c>
      <c r="C768" t="s">
        <v>1770</v>
      </c>
      <c r="D768" t="s">
        <v>359</v>
      </c>
      <c r="F768">
        <v>1004803722</v>
      </c>
      <c r="G768">
        <v>186285523</v>
      </c>
      <c r="H768">
        <v>173441802</v>
      </c>
      <c r="I768">
        <v>157644705</v>
      </c>
      <c r="J768">
        <v>305922480</v>
      </c>
      <c r="K768">
        <v>366457628</v>
      </c>
      <c r="L768">
        <v>722136321</v>
      </c>
      <c r="M768">
        <v>882378327</v>
      </c>
      <c r="N768">
        <v>886180202</v>
      </c>
      <c r="O768">
        <v>1499875797</v>
      </c>
      <c r="P768">
        <v>119</v>
      </c>
      <c r="Q768" t="s">
        <v>1771</v>
      </c>
    </row>
    <row r="769" spans="1:17" x14ac:dyDescent="0.3">
      <c r="A769" t="s">
        <v>17</v>
      </c>
      <c r="B769" t="str">
        <f>"600878"</f>
        <v>600878</v>
      </c>
      <c r="C769" t="s">
        <v>1772</v>
      </c>
      <c r="K769">
        <v>0</v>
      </c>
      <c r="P769">
        <v>2</v>
      </c>
      <c r="Q769" t="s">
        <v>1773</v>
      </c>
    </row>
    <row r="770" spans="1:17" x14ac:dyDescent="0.3">
      <c r="A770" t="s">
        <v>17</v>
      </c>
      <c r="B770" t="str">
        <f>"600879"</f>
        <v>600879</v>
      </c>
      <c r="C770" t="s">
        <v>1774</v>
      </c>
      <c r="D770" t="s">
        <v>284</v>
      </c>
      <c r="F770">
        <v>8722000448</v>
      </c>
      <c r="G770">
        <v>6027774121</v>
      </c>
      <c r="H770">
        <v>7702718100</v>
      </c>
      <c r="I770">
        <v>6972454799</v>
      </c>
      <c r="J770">
        <v>6254557940</v>
      </c>
      <c r="K770">
        <v>5394471736</v>
      </c>
      <c r="L770">
        <v>1892354016</v>
      </c>
      <c r="M770">
        <v>2012883560</v>
      </c>
      <c r="N770">
        <v>2097669378</v>
      </c>
      <c r="O770">
        <v>1915613699</v>
      </c>
      <c r="P770">
        <v>359</v>
      </c>
      <c r="Q770" t="s">
        <v>1775</v>
      </c>
    </row>
    <row r="771" spans="1:17" x14ac:dyDescent="0.3">
      <c r="A771" t="s">
        <v>17</v>
      </c>
      <c r="B771" t="str">
        <f>"600880"</f>
        <v>600880</v>
      </c>
      <c r="C771" t="s">
        <v>1776</v>
      </c>
      <c r="D771" t="s">
        <v>1777</v>
      </c>
      <c r="F771">
        <v>548305954</v>
      </c>
      <c r="G771">
        <v>322217101</v>
      </c>
      <c r="H771">
        <v>287637373</v>
      </c>
      <c r="I771">
        <v>434972579</v>
      </c>
      <c r="J771">
        <v>689957084</v>
      </c>
      <c r="K771">
        <v>722414021</v>
      </c>
      <c r="L771">
        <v>935005671</v>
      </c>
      <c r="M771">
        <v>1188692032</v>
      </c>
      <c r="N771">
        <v>1014243256</v>
      </c>
      <c r="O771">
        <v>881122664</v>
      </c>
      <c r="P771">
        <v>314</v>
      </c>
      <c r="Q771" t="s">
        <v>1778</v>
      </c>
    </row>
    <row r="772" spans="1:17" x14ac:dyDescent="0.3">
      <c r="A772" t="s">
        <v>17</v>
      </c>
      <c r="B772" t="str">
        <f>"600881"</f>
        <v>600881</v>
      </c>
      <c r="C772" t="s">
        <v>1779</v>
      </c>
      <c r="D772" t="s">
        <v>110</v>
      </c>
      <c r="F772">
        <v>18305732093</v>
      </c>
      <c r="G772">
        <v>14519575379</v>
      </c>
      <c r="H772">
        <v>12715862217</v>
      </c>
      <c r="I772">
        <v>11980022427</v>
      </c>
      <c r="J772">
        <v>11577613226</v>
      </c>
      <c r="K772">
        <v>9468423977</v>
      </c>
      <c r="L772">
        <v>9722735020</v>
      </c>
      <c r="M772">
        <v>11678562576</v>
      </c>
      <c r="N772">
        <v>10992317454</v>
      </c>
      <c r="O772">
        <v>9347332863</v>
      </c>
      <c r="P772">
        <v>144</v>
      </c>
      <c r="Q772" t="s">
        <v>1780</v>
      </c>
    </row>
    <row r="773" spans="1:17" x14ac:dyDescent="0.3">
      <c r="A773" t="s">
        <v>17</v>
      </c>
      <c r="B773" t="str">
        <f>"600882"</f>
        <v>600882</v>
      </c>
      <c r="C773" t="s">
        <v>1781</v>
      </c>
      <c r="D773" t="s">
        <v>900</v>
      </c>
      <c r="F773">
        <v>3505596497</v>
      </c>
      <c r="G773">
        <v>2101703266</v>
      </c>
      <c r="H773">
        <v>1252323529</v>
      </c>
      <c r="I773">
        <v>834412339</v>
      </c>
      <c r="J773">
        <v>801511770</v>
      </c>
      <c r="K773">
        <v>323022016</v>
      </c>
      <c r="L773">
        <v>403532773</v>
      </c>
      <c r="M773">
        <v>890182077</v>
      </c>
      <c r="N773">
        <v>897968981</v>
      </c>
      <c r="O773">
        <v>1123985603</v>
      </c>
      <c r="P773">
        <v>515</v>
      </c>
      <c r="Q773" t="s">
        <v>1782</v>
      </c>
    </row>
    <row r="774" spans="1:17" x14ac:dyDescent="0.3">
      <c r="A774" t="s">
        <v>17</v>
      </c>
      <c r="B774" t="str">
        <f>"600883"</f>
        <v>600883</v>
      </c>
      <c r="C774" t="s">
        <v>1783</v>
      </c>
      <c r="D774" t="s">
        <v>731</v>
      </c>
      <c r="F774">
        <v>23311551</v>
      </c>
      <c r="G774">
        <v>14348370</v>
      </c>
      <c r="H774">
        <v>23404977</v>
      </c>
      <c r="I774">
        <v>29187814</v>
      </c>
      <c r="J774">
        <v>23070010</v>
      </c>
      <c r="K774">
        <v>13447476</v>
      </c>
      <c r="L774">
        <v>12864245</v>
      </c>
      <c r="M774">
        <v>23251388</v>
      </c>
      <c r="N774">
        <v>30291413</v>
      </c>
      <c r="O774">
        <v>69683885</v>
      </c>
      <c r="P774">
        <v>78</v>
      </c>
      <c r="Q774" t="s">
        <v>1784</v>
      </c>
    </row>
    <row r="775" spans="1:17" x14ac:dyDescent="0.3">
      <c r="A775" t="s">
        <v>17</v>
      </c>
      <c r="B775" t="str">
        <f>"600884"</f>
        <v>600884</v>
      </c>
      <c r="C775" t="s">
        <v>1785</v>
      </c>
      <c r="D775" t="s">
        <v>1786</v>
      </c>
      <c r="F775">
        <v>10128566988</v>
      </c>
      <c r="G775">
        <v>4492253626</v>
      </c>
      <c r="H775">
        <v>4887861388</v>
      </c>
      <c r="I775">
        <v>5724751401</v>
      </c>
      <c r="J775">
        <v>5169231126</v>
      </c>
      <c r="K775">
        <v>2856821214</v>
      </c>
      <c r="L775">
        <v>2336409058</v>
      </c>
      <c r="M775">
        <v>2317219072</v>
      </c>
      <c r="N775">
        <v>3102410317</v>
      </c>
      <c r="O775">
        <v>2801540420</v>
      </c>
      <c r="P775">
        <v>758</v>
      </c>
      <c r="Q775" t="s">
        <v>1787</v>
      </c>
    </row>
    <row r="776" spans="1:17" x14ac:dyDescent="0.3">
      <c r="A776" t="s">
        <v>17</v>
      </c>
      <c r="B776" t="str">
        <f>"600885"</f>
        <v>600885</v>
      </c>
      <c r="C776" t="s">
        <v>1788</v>
      </c>
      <c r="D776" t="s">
        <v>610</v>
      </c>
      <c r="F776">
        <v>6775137206</v>
      </c>
      <c r="G776">
        <v>5492034834</v>
      </c>
      <c r="H776">
        <v>5082535906</v>
      </c>
      <c r="I776">
        <v>4147918600</v>
      </c>
      <c r="J776">
        <v>3702388150</v>
      </c>
      <c r="K776">
        <v>3132329532</v>
      </c>
      <c r="L776">
        <v>2860608301</v>
      </c>
      <c r="M776">
        <v>2351628579</v>
      </c>
      <c r="N776">
        <v>1942093868</v>
      </c>
      <c r="O776">
        <v>43667270</v>
      </c>
      <c r="P776">
        <v>13105</v>
      </c>
      <c r="Q776" t="s">
        <v>1789</v>
      </c>
    </row>
    <row r="777" spans="1:17" x14ac:dyDescent="0.3">
      <c r="A777" t="s">
        <v>17</v>
      </c>
      <c r="B777" t="str">
        <f>"600886"</f>
        <v>600886</v>
      </c>
      <c r="C777" t="s">
        <v>1790</v>
      </c>
      <c r="D777" t="s">
        <v>66</v>
      </c>
      <c r="F777">
        <v>32033016308</v>
      </c>
      <c r="G777">
        <v>30266611079</v>
      </c>
      <c r="H777">
        <v>34953426039</v>
      </c>
      <c r="I777">
        <v>32948063632</v>
      </c>
      <c r="J777">
        <v>26157928250</v>
      </c>
      <c r="K777">
        <v>23368555302</v>
      </c>
      <c r="L777">
        <v>26912102325</v>
      </c>
      <c r="M777">
        <v>27730494447</v>
      </c>
      <c r="N777">
        <v>22378290960</v>
      </c>
      <c r="O777">
        <v>20250021650</v>
      </c>
      <c r="P777">
        <v>2023</v>
      </c>
      <c r="Q777" t="s">
        <v>1791</v>
      </c>
    </row>
    <row r="778" spans="1:17" x14ac:dyDescent="0.3">
      <c r="A778" t="s">
        <v>17</v>
      </c>
      <c r="B778" t="str">
        <f>"600887"</f>
        <v>600887</v>
      </c>
      <c r="C778" t="s">
        <v>1792</v>
      </c>
      <c r="D778" t="s">
        <v>900</v>
      </c>
      <c r="F778">
        <v>90343503111</v>
      </c>
      <c r="G778">
        <v>77860180145</v>
      </c>
      <c r="H778">
        <v>75280494725</v>
      </c>
      <c r="I778">
        <v>67804495324</v>
      </c>
      <c r="J778">
        <v>57856606835</v>
      </c>
      <c r="K778">
        <v>52177055850</v>
      </c>
      <c r="L778">
        <v>52587107316</v>
      </c>
      <c r="M778">
        <v>47056684575</v>
      </c>
      <c r="N778">
        <v>42531326422</v>
      </c>
      <c r="O778">
        <v>37733879480</v>
      </c>
      <c r="P778">
        <v>72799</v>
      </c>
      <c r="Q778" t="s">
        <v>1793</v>
      </c>
    </row>
    <row r="779" spans="1:17" x14ac:dyDescent="0.3">
      <c r="A779" t="s">
        <v>17</v>
      </c>
      <c r="B779" t="str">
        <f>"600888"</f>
        <v>600888</v>
      </c>
      <c r="C779" t="s">
        <v>1794</v>
      </c>
      <c r="D779" t="s">
        <v>504</v>
      </c>
      <c r="F779">
        <v>5517018068</v>
      </c>
      <c r="G779">
        <v>3828005226</v>
      </c>
      <c r="H779">
        <v>4117028945</v>
      </c>
      <c r="I779">
        <v>5024503180</v>
      </c>
      <c r="J779">
        <v>3097267132</v>
      </c>
      <c r="K779">
        <v>4369313670</v>
      </c>
      <c r="L779">
        <v>5033043061</v>
      </c>
      <c r="M779">
        <v>2665997295</v>
      </c>
      <c r="N779">
        <v>1886930022</v>
      </c>
      <c r="O779">
        <v>1137392673</v>
      </c>
      <c r="P779">
        <v>183</v>
      </c>
      <c r="Q779" t="s">
        <v>1795</v>
      </c>
    </row>
    <row r="780" spans="1:17" x14ac:dyDescent="0.3">
      <c r="A780" t="s">
        <v>17</v>
      </c>
      <c r="B780" t="str">
        <f>"600889"</f>
        <v>600889</v>
      </c>
      <c r="C780" t="s">
        <v>1796</v>
      </c>
      <c r="D780" t="s">
        <v>888</v>
      </c>
      <c r="F780">
        <v>295505803</v>
      </c>
      <c r="G780">
        <v>191203094</v>
      </c>
      <c r="H780">
        <v>272552922</v>
      </c>
      <c r="I780">
        <v>512232954</v>
      </c>
      <c r="J780">
        <v>541353758</v>
      </c>
      <c r="K780">
        <v>739090929</v>
      </c>
      <c r="L780">
        <v>612802357</v>
      </c>
      <c r="M780">
        <v>933185027</v>
      </c>
      <c r="N780">
        <v>963809266</v>
      </c>
      <c r="O780">
        <v>919988178</v>
      </c>
      <c r="P780">
        <v>77</v>
      </c>
      <c r="Q780" t="s">
        <v>1797</v>
      </c>
    </row>
    <row r="781" spans="1:17" x14ac:dyDescent="0.3">
      <c r="A781" t="s">
        <v>17</v>
      </c>
      <c r="B781" t="str">
        <f>"600890"</f>
        <v>600890</v>
      </c>
      <c r="C781" t="s">
        <v>1798</v>
      </c>
      <c r="D781" t="s">
        <v>30</v>
      </c>
      <c r="F781">
        <v>264870</v>
      </c>
      <c r="G781">
        <v>264870</v>
      </c>
      <c r="H781">
        <v>413256</v>
      </c>
      <c r="I781">
        <v>485352</v>
      </c>
      <c r="J781">
        <v>1595357</v>
      </c>
      <c r="K781">
        <v>2327809</v>
      </c>
      <c r="L781">
        <v>2040623</v>
      </c>
      <c r="M781">
        <v>2144880</v>
      </c>
      <c r="N781">
        <v>4995946</v>
      </c>
      <c r="O781">
        <v>9815736</v>
      </c>
      <c r="P781">
        <v>73</v>
      </c>
      <c r="Q781" t="s">
        <v>1799</v>
      </c>
    </row>
    <row r="782" spans="1:17" x14ac:dyDescent="0.3">
      <c r="A782" t="s">
        <v>17</v>
      </c>
      <c r="B782" t="str">
        <f>"600891"</f>
        <v>600891</v>
      </c>
      <c r="C782" t="s">
        <v>1800</v>
      </c>
      <c r="G782">
        <v>154654073</v>
      </c>
      <c r="H782">
        <v>429028154</v>
      </c>
      <c r="I782">
        <v>5149608844</v>
      </c>
      <c r="J782">
        <v>5918151277</v>
      </c>
      <c r="K782">
        <v>4458712044</v>
      </c>
      <c r="L782">
        <v>363606784</v>
      </c>
      <c r="M782">
        <v>333721770</v>
      </c>
      <c r="N782">
        <v>322597942</v>
      </c>
      <c r="O782">
        <v>323825057</v>
      </c>
      <c r="P782">
        <v>45</v>
      </c>
      <c r="Q782" t="s">
        <v>1801</v>
      </c>
    </row>
    <row r="783" spans="1:17" x14ac:dyDescent="0.3">
      <c r="A783" t="s">
        <v>17</v>
      </c>
      <c r="B783" t="str">
        <f>"600892"</f>
        <v>600892</v>
      </c>
      <c r="C783" t="s">
        <v>1802</v>
      </c>
      <c r="D783" t="s">
        <v>517</v>
      </c>
      <c r="F783">
        <v>140703975</v>
      </c>
      <c r="G783">
        <v>244658236</v>
      </c>
      <c r="H783">
        <v>153174148</v>
      </c>
      <c r="I783">
        <v>151085996</v>
      </c>
      <c r="J783">
        <v>212004242</v>
      </c>
      <c r="K783">
        <v>249026990</v>
      </c>
      <c r="L783">
        <v>4409025</v>
      </c>
      <c r="M783">
        <v>171155374</v>
      </c>
      <c r="N783">
        <v>227625528</v>
      </c>
      <c r="O783">
        <v>476659858</v>
      </c>
      <c r="P783">
        <v>85</v>
      </c>
      <c r="Q783" t="s">
        <v>1803</v>
      </c>
    </row>
    <row r="784" spans="1:17" x14ac:dyDescent="0.3">
      <c r="A784" t="s">
        <v>17</v>
      </c>
      <c r="B784" t="str">
        <f>"600893"</f>
        <v>600893</v>
      </c>
      <c r="C784" t="s">
        <v>1804</v>
      </c>
      <c r="D784" t="s">
        <v>98</v>
      </c>
      <c r="F784">
        <v>32852548659</v>
      </c>
      <c r="G784">
        <v>9274542049</v>
      </c>
      <c r="H784">
        <v>11245588490</v>
      </c>
      <c r="I784">
        <v>11549882327</v>
      </c>
      <c r="J784">
        <v>10757633643</v>
      </c>
      <c r="K784">
        <v>8283377012</v>
      </c>
      <c r="L784">
        <v>11555144744</v>
      </c>
      <c r="M784">
        <v>15568401946</v>
      </c>
      <c r="N784">
        <v>3753602762</v>
      </c>
      <c r="O784">
        <v>3350665821</v>
      </c>
      <c r="P784">
        <v>1086</v>
      </c>
      <c r="Q784" t="s">
        <v>1805</v>
      </c>
    </row>
    <row r="785" spans="1:17" x14ac:dyDescent="0.3">
      <c r="A785" t="s">
        <v>17</v>
      </c>
      <c r="B785" t="str">
        <f>"600894"</f>
        <v>600894</v>
      </c>
      <c r="C785" t="s">
        <v>1806</v>
      </c>
      <c r="D785" t="s">
        <v>1689</v>
      </c>
      <c r="F785">
        <v>6026195749</v>
      </c>
      <c r="G785">
        <v>5105266900</v>
      </c>
      <c r="H785">
        <v>5172667902</v>
      </c>
      <c r="I785">
        <v>4250990031</v>
      </c>
      <c r="J785">
        <v>4343319027</v>
      </c>
      <c r="K785">
        <v>3557399150</v>
      </c>
      <c r="L785">
        <v>3646471297</v>
      </c>
      <c r="M785">
        <v>3432896622</v>
      </c>
      <c r="N785">
        <v>3226662989</v>
      </c>
      <c r="O785">
        <v>3349709012</v>
      </c>
      <c r="P785">
        <v>394</v>
      </c>
      <c r="Q785" t="s">
        <v>1807</v>
      </c>
    </row>
    <row r="786" spans="1:17" x14ac:dyDescent="0.3">
      <c r="A786" t="s">
        <v>17</v>
      </c>
      <c r="B786" t="str">
        <f>"600895"</f>
        <v>600895</v>
      </c>
      <c r="C786" t="s">
        <v>1808</v>
      </c>
      <c r="D786" t="s">
        <v>194</v>
      </c>
      <c r="F786">
        <v>1026225234</v>
      </c>
      <c r="G786">
        <v>678345240</v>
      </c>
      <c r="H786">
        <v>1300005377</v>
      </c>
      <c r="I786">
        <v>700474312</v>
      </c>
      <c r="J786">
        <v>760706557</v>
      </c>
      <c r="K786">
        <v>1261470871</v>
      </c>
      <c r="L786">
        <v>1218609176</v>
      </c>
      <c r="M786">
        <v>1157542429</v>
      </c>
      <c r="N786">
        <v>1038025875</v>
      </c>
      <c r="O786">
        <v>1463546188</v>
      </c>
      <c r="P786">
        <v>336</v>
      </c>
      <c r="Q786" t="s">
        <v>1809</v>
      </c>
    </row>
    <row r="787" spans="1:17" x14ac:dyDescent="0.3">
      <c r="A787" t="s">
        <v>17</v>
      </c>
      <c r="B787" t="str">
        <f>"600896"</f>
        <v>600896</v>
      </c>
      <c r="C787" t="s">
        <v>1810</v>
      </c>
      <c r="D787" t="s">
        <v>1147</v>
      </c>
      <c r="F787">
        <v>65959529</v>
      </c>
      <c r="G787">
        <v>60192112</v>
      </c>
      <c r="H787">
        <v>25083329</v>
      </c>
      <c r="I787">
        <v>45945940</v>
      </c>
      <c r="J787">
        <v>128575018</v>
      </c>
      <c r="K787">
        <v>686820864</v>
      </c>
      <c r="L787">
        <v>642045550</v>
      </c>
      <c r="M787">
        <v>680209612</v>
      </c>
      <c r="N787">
        <v>578499184</v>
      </c>
      <c r="O787">
        <v>632395893</v>
      </c>
      <c r="P787">
        <v>93</v>
      </c>
      <c r="Q787" t="s">
        <v>1811</v>
      </c>
    </row>
    <row r="788" spans="1:17" x14ac:dyDescent="0.3">
      <c r="A788" t="s">
        <v>17</v>
      </c>
      <c r="B788" t="str">
        <f>"600897"</f>
        <v>600897</v>
      </c>
      <c r="C788" t="s">
        <v>1812</v>
      </c>
      <c r="D788" t="s">
        <v>22</v>
      </c>
      <c r="F788">
        <v>1173196454</v>
      </c>
      <c r="G788">
        <v>869185804</v>
      </c>
      <c r="H788">
        <v>1315137458</v>
      </c>
      <c r="I788">
        <v>1393571106</v>
      </c>
      <c r="J788">
        <v>1159390507</v>
      </c>
      <c r="K788">
        <v>1056170384</v>
      </c>
      <c r="L788">
        <v>998553356</v>
      </c>
      <c r="M788">
        <v>1038447764</v>
      </c>
      <c r="N788">
        <v>905812491</v>
      </c>
      <c r="O788">
        <v>734320268</v>
      </c>
      <c r="P788">
        <v>479</v>
      </c>
      <c r="Q788" t="s">
        <v>1813</v>
      </c>
    </row>
    <row r="789" spans="1:17" x14ac:dyDescent="0.3">
      <c r="A789" t="s">
        <v>17</v>
      </c>
      <c r="B789" t="str">
        <f>"600898"</f>
        <v>600898</v>
      </c>
      <c r="C789" t="s">
        <v>1814</v>
      </c>
      <c r="D789" t="s">
        <v>313</v>
      </c>
      <c r="F789">
        <v>168575308</v>
      </c>
      <c r="G789">
        <v>856766212</v>
      </c>
      <c r="H789">
        <v>888440683</v>
      </c>
      <c r="I789">
        <v>2131177671</v>
      </c>
      <c r="J789">
        <v>1232451704</v>
      </c>
      <c r="K789">
        <v>696070117</v>
      </c>
      <c r="L789">
        <v>737210004</v>
      </c>
      <c r="M789">
        <v>683471371</v>
      </c>
      <c r="N789">
        <v>664326191</v>
      </c>
      <c r="O789">
        <v>591738082</v>
      </c>
      <c r="P789">
        <v>57</v>
      </c>
      <c r="Q789" t="s">
        <v>1815</v>
      </c>
    </row>
    <row r="790" spans="1:17" x14ac:dyDescent="0.3">
      <c r="A790" t="s">
        <v>17</v>
      </c>
      <c r="B790" t="str">
        <f>"600900"</f>
        <v>600900</v>
      </c>
      <c r="C790" t="s">
        <v>1816</v>
      </c>
      <c r="D790" t="s">
        <v>66</v>
      </c>
      <c r="F790">
        <v>39979436767</v>
      </c>
      <c r="G790">
        <v>43182993139</v>
      </c>
      <c r="H790">
        <v>39912755468</v>
      </c>
      <c r="I790">
        <v>42221284201</v>
      </c>
      <c r="J790">
        <v>39780027635</v>
      </c>
      <c r="K790">
        <v>41168126072</v>
      </c>
      <c r="L790">
        <v>18975736990</v>
      </c>
      <c r="M790">
        <v>20265698311</v>
      </c>
      <c r="N790">
        <v>19542925725</v>
      </c>
      <c r="O790">
        <v>21388285811</v>
      </c>
      <c r="P790">
        <v>5902</v>
      </c>
      <c r="Q790" t="s">
        <v>1817</v>
      </c>
    </row>
    <row r="791" spans="1:17" x14ac:dyDescent="0.3">
      <c r="A791" t="s">
        <v>17</v>
      </c>
      <c r="B791" t="str">
        <f>"600901"</f>
        <v>600901</v>
      </c>
      <c r="C791" t="s">
        <v>1818</v>
      </c>
      <c r="D791" t="s">
        <v>336</v>
      </c>
      <c r="F791">
        <v>0</v>
      </c>
      <c r="G791">
        <v>0</v>
      </c>
      <c r="H791">
        <v>3423716898</v>
      </c>
      <c r="I791">
        <v>2785653776</v>
      </c>
      <c r="J791">
        <v>0</v>
      </c>
      <c r="P791">
        <v>475</v>
      </c>
      <c r="Q791" t="s">
        <v>1819</v>
      </c>
    </row>
    <row r="792" spans="1:17" x14ac:dyDescent="0.3">
      <c r="A792" t="s">
        <v>17</v>
      </c>
      <c r="B792" t="str">
        <f>"600903"</f>
        <v>600903</v>
      </c>
      <c r="C792" t="s">
        <v>1820</v>
      </c>
      <c r="D792" t="s">
        <v>749</v>
      </c>
      <c r="F792">
        <v>3735518415</v>
      </c>
      <c r="G792">
        <v>2937529904</v>
      </c>
      <c r="H792">
        <v>3308581440</v>
      </c>
      <c r="I792">
        <v>2652173030</v>
      </c>
      <c r="J792">
        <v>2338320110</v>
      </c>
      <c r="K792">
        <v>1907187584</v>
      </c>
      <c r="P792">
        <v>186</v>
      </c>
      <c r="Q792" t="s">
        <v>1821</v>
      </c>
    </row>
    <row r="793" spans="1:17" x14ac:dyDescent="0.3">
      <c r="A793" t="s">
        <v>17</v>
      </c>
      <c r="B793" t="str">
        <f>"600905"</f>
        <v>600905</v>
      </c>
      <c r="C793" t="s">
        <v>1822</v>
      </c>
      <c r="D793" t="s">
        <v>383</v>
      </c>
      <c r="F793">
        <v>8144764296</v>
      </c>
      <c r="G793">
        <v>5227585141</v>
      </c>
      <c r="P793">
        <v>657</v>
      </c>
      <c r="Q793" t="s">
        <v>1823</v>
      </c>
    </row>
    <row r="794" spans="1:17" x14ac:dyDescent="0.3">
      <c r="A794" t="s">
        <v>17</v>
      </c>
      <c r="B794" t="str">
        <f>"600906"</f>
        <v>600906</v>
      </c>
      <c r="C794" t="s">
        <v>1824</v>
      </c>
      <c r="D794" t="s">
        <v>80</v>
      </c>
      <c r="F794">
        <v>0</v>
      </c>
      <c r="P794">
        <v>131</v>
      </c>
      <c r="Q794" t="s">
        <v>1825</v>
      </c>
    </row>
    <row r="795" spans="1:17" x14ac:dyDescent="0.3">
      <c r="A795" t="s">
        <v>17</v>
      </c>
      <c r="B795" t="str">
        <f>"600908"</f>
        <v>600908</v>
      </c>
      <c r="C795" t="s">
        <v>1826</v>
      </c>
      <c r="D795" t="s">
        <v>1827</v>
      </c>
      <c r="P795">
        <v>897</v>
      </c>
      <c r="Q795" t="s">
        <v>1828</v>
      </c>
    </row>
    <row r="796" spans="1:17" x14ac:dyDescent="0.3">
      <c r="A796" t="s">
        <v>17</v>
      </c>
      <c r="B796" t="str">
        <f>"600909"</f>
        <v>600909</v>
      </c>
      <c r="C796" t="s">
        <v>1829</v>
      </c>
      <c r="D796" t="s">
        <v>80</v>
      </c>
      <c r="P796">
        <v>832</v>
      </c>
      <c r="Q796" t="s">
        <v>1830</v>
      </c>
    </row>
    <row r="797" spans="1:17" x14ac:dyDescent="0.3">
      <c r="A797" t="s">
        <v>17</v>
      </c>
      <c r="B797" t="str">
        <f>"600916"</f>
        <v>600916</v>
      </c>
      <c r="C797" t="s">
        <v>1831</v>
      </c>
      <c r="D797" t="s">
        <v>1238</v>
      </c>
      <c r="F797">
        <v>41026746237</v>
      </c>
      <c r="G797">
        <v>26237306311</v>
      </c>
      <c r="H797">
        <v>29829626530</v>
      </c>
      <c r="P797">
        <v>97</v>
      </c>
      <c r="Q797" t="s">
        <v>1832</v>
      </c>
    </row>
    <row r="798" spans="1:17" x14ac:dyDescent="0.3">
      <c r="A798" t="s">
        <v>17</v>
      </c>
      <c r="B798" t="str">
        <f>"600917"</f>
        <v>600917</v>
      </c>
      <c r="C798" t="s">
        <v>1833</v>
      </c>
      <c r="D798" t="s">
        <v>749</v>
      </c>
      <c r="F798">
        <v>5985454549</v>
      </c>
      <c r="G798">
        <v>5254625373</v>
      </c>
      <c r="H798">
        <v>5778017569</v>
      </c>
      <c r="I798">
        <v>4984102105</v>
      </c>
      <c r="J798">
        <v>4637774125</v>
      </c>
      <c r="K798">
        <v>4881003894</v>
      </c>
      <c r="L798">
        <v>5319100633</v>
      </c>
      <c r="M798">
        <v>4682906707</v>
      </c>
      <c r="N798">
        <v>5095275726</v>
      </c>
      <c r="P798">
        <v>176</v>
      </c>
      <c r="Q798" t="s">
        <v>1834</v>
      </c>
    </row>
    <row r="799" spans="1:17" x14ac:dyDescent="0.3">
      <c r="A799" t="s">
        <v>17</v>
      </c>
      <c r="B799" t="str">
        <f>"600918"</f>
        <v>600918</v>
      </c>
      <c r="C799" t="s">
        <v>1835</v>
      </c>
      <c r="D799" t="s">
        <v>80</v>
      </c>
      <c r="P799">
        <v>568</v>
      </c>
      <c r="Q799" t="s">
        <v>1836</v>
      </c>
    </row>
    <row r="800" spans="1:17" x14ac:dyDescent="0.3">
      <c r="A800" t="s">
        <v>17</v>
      </c>
      <c r="B800" t="str">
        <f>"600919"</f>
        <v>600919</v>
      </c>
      <c r="C800" t="s">
        <v>1837</v>
      </c>
      <c r="D800" t="s">
        <v>1838</v>
      </c>
      <c r="P800">
        <v>1465</v>
      </c>
      <c r="Q800" t="s">
        <v>1839</v>
      </c>
    </row>
    <row r="801" spans="1:17" x14ac:dyDescent="0.3">
      <c r="A801" t="s">
        <v>17</v>
      </c>
      <c r="B801" t="str">
        <f>"600926"</f>
        <v>600926</v>
      </c>
      <c r="C801" t="s">
        <v>1840</v>
      </c>
      <c r="D801" t="s">
        <v>1838</v>
      </c>
      <c r="P801">
        <v>1141</v>
      </c>
      <c r="Q801" t="s">
        <v>1841</v>
      </c>
    </row>
    <row r="802" spans="1:17" x14ac:dyDescent="0.3">
      <c r="A802" t="s">
        <v>17</v>
      </c>
      <c r="B802" t="str">
        <f>"600927"</f>
        <v>600927</v>
      </c>
      <c r="C802" t="s">
        <v>1842</v>
      </c>
      <c r="D802" t="s">
        <v>1843</v>
      </c>
      <c r="F802">
        <v>29654714884</v>
      </c>
      <c r="G802">
        <v>18762290816</v>
      </c>
      <c r="P802">
        <v>22</v>
      </c>
      <c r="Q802" t="s">
        <v>1844</v>
      </c>
    </row>
    <row r="803" spans="1:17" x14ac:dyDescent="0.3">
      <c r="A803" t="s">
        <v>17</v>
      </c>
      <c r="B803" t="str">
        <f>"600928"</f>
        <v>600928</v>
      </c>
      <c r="C803" t="s">
        <v>1845</v>
      </c>
      <c r="D803" t="s">
        <v>1838</v>
      </c>
      <c r="P803">
        <v>409</v>
      </c>
      <c r="Q803" t="s">
        <v>1846</v>
      </c>
    </row>
    <row r="804" spans="1:17" x14ac:dyDescent="0.3">
      <c r="A804" t="s">
        <v>17</v>
      </c>
      <c r="B804" t="str">
        <f>"600929"</f>
        <v>600929</v>
      </c>
      <c r="C804" t="s">
        <v>1847</v>
      </c>
      <c r="D804" t="s">
        <v>736</v>
      </c>
      <c r="F804">
        <v>1647308647</v>
      </c>
      <c r="G804">
        <v>1396480360</v>
      </c>
      <c r="H804">
        <v>1621914643</v>
      </c>
      <c r="I804">
        <v>1490734394</v>
      </c>
      <c r="J804">
        <v>1562122286</v>
      </c>
      <c r="P804">
        <v>133</v>
      </c>
      <c r="Q804" t="s">
        <v>1848</v>
      </c>
    </row>
    <row r="805" spans="1:17" x14ac:dyDescent="0.3">
      <c r="A805" t="s">
        <v>17</v>
      </c>
      <c r="B805" t="str">
        <f>"600933"</f>
        <v>600933</v>
      </c>
      <c r="C805" t="s">
        <v>1849</v>
      </c>
      <c r="D805" t="s">
        <v>348</v>
      </c>
      <c r="F805">
        <v>2514724396</v>
      </c>
      <c r="G805">
        <v>1821472933</v>
      </c>
      <c r="H805">
        <v>2070244026</v>
      </c>
      <c r="I805">
        <v>1865154745</v>
      </c>
      <c r="J805">
        <v>1634489644</v>
      </c>
      <c r="K805">
        <v>1335089144</v>
      </c>
      <c r="P805">
        <v>176</v>
      </c>
      <c r="Q805" t="s">
        <v>1850</v>
      </c>
    </row>
    <row r="806" spans="1:17" x14ac:dyDescent="0.3">
      <c r="A806" t="s">
        <v>17</v>
      </c>
      <c r="B806" t="str">
        <f>"600935"</f>
        <v>600935</v>
      </c>
      <c r="C806" t="s">
        <v>1851</v>
      </c>
      <c r="D806" t="s">
        <v>175</v>
      </c>
      <c r="F806">
        <v>3932318069</v>
      </c>
      <c r="G806">
        <v>2967325607</v>
      </c>
      <c r="P806">
        <v>16</v>
      </c>
      <c r="Q806" t="s">
        <v>1852</v>
      </c>
    </row>
    <row r="807" spans="1:17" x14ac:dyDescent="0.3">
      <c r="A807" t="s">
        <v>17</v>
      </c>
      <c r="B807" t="str">
        <f>"600936"</f>
        <v>600936</v>
      </c>
      <c r="C807" t="s">
        <v>1853</v>
      </c>
      <c r="D807" t="s">
        <v>95</v>
      </c>
      <c r="F807">
        <v>1626499209</v>
      </c>
      <c r="G807">
        <v>1323622991</v>
      </c>
      <c r="H807">
        <v>1458347467</v>
      </c>
      <c r="I807">
        <v>1561706350</v>
      </c>
      <c r="J807">
        <v>1552866255</v>
      </c>
      <c r="K807">
        <v>1763126884</v>
      </c>
      <c r="L807">
        <v>1580217843</v>
      </c>
      <c r="P807">
        <v>80</v>
      </c>
      <c r="Q807" t="s">
        <v>1854</v>
      </c>
    </row>
    <row r="808" spans="1:17" x14ac:dyDescent="0.3">
      <c r="A808" t="s">
        <v>17</v>
      </c>
      <c r="B808" t="str">
        <f>"600939"</f>
        <v>600939</v>
      </c>
      <c r="C808" t="s">
        <v>1855</v>
      </c>
      <c r="D808" t="s">
        <v>398</v>
      </c>
      <c r="F808">
        <v>39170824549</v>
      </c>
      <c r="G808">
        <v>37034456348</v>
      </c>
      <c r="H808">
        <v>33578400826</v>
      </c>
      <c r="I808">
        <v>34152292661</v>
      </c>
      <c r="J808">
        <v>31749014242</v>
      </c>
      <c r="K808">
        <v>25250040278</v>
      </c>
      <c r="L808">
        <v>28674909541</v>
      </c>
      <c r="P808">
        <v>125</v>
      </c>
      <c r="Q808" t="s">
        <v>1856</v>
      </c>
    </row>
    <row r="809" spans="1:17" x14ac:dyDescent="0.3">
      <c r="A809" t="s">
        <v>17</v>
      </c>
      <c r="B809" t="str">
        <f>"600941"</f>
        <v>600941</v>
      </c>
      <c r="C809" t="s">
        <v>1857</v>
      </c>
      <c r="D809" t="s">
        <v>107</v>
      </c>
      <c r="F809">
        <v>682914000000</v>
      </c>
      <c r="G809">
        <v>684482000000</v>
      </c>
      <c r="P809">
        <v>114</v>
      </c>
      <c r="Q809" t="s">
        <v>1858</v>
      </c>
    </row>
    <row r="810" spans="1:17" x14ac:dyDescent="0.3">
      <c r="A810" t="s">
        <v>17</v>
      </c>
      <c r="B810" t="str">
        <f>"600955"</f>
        <v>600955</v>
      </c>
      <c r="C810" t="s">
        <v>1859</v>
      </c>
      <c r="D810" t="s">
        <v>1233</v>
      </c>
      <c r="F810">
        <v>8421648130</v>
      </c>
      <c r="P810">
        <v>46</v>
      </c>
      <c r="Q810" t="s">
        <v>1860</v>
      </c>
    </row>
    <row r="811" spans="1:17" x14ac:dyDescent="0.3">
      <c r="A811" t="s">
        <v>17</v>
      </c>
      <c r="B811" t="str">
        <f>"600956"</f>
        <v>600956</v>
      </c>
      <c r="C811" t="s">
        <v>1861</v>
      </c>
      <c r="D811" t="s">
        <v>383</v>
      </c>
      <c r="F811">
        <v>10503267083</v>
      </c>
      <c r="G811">
        <v>8486989620</v>
      </c>
      <c r="H811">
        <v>8003968217</v>
      </c>
      <c r="P811">
        <v>204</v>
      </c>
      <c r="Q811" t="s">
        <v>1862</v>
      </c>
    </row>
    <row r="812" spans="1:17" x14ac:dyDescent="0.3">
      <c r="A812" t="s">
        <v>17</v>
      </c>
      <c r="B812" t="str">
        <f>"600958"</f>
        <v>600958</v>
      </c>
      <c r="C812" t="s">
        <v>1863</v>
      </c>
      <c r="D812" t="s">
        <v>80</v>
      </c>
      <c r="P812">
        <v>1248</v>
      </c>
      <c r="Q812" t="s">
        <v>1864</v>
      </c>
    </row>
    <row r="813" spans="1:17" x14ac:dyDescent="0.3">
      <c r="A813" t="s">
        <v>17</v>
      </c>
      <c r="B813" t="str">
        <f>"600959"</f>
        <v>600959</v>
      </c>
      <c r="C813" t="s">
        <v>1865</v>
      </c>
      <c r="D813" t="s">
        <v>95</v>
      </c>
      <c r="F813">
        <v>5485245873</v>
      </c>
      <c r="G813">
        <v>5423905050</v>
      </c>
      <c r="H813">
        <v>5531843719</v>
      </c>
      <c r="I813">
        <v>5970329193</v>
      </c>
      <c r="J813">
        <v>5652714408</v>
      </c>
      <c r="K813">
        <v>3497730689</v>
      </c>
      <c r="L813">
        <v>3400685675</v>
      </c>
      <c r="M813">
        <v>3301984418</v>
      </c>
      <c r="P813">
        <v>150</v>
      </c>
      <c r="Q813" t="s">
        <v>1866</v>
      </c>
    </row>
    <row r="814" spans="1:17" x14ac:dyDescent="0.3">
      <c r="A814" t="s">
        <v>17</v>
      </c>
      <c r="B814" t="str">
        <f>"600960"</f>
        <v>600960</v>
      </c>
      <c r="C814" t="s">
        <v>1867</v>
      </c>
      <c r="D814" t="s">
        <v>348</v>
      </c>
      <c r="F814">
        <v>3347946932</v>
      </c>
      <c r="G814">
        <v>2978050879</v>
      </c>
      <c r="H814">
        <v>4140103322</v>
      </c>
      <c r="I814">
        <v>2456151454</v>
      </c>
      <c r="J814">
        <v>1812610402</v>
      </c>
      <c r="K814">
        <v>1053661680</v>
      </c>
      <c r="L814">
        <v>935807016</v>
      </c>
      <c r="M814">
        <v>1150612639</v>
      </c>
      <c r="N814">
        <v>987758723</v>
      </c>
      <c r="O814">
        <v>1519938588</v>
      </c>
      <c r="P814">
        <v>91</v>
      </c>
      <c r="Q814" t="s">
        <v>1868</v>
      </c>
    </row>
    <row r="815" spans="1:17" x14ac:dyDescent="0.3">
      <c r="A815" t="s">
        <v>17</v>
      </c>
      <c r="B815" t="str">
        <f>"600961"</f>
        <v>600961</v>
      </c>
      <c r="C815" t="s">
        <v>1869</v>
      </c>
      <c r="D815" t="s">
        <v>744</v>
      </c>
      <c r="F815">
        <v>14429363944</v>
      </c>
      <c r="G815">
        <v>12648751841</v>
      </c>
      <c r="H815">
        <v>7860274780</v>
      </c>
      <c r="I815">
        <v>10650075052</v>
      </c>
      <c r="J815">
        <v>12383373207</v>
      </c>
      <c r="K815">
        <v>10507544887</v>
      </c>
      <c r="L815">
        <v>11759475187</v>
      </c>
      <c r="M815">
        <v>12887669975</v>
      </c>
      <c r="N815">
        <v>12815652485</v>
      </c>
      <c r="O815">
        <v>9251306431</v>
      </c>
      <c r="P815">
        <v>127</v>
      </c>
      <c r="Q815" t="s">
        <v>1870</v>
      </c>
    </row>
    <row r="816" spans="1:17" x14ac:dyDescent="0.3">
      <c r="A816" t="s">
        <v>17</v>
      </c>
      <c r="B816" t="str">
        <f>"600962"</f>
        <v>600962</v>
      </c>
      <c r="C816" t="s">
        <v>1871</v>
      </c>
      <c r="D816" t="s">
        <v>574</v>
      </c>
      <c r="F816">
        <v>1020820039</v>
      </c>
      <c r="G816">
        <v>1124170056</v>
      </c>
      <c r="H816">
        <v>696399467</v>
      </c>
      <c r="I816">
        <v>705189397</v>
      </c>
      <c r="J816">
        <v>716111491</v>
      </c>
      <c r="K816">
        <v>759077986</v>
      </c>
      <c r="L816">
        <v>638294618</v>
      </c>
      <c r="M816">
        <v>716317026</v>
      </c>
      <c r="N816">
        <v>1011779957</v>
      </c>
      <c r="O816">
        <v>1026149043</v>
      </c>
      <c r="P816">
        <v>94</v>
      </c>
      <c r="Q816" t="s">
        <v>1872</v>
      </c>
    </row>
    <row r="817" spans="1:17" x14ac:dyDescent="0.3">
      <c r="A817" t="s">
        <v>17</v>
      </c>
      <c r="B817" t="str">
        <f>"600963"</f>
        <v>600963</v>
      </c>
      <c r="C817" t="s">
        <v>1873</v>
      </c>
      <c r="D817" t="s">
        <v>694</v>
      </c>
      <c r="F817">
        <v>4563404912</v>
      </c>
      <c r="G817">
        <v>3740383851</v>
      </c>
      <c r="H817">
        <v>3544956344</v>
      </c>
      <c r="I817">
        <v>3990985664</v>
      </c>
      <c r="J817">
        <v>3374646391</v>
      </c>
      <c r="K817">
        <v>2797046059</v>
      </c>
      <c r="L817">
        <v>2544079761</v>
      </c>
      <c r="M817">
        <v>3328682687</v>
      </c>
      <c r="N817">
        <v>3224235714</v>
      </c>
      <c r="O817">
        <v>3180903634</v>
      </c>
      <c r="P817">
        <v>201</v>
      </c>
      <c r="Q817" t="s">
        <v>1874</v>
      </c>
    </row>
    <row r="818" spans="1:17" x14ac:dyDescent="0.3">
      <c r="A818" t="s">
        <v>17</v>
      </c>
      <c r="B818" t="str">
        <f>"600965"</f>
        <v>600965</v>
      </c>
      <c r="C818" t="s">
        <v>1875</v>
      </c>
      <c r="D818" t="s">
        <v>1876</v>
      </c>
      <c r="F818">
        <v>1031146246</v>
      </c>
      <c r="G818">
        <v>821757790</v>
      </c>
      <c r="H818">
        <v>1159340031</v>
      </c>
      <c r="I818">
        <v>1147072628</v>
      </c>
      <c r="J818">
        <v>1057273985</v>
      </c>
      <c r="K818">
        <v>1072415163</v>
      </c>
      <c r="L818">
        <v>1043767511</v>
      </c>
      <c r="M818">
        <v>837539934</v>
      </c>
      <c r="N818">
        <v>476090134</v>
      </c>
      <c r="O818">
        <v>583553241</v>
      </c>
      <c r="P818">
        <v>113</v>
      </c>
      <c r="Q818" t="s">
        <v>1877</v>
      </c>
    </row>
    <row r="819" spans="1:17" x14ac:dyDescent="0.3">
      <c r="A819" t="s">
        <v>17</v>
      </c>
      <c r="B819" t="str">
        <f>"600966"</f>
        <v>600966</v>
      </c>
      <c r="C819" t="s">
        <v>1878</v>
      </c>
      <c r="D819" t="s">
        <v>694</v>
      </c>
      <c r="F819">
        <v>12287751211</v>
      </c>
      <c r="G819">
        <v>9996687863</v>
      </c>
      <c r="H819">
        <v>6560805032</v>
      </c>
      <c r="I819">
        <v>6367103217</v>
      </c>
      <c r="J819">
        <v>5738998717</v>
      </c>
      <c r="K819">
        <v>4490745240</v>
      </c>
      <c r="L819">
        <v>4415149632</v>
      </c>
      <c r="M819">
        <v>3618238738</v>
      </c>
      <c r="N819">
        <v>2124196968</v>
      </c>
      <c r="O819">
        <v>2697909609</v>
      </c>
      <c r="P819">
        <v>396</v>
      </c>
      <c r="Q819" t="s">
        <v>1879</v>
      </c>
    </row>
    <row r="820" spans="1:17" x14ac:dyDescent="0.3">
      <c r="A820" t="s">
        <v>17</v>
      </c>
      <c r="B820" t="str">
        <f>"600967"</f>
        <v>600967</v>
      </c>
      <c r="C820" t="s">
        <v>1880</v>
      </c>
      <c r="D820" t="s">
        <v>428</v>
      </c>
      <c r="F820">
        <v>5107077587</v>
      </c>
      <c r="G820">
        <v>4261261263</v>
      </c>
      <c r="H820">
        <v>6397133880</v>
      </c>
      <c r="I820">
        <v>8830305310</v>
      </c>
      <c r="J820">
        <v>6372050493</v>
      </c>
      <c r="K820">
        <v>468200469</v>
      </c>
      <c r="L820">
        <v>479571031</v>
      </c>
      <c r="M820">
        <v>1384974883</v>
      </c>
      <c r="N820">
        <v>1423866102</v>
      </c>
      <c r="O820">
        <v>1453576648</v>
      </c>
      <c r="P820">
        <v>286</v>
      </c>
      <c r="Q820" t="s">
        <v>1881</v>
      </c>
    </row>
    <row r="821" spans="1:17" x14ac:dyDescent="0.3">
      <c r="A821" t="s">
        <v>17</v>
      </c>
      <c r="B821" t="str">
        <f>"600968"</f>
        <v>600968</v>
      </c>
      <c r="C821" t="s">
        <v>1882</v>
      </c>
      <c r="D821" t="s">
        <v>1758</v>
      </c>
      <c r="F821">
        <v>28068052114</v>
      </c>
      <c r="G821">
        <v>21363413744</v>
      </c>
      <c r="H821">
        <v>22708278904</v>
      </c>
      <c r="I821">
        <v>20872703317</v>
      </c>
      <c r="P821">
        <v>189</v>
      </c>
      <c r="Q821" t="s">
        <v>1883</v>
      </c>
    </row>
    <row r="822" spans="1:17" x14ac:dyDescent="0.3">
      <c r="A822" t="s">
        <v>17</v>
      </c>
      <c r="B822" t="str">
        <f>"600969"</f>
        <v>600969</v>
      </c>
      <c r="C822" t="s">
        <v>1884</v>
      </c>
      <c r="D822" t="s">
        <v>239</v>
      </c>
      <c r="F822">
        <v>2682595593</v>
      </c>
      <c r="G822">
        <v>2344398711</v>
      </c>
      <c r="H822">
        <v>2506350097</v>
      </c>
      <c r="I822">
        <v>2196596971</v>
      </c>
      <c r="J822">
        <v>1954807525</v>
      </c>
      <c r="K822">
        <v>1820587799</v>
      </c>
      <c r="L822">
        <v>1771994367</v>
      </c>
      <c r="M822">
        <v>1769925321</v>
      </c>
      <c r="N822">
        <v>1617352208</v>
      </c>
      <c r="O822">
        <v>1621761794</v>
      </c>
      <c r="P822">
        <v>77</v>
      </c>
      <c r="Q822" t="s">
        <v>1885</v>
      </c>
    </row>
    <row r="823" spans="1:17" x14ac:dyDescent="0.3">
      <c r="A823" t="s">
        <v>17</v>
      </c>
      <c r="B823" t="str">
        <f>"600970"</f>
        <v>600970</v>
      </c>
      <c r="C823" t="s">
        <v>1886</v>
      </c>
      <c r="D823" t="s">
        <v>1887</v>
      </c>
      <c r="F823">
        <v>21144007411</v>
      </c>
      <c r="G823">
        <v>14626128082</v>
      </c>
      <c r="H823">
        <v>16110021775</v>
      </c>
      <c r="I823">
        <v>12750404601</v>
      </c>
      <c r="J823">
        <v>16536787314</v>
      </c>
      <c r="K823">
        <v>14132086353</v>
      </c>
      <c r="L823">
        <v>15466769200</v>
      </c>
      <c r="M823">
        <v>13678240672</v>
      </c>
      <c r="N823">
        <v>14698911996</v>
      </c>
      <c r="O823">
        <v>20385076489</v>
      </c>
      <c r="P823">
        <v>853</v>
      </c>
      <c r="Q823" t="s">
        <v>1888</v>
      </c>
    </row>
    <row r="824" spans="1:17" x14ac:dyDescent="0.3">
      <c r="A824" t="s">
        <v>17</v>
      </c>
      <c r="B824" t="str">
        <f>"600971"</f>
        <v>600971</v>
      </c>
      <c r="C824" t="s">
        <v>1889</v>
      </c>
      <c r="D824" t="s">
        <v>292</v>
      </c>
      <c r="F824">
        <v>6286927275</v>
      </c>
      <c r="G824">
        <v>4844072040</v>
      </c>
      <c r="H824">
        <v>6506479882</v>
      </c>
      <c r="I824">
        <v>6445491569</v>
      </c>
      <c r="J824">
        <v>6809610595</v>
      </c>
      <c r="K824">
        <v>4762411712</v>
      </c>
      <c r="L824">
        <v>3970875153</v>
      </c>
      <c r="M824">
        <v>5971345606</v>
      </c>
      <c r="N824">
        <v>6523574763</v>
      </c>
      <c r="O824">
        <v>7860806098</v>
      </c>
      <c r="P824">
        <v>1522</v>
      </c>
      <c r="Q824" t="s">
        <v>1890</v>
      </c>
    </row>
    <row r="825" spans="1:17" x14ac:dyDescent="0.3">
      <c r="A825" t="s">
        <v>17</v>
      </c>
      <c r="B825" t="str">
        <f>"600973"</f>
        <v>600973</v>
      </c>
      <c r="C825" t="s">
        <v>1891</v>
      </c>
      <c r="D825" t="s">
        <v>1164</v>
      </c>
      <c r="F825">
        <v>34427438520</v>
      </c>
      <c r="G825">
        <v>26223055777</v>
      </c>
      <c r="H825">
        <v>30900044344</v>
      </c>
      <c r="I825">
        <v>31897827979</v>
      </c>
      <c r="J825">
        <v>13095997212</v>
      </c>
      <c r="K825">
        <v>12637469287</v>
      </c>
      <c r="L825">
        <v>10823455491</v>
      </c>
      <c r="M825">
        <v>7447349415</v>
      </c>
      <c r="N825">
        <v>6416878690</v>
      </c>
      <c r="O825">
        <v>6828906280</v>
      </c>
      <c r="P825">
        <v>116</v>
      </c>
      <c r="Q825" t="s">
        <v>1892</v>
      </c>
    </row>
    <row r="826" spans="1:17" x14ac:dyDescent="0.3">
      <c r="A826" t="s">
        <v>17</v>
      </c>
      <c r="B826" t="str">
        <f>"600975"</f>
        <v>600975</v>
      </c>
      <c r="C826" t="s">
        <v>1893</v>
      </c>
      <c r="D826" t="s">
        <v>1894</v>
      </c>
      <c r="F826">
        <v>1572139391</v>
      </c>
      <c r="G826">
        <v>1949701053</v>
      </c>
      <c r="H826">
        <v>1594739815</v>
      </c>
      <c r="I826">
        <v>1386018871</v>
      </c>
      <c r="J826">
        <v>1406527717</v>
      </c>
      <c r="K826">
        <v>1320959758</v>
      </c>
      <c r="L826">
        <v>1016562855</v>
      </c>
      <c r="M826">
        <v>948427894</v>
      </c>
      <c r="N826">
        <v>892003581</v>
      </c>
      <c r="O826">
        <v>754042050</v>
      </c>
      <c r="P826">
        <v>305</v>
      </c>
      <c r="Q826" t="s">
        <v>1895</v>
      </c>
    </row>
    <row r="827" spans="1:17" x14ac:dyDescent="0.3">
      <c r="A827" t="s">
        <v>17</v>
      </c>
      <c r="B827" t="str">
        <f>"600976"</f>
        <v>600976</v>
      </c>
      <c r="C827" t="s">
        <v>1896</v>
      </c>
      <c r="D827" t="s">
        <v>188</v>
      </c>
      <c r="F827">
        <v>2491260566</v>
      </c>
      <c r="G827">
        <v>1547025948</v>
      </c>
      <c r="H827">
        <v>1987656123</v>
      </c>
      <c r="I827">
        <v>1840895140</v>
      </c>
      <c r="J827">
        <v>2267301327</v>
      </c>
      <c r="K827">
        <v>1796642622</v>
      </c>
      <c r="L827">
        <v>1515810906</v>
      </c>
      <c r="M827">
        <v>1210903869</v>
      </c>
      <c r="N827">
        <v>1171063609</v>
      </c>
      <c r="O827">
        <v>846646432</v>
      </c>
      <c r="P827">
        <v>249</v>
      </c>
      <c r="Q827" t="s">
        <v>1897</v>
      </c>
    </row>
    <row r="828" spans="1:17" x14ac:dyDescent="0.3">
      <c r="A828" t="s">
        <v>17</v>
      </c>
      <c r="B828" t="str">
        <f>"600977"</f>
        <v>600977</v>
      </c>
      <c r="C828" t="s">
        <v>1898</v>
      </c>
      <c r="D828" t="s">
        <v>113</v>
      </c>
      <c r="F828">
        <v>3752377653</v>
      </c>
      <c r="G828">
        <v>1518016421</v>
      </c>
      <c r="H828">
        <v>7356792192</v>
      </c>
      <c r="I828">
        <v>7248517985</v>
      </c>
      <c r="J828">
        <v>6909585973</v>
      </c>
      <c r="K828">
        <v>6792976466</v>
      </c>
      <c r="L828">
        <v>5403697823</v>
      </c>
      <c r="P828">
        <v>554</v>
      </c>
      <c r="Q828" t="s">
        <v>1899</v>
      </c>
    </row>
    <row r="829" spans="1:17" x14ac:dyDescent="0.3">
      <c r="A829" t="s">
        <v>17</v>
      </c>
      <c r="B829" t="str">
        <f>"600978"</f>
        <v>600978</v>
      </c>
      <c r="C829" t="s">
        <v>1900</v>
      </c>
      <c r="G829">
        <v>1440612533</v>
      </c>
      <c r="H829">
        <v>3879968772</v>
      </c>
      <c r="I829">
        <v>5441913336</v>
      </c>
      <c r="J829">
        <v>5819660721</v>
      </c>
      <c r="K829">
        <v>3663532572</v>
      </c>
      <c r="L829">
        <v>3341303640</v>
      </c>
      <c r="M829">
        <v>3184389799</v>
      </c>
      <c r="N829">
        <v>2842363760</v>
      </c>
      <c r="O829">
        <v>2495658726</v>
      </c>
      <c r="P829">
        <v>167</v>
      </c>
      <c r="Q829" t="s">
        <v>1901</v>
      </c>
    </row>
    <row r="830" spans="1:17" x14ac:dyDescent="0.3">
      <c r="A830" t="s">
        <v>17</v>
      </c>
      <c r="B830" t="str">
        <f>"600979"</f>
        <v>600979</v>
      </c>
      <c r="C830" t="s">
        <v>1902</v>
      </c>
      <c r="D830" t="s">
        <v>239</v>
      </c>
      <c r="F830">
        <v>2114174523</v>
      </c>
      <c r="G830">
        <v>1987291460</v>
      </c>
      <c r="H830">
        <v>2025237679</v>
      </c>
      <c r="I830">
        <v>1782014920</v>
      </c>
      <c r="J830">
        <v>1766915441</v>
      </c>
      <c r="K830">
        <v>1643843760</v>
      </c>
      <c r="L830">
        <v>1436456110</v>
      </c>
      <c r="M830">
        <v>1360627190</v>
      </c>
      <c r="N830">
        <v>1109666954</v>
      </c>
      <c r="O830">
        <v>879930624</v>
      </c>
      <c r="P830">
        <v>117</v>
      </c>
      <c r="Q830" t="s">
        <v>1903</v>
      </c>
    </row>
    <row r="831" spans="1:17" x14ac:dyDescent="0.3">
      <c r="A831" t="s">
        <v>17</v>
      </c>
      <c r="B831" t="str">
        <f>"600980"</f>
        <v>600980</v>
      </c>
      <c r="C831" t="s">
        <v>1904</v>
      </c>
      <c r="D831" t="s">
        <v>808</v>
      </c>
      <c r="F831">
        <v>390371895</v>
      </c>
      <c r="G831">
        <v>305853126</v>
      </c>
      <c r="H831">
        <v>286494832</v>
      </c>
      <c r="I831">
        <v>233104196</v>
      </c>
      <c r="J831">
        <v>287535508</v>
      </c>
      <c r="K831">
        <v>182536792</v>
      </c>
      <c r="L831">
        <v>113464264</v>
      </c>
      <c r="M831">
        <v>187547961</v>
      </c>
      <c r="N831">
        <v>184937499</v>
      </c>
      <c r="O831">
        <v>222900109</v>
      </c>
      <c r="P831">
        <v>97</v>
      </c>
      <c r="Q831" t="s">
        <v>1905</v>
      </c>
    </row>
    <row r="832" spans="1:17" x14ac:dyDescent="0.3">
      <c r="A832" t="s">
        <v>17</v>
      </c>
      <c r="B832" t="str">
        <f>"600981"</f>
        <v>600981</v>
      </c>
      <c r="C832" t="s">
        <v>1906</v>
      </c>
      <c r="D832" t="s">
        <v>131</v>
      </c>
      <c r="F832">
        <v>46905085810</v>
      </c>
      <c r="G832">
        <v>29107876755</v>
      </c>
      <c r="H832">
        <v>27733928043</v>
      </c>
      <c r="I832">
        <v>30572430501</v>
      </c>
      <c r="J832">
        <v>24194547410</v>
      </c>
      <c r="K832">
        <v>23296344556</v>
      </c>
      <c r="L832">
        <v>32756419149</v>
      </c>
      <c r="M832">
        <v>7596576383</v>
      </c>
      <c r="N832">
        <v>6123803279</v>
      </c>
      <c r="O832">
        <v>5486360016</v>
      </c>
      <c r="P832">
        <v>99</v>
      </c>
      <c r="Q832" t="s">
        <v>1907</v>
      </c>
    </row>
    <row r="833" spans="1:17" x14ac:dyDescent="0.3">
      <c r="A833" t="s">
        <v>17</v>
      </c>
      <c r="B833" t="str">
        <f>"600982"</f>
        <v>600982</v>
      </c>
      <c r="C833" t="s">
        <v>1908</v>
      </c>
      <c r="D833" t="s">
        <v>351</v>
      </c>
      <c r="F833">
        <v>3661881915</v>
      </c>
      <c r="G833">
        <v>3776027155</v>
      </c>
      <c r="H833">
        <v>2642438296</v>
      </c>
      <c r="I833">
        <v>1319847599</v>
      </c>
      <c r="J833">
        <v>1423198055</v>
      </c>
      <c r="K833">
        <v>870759560</v>
      </c>
      <c r="L833">
        <v>932666106</v>
      </c>
      <c r="M833">
        <v>658537999</v>
      </c>
      <c r="N833">
        <v>579795222</v>
      </c>
      <c r="O833">
        <v>870059761</v>
      </c>
      <c r="P833">
        <v>135</v>
      </c>
      <c r="Q833" t="s">
        <v>1909</v>
      </c>
    </row>
    <row r="834" spans="1:17" x14ac:dyDescent="0.3">
      <c r="A834" t="s">
        <v>17</v>
      </c>
      <c r="B834" t="str">
        <f>"600983"</f>
        <v>600983</v>
      </c>
      <c r="C834" t="s">
        <v>1910</v>
      </c>
      <c r="D834" t="s">
        <v>754</v>
      </c>
      <c r="F834">
        <v>3704447434</v>
      </c>
      <c r="G834">
        <v>2887165510</v>
      </c>
      <c r="H834">
        <v>3972747127</v>
      </c>
      <c r="I834">
        <v>4228248248</v>
      </c>
      <c r="J834">
        <v>5746459738</v>
      </c>
      <c r="K834">
        <v>4458834460</v>
      </c>
      <c r="L834">
        <v>4769780563</v>
      </c>
      <c r="M834">
        <v>4635884157</v>
      </c>
      <c r="N834">
        <v>4334115476</v>
      </c>
      <c r="O834">
        <v>3596177749</v>
      </c>
      <c r="P834">
        <v>128</v>
      </c>
      <c r="Q834" t="s">
        <v>1911</v>
      </c>
    </row>
    <row r="835" spans="1:17" x14ac:dyDescent="0.3">
      <c r="A835" t="s">
        <v>17</v>
      </c>
      <c r="B835" t="str">
        <f>"600984"</f>
        <v>600984</v>
      </c>
      <c r="C835" t="s">
        <v>1912</v>
      </c>
      <c r="D835" t="s">
        <v>83</v>
      </c>
      <c r="F835">
        <v>2180657914</v>
      </c>
      <c r="G835">
        <v>1869007877</v>
      </c>
      <c r="H835">
        <v>2320579117</v>
      </c>
      <c r="I835">
        <v>1613609976</v>
      </c>
      <c r="J835">
        <v>989385248</v>
      </c>
      <c r="K835">
        <v>640096919</v>
      </c>
      <c r="L835">
        <v>273579785</v>
      </c>
      <c r="M835">
        <v>233755987</v>
      </c>
      <c r="N835">
        <v>272585660</v>
      </c>
      <c r="O835">
        <v>383270071</v>
      </c>
      <c r="P835">
        <v>279</v>
      </c>
      <c r="Q835" t="s">
        <v>1913</v>
      </c>
    </row>
    <row r="836" spans="1:17" x14ac:dyDescent="0.3">
      <c r="A836" t="s">
        <v>17</v>
      </c>
      <c r="B836" t="str">
        <f>"600985"</f>
        <v>600985</v>
      </c>
      <c r="C836" t="s">
        <v>1914</v>
      </c>
      <c r="D836" t="s">
        <v>298</v>
      </c>
      <c r="F836">
        <v>46763139030</v>
      </c>
      <c r="G836">
        <v>30141660859</v>
      </c>
      <c r="H836">
        <v>30495939228</v>
      </c>
      <c r="I836">
        <v>21417849429</v>
      </c>
      <c r="J836">
        <v>762035364</v>
      </c>
      <c r="K836">
        <v>678541648</v>
      </c>
      <c r="L836">
        <v>714502767</v>
      </c>
      <c r="M836">
        <v>795982393</v>
      </c>
      <c r="N836">
        <v>726883711</v>
      </c>
      <c r="O836">
        <v>492085392</v>
      </c>
      <c r="P836">
        <v>1007</v>
      </c>
      <c r="Q836" t="s">
        <v>1915</v>
      </c>
    </row>
    <row r="837" spans="1:17" x14ac:dyDescent="0.3">
      <c r="A837" t="s">
        <v>17</v>
      </c>
      <c r="B837" t="str">
        <f>"600986"</f>
        <v>600986</v>
      </c>
      <c r="C837" t="s">
        <v>1916</v>
      </c>
      <c r="D837" t="s">
        <v>207</v>
      </c>
      <c r="F837">
        <v>10465092753</v>
      </c>
      <c r="G837">
        <v>7679402289</v>
      </c>
      <c r="H837">
        <v>13948911553</v>
      </c>
      <c r="I837">
        <v>9786487448</v>
      </c>
      <c r="J837">
        <v>6512165582</v>
      </c>
      <c r="K837">
        <v>4361923735</v>
      </c>
      <c r="L837">
        <v>1652260243</v>
      </c>
      <c r="M837">
        <v>1118468709</v>
      </c>
      <c r="N837">
        <v>556849980</v>
      </c>
      <c r="O837">
        <v>1148243861</v>
      </c>
      <c r="P837">
        <v>239</v>
      </c>
      <c r="Q837" t="s">
        <v>1917</v>
      </c>
    </row>
    <row r="838" spans="1:17" x14ac:dyDescent="0.3">
      <c r="A838" t="s">
        <v>17</v>
      </c>
      <c r="B838" t="str">
        <f>"600987"</f>
        <v>600987</v>
      </c>
      <c r="C838" t="s">
        <v>1918</v>
      </c>
      <c r="D838" t="s">
        <v>817</v>
      </c>
      <c r="F838">
        <v>7352834080</v>
      </c>
      <c r="G838">
        <v>3798420613</v>
      </c>
      <c r="H838">
        <v>5433822253</v>
      </c>
      <c r="I838">
        <v>2657847651</v>
      </c>
      <c r="J838">
        <v>2470062935</v>
      </c>
      <c r="K838">
        <v>2111424147</v>
      </c>
      <c r="L838">
        <v>2010660472</v>
      </c>
      <c r="M838">
        <v>2627712796</v>
      </c>
      <c r="N838">
        <v>1980409000</v>
      </c>
      <c r="O838">
        <v>1791942815</v>
      </c>
      <c r="P838">
        <v>4846</v>
      </c>
      <c r="Q838" t="s">
        <v>1919</v>
      </c>
    </row>
    <row r="839" spans="1:17" x14ac:dyDescent="0.3">
      <c r="A839" t="s">
        <v>17</v>
      </c>
      <c r="B839" t="str">
        <f>"600988"</f>
        <v>600988</v>
      </c>
      <c r="C839" t="s">
        <v>1920</v>
      </c>
      <c r="D839" t="s">
        <v>701</v>
      </c>
      <c r="F839">
        <v>2649119680</v>
      </c>
      <c r="G839">
        <v>3772981100</v>
      </c>
      <c r="H839">
        <v>4673818591</v>
      </c>
      <c r="I839">
        <v>1209122999</v>
      </c>
      <c r="J839">
        <v>1739920667</v>
      </c>
      <c r="K839">
        <v>1321400507</v>
      </c>
      <c r="L839">
        <v>1008281450</v>
      </c>
      <c r="M839">
        <v>467815341</v>
      </c>
      <c r="N839">
        <v>375882159</v>
      </c>
      <c r="O839">
        <v>49629200</v>
      </c>
      <c r="P839">
        <v>487</v>
      </c>
      <c r="Q839" t="s">
        <v>1921</v>
      </c>
    </row>
    <row r="840" spans="1:17" x14ac:dyDescent="0.3">
      <c r="A840" t="s">
        <v>17</v>
      </c>
      <c r="B840" t="str">
        <f>"600989"</f>
        <v>600989</v>
      </c>
      <c r="C840" t="s">
        <v>1922</v>
      </c>
      <c r="D840" t="s">
        <v>914</v>
      </c>
      <c r="F840">
        <v>13599964985</v>
      </c>
      <c r="G840">
        <v>10354189555</v>
      </c>
      <c r="H840">
        <v>7187023034</v>
      </c>
      <c r="I840">
        <v>6223321398</v>
      </c>
      <c r="J840">
        <v>6737595043</v>
      </c>
      <c r="P840">
        <v>769</v>
      </c>
      <c r="Q840" t="s">
        <v>1923</v>
      </c>
    </row>
    <row r="841" spans="1:17" x14ac:dyDescent="0.3">
      <c r="A841" t="s">
        <v>17</v>
      </c>
      <c r="B841" t="str">
        <f>"600990"</f>
        <v>600990</v>
      </c>
      <c r="C841" t="s">
        <v>1924</v>
      </c>
      <c r="D841" t="s">
        <v>1136</v>
      </c>
      <c r="F841">
        <v>1527581629</v>
      </c>
      <c r="G841">
        <v>1362697669</v>
      </c>
      <c r="H841">
        <v>2164061759</v>
      </c>
      <c r="I841">
        <v>2492498962</v>
      </c>
      <c r="J841">
        <v>1468353170</v>
      </c>
      <c r="K841">
        <v>1422787354</v>
      </c>
      <c r="L841">
        <v>759137333</v>
      </c>
      <c r="M841">
        <v>564923269</v>
      </c>
      <c r="N841">
        <v>446597448</v>
      </c>
      <c r="O841">
        <v>568051767</v>
      </c>
      <c r="P841">
        <v>166</v>
      </c>
      <c r="Q841" t="s">
        <v>1925</v>
      </c>
    </row>
    <row r="842" spans="1:17" x14ac:dyDescent="0.3">
      <c r="A842" t="s">
        <v>17</v>
      </c>
      <c r="B842" t="str">
        <f>"600992"</f>
        <v>600992</v>
      </c>
      <c r="C842" t="s">
        <v>1926</v>
      </c>
      <c r="D842" t="s">
        <v>274</v>
      </c>
      <c r="F842">
        <v>1162828573</v>
      </c>
      <c r="G842">
        <v>1102279713</v>
      </c>
      <c r="H842">
        <v>1375940114</v>
      </c>
      <c r="I842">
        <v>1156665924</v>
      </c>
      <c r="J842">
        <v>965774315</v>
      </c>
      <c r="K842">
        <v>921528126</v>
      </c>
      <c r="L842">
        <v>737588357</v>
      </c>
      <c r="M842">
        <v>947375436</v>
      </c>
      <c r="N842">
        <v>1007332125</v>
      </c>
      <c r="O842">
        <v>864069103</v>
      </c>
      <c r="P842">
        <v>57</v>
      </c>
      <c r="Q842" t="s">
        <v>1927</v>
      </c>
    </row>
    <row r="843" spans="1:17" x14ac:dyDescent="0.3">
      <c r="A843" t="s">
        <v>17</v>
      </c>
      <c r="B843" t="str">
        <f>"600993"</f>
        <v>600993</v>
      </c>
      <c r="C843" t="s">
        <v>1928</v>
      </c>
      <c r="D843" t="s">
        <v>188</v>
      </c>
      <c r="F843">
        <v>2842850074</v>
      </c>
      <c r="G843">
        <v>2063297303</v>
      </c>
      <c r="H843">
        <v>2026441006</v>
      </c>
      <c r="I843">
        <v>1839520451</v>
      </c>
      <c r="J843">
        <v>1455492551</v>
      </c>
      <c r="K843">
        <v>1586696096</v>
      </c>
      <c r="L843">
        <v>1415061224</v>
      </c>
      <c r="M843">
        <v>1255387113</v>
      </c>
      <c r="N843">
        <v>1259997534</v>
      </c>
      <c r="O843">
        <v>1156896086</v>
      </c>
      <c r="P843">
        <v>942</v>
      </c>
      <c r="Q843" t="s">
        <v>1929</v>
      </c>
    </row>
    <row r="844" spans="1:17" x14ac:dyDescent="0.3">
      <c r="A844" t="s">
        <v>17</v>
      </c>
      <c r="B844" t="str">
        <f>"600995"</f>
        <v>600995</v>
      </c>
      <c r="C844" t="s">
        <v>1930</v>
      </c>
      <c r="D844" t="s">
        <v>239</v>
      </c>
      <c r="F844">
        <v>1552693312</v>
      </c>
      <c r="G844">
        <v>1495981573</v>
      </c>
      <c r="H844">
        <v>1810601194</v>
      </c>
      <c r="I844">
        <v>1737964343</v>
      </c>
      <c r="J844">
        <v>1692930134</v>
      </c>
      <c r="K844">
        <v>1667656612</v>
      </c>
      <c r="L844">
        <v>1803916770</v>
      </c>
      <c r="M844">
        <v>1692941239</v>
      </c>
      <c r="N844">
        <v>1550411616</v>
      </c>
      <c r="O844">
        <v>1362905593</v>
      </c>
      <c r="P844">
        <v>267</v>
      </c>
      <c r="Q844" t="s">
        <v>1931</v>
      </c>
    </row>
    <row r="845" spans="1:17" x14ac:dyDescent="0.3">
      <c r="A845" t="s">
        <v>17</v>
      </c>
      <c r="B845" t="str">
        <f>"600996"</f>
        <v>600996</v>
      </c>
      <c r="C845" t="s">
        <v>1932</v>
      </c>
      <c r="D845" t="s">
        <v>95</v>
      </c>
      <c r="F845">
        <v>1309495636</v>
      </c>
      <c r="G845">
        <v>1444815127</v>
      </c>
      <c r="H845">
        <v>1355325508</v>
      </c>
      <c r="I845">
        <v>1500905370</v>
      </c>
      <c r="J845">
        <v>1338775839</v>
      </c>
      <c r="K845">
        <v>1558024850</v>
      </c>
      <c r="L845">
        <v>0</v>
      </c>
      <c r="P845">
        <v>244</v>
      </c>
      <c r="Q845" t="s">
        <v>1933</v>
      </c>
    </row>
    <row r="846" spans="1:17" x14ac:dyDescent="0.3">
      <c r="A846" t="s">
        <v>17</v>
      </c>
      <c r="B846" t="str">
        <f>"600997"</f>
        <v>600997</v>
      </c>
      <c r="C846" t="s">
        <v>1934</v>
      </c>
      <c r="D846" t="s">
        <v>885</v>
      </c>
      <c r="F846">
        <v>16589673107</v>
      </c>
      <c r="G846">
        <v>11283735785</v>
      </c>
      <c r="H846">
        <v>12580967606</v>
      </c>
      <c r="I846">
        <v>13556393250</v>
      </c>
      <c r="J846">
        <v>10148020221</v>
      </c>
      <c r="K846">
        <v>6807026779</v>
      </c>
      <c r="L846">
        <v>6918077874</v>
      </c>
      <c r="M846">
        <v>11061756581</v>
      </c>
      <c r="N846">
        <v>13252256703</v>
      </c>
      <c r="O846">
        <v>15330664158</v>
      </c>
      <c r="P846">
        <v>729</v>
      </c>
      <c r="Q846" t="s">
        <v>1935</v>
      </c>
    </row>
    <row r="847" spans="1:17" x14ac:dyDescent="0.3">
      <c r="A847" t="s">
        <v>17</v>
      </c>
      <c r="B847" t="str">
        <f>"600998"</f>
        <v>600998</v>
      </c>
      <c r="C847" t="s">
        <v>1936</v>
      </c>
      <c r="D847" t="s">
        <v>125</v>
      </c>
      <c r="F847">
        <v>82444469549</v>
      </c>
      <c r="G847">
        <v>84018296191</v>
      </c>
      <c r="H847">
        <v>77205183269</v>
      </c>
      <c r="I847">
        <v>64545231868</v>
      </c>
      <c r="J847">
        <v>56154755989</v>
      </c>
      <c r="K847">
        <v>50276815115</v>
      </c>
      <c r="L847">
        <v>38750604534</v>
      </c>
      <c r="M847">
        <v>31295013434</v>
      </c>
      <c r="N847">
        <v>25871136503</v>
      </c>
      <c r="O847">
        <v>23663127786</v>
      </c>
      <c r="P847">
        <v>612</v>
      </c>
      <c r="Q847" t="s">
        <v>1937</v>
      </c>
    </row>
    <row r="848" spans="1:17" x14ac:dyDescent="0.3">
      <c r="A848" t="s">
        <v>17</v>
      </c>
      <c r="B848" t="str">
        <f>"600999"</f>
        <v>600999</v>
      </c>
      <c r="C848" t="s">
        <v>1938</v>
      </c>
      <c r="D848" t="s">
        <v>80</v>
      </c>
      <c r="P848">
        <v>2820</v>
      </c>
      <c r="Q848" t="s">
        <v>1939</v>
      </c>
    </row>
    <row r="849" spans="1:17" x14ac:dyDescent="0.3">
      <c r="A849" t="s">
        <v>17</v>
      </c>
      <c r="B849" t="str">
        <f>"601000"</f>
        <v>601000</v>
      </c>
      <c r="C849" t="s">
        <v>1940</v>
      </c>
      <c r="D849" t="s">
        <v>51</v>
      </c>
      <c r="F849">
        <v>5121564775</v>
      </c>
      <c r="G849">
        <v>6767679503</v>
      </c>
      <c r="H849">
        <v>8267571916</v>
      </c>
      <c r="I849">
        <v>7884777413</v>
      </c>
      <c r="J849">
        <v>3927405339</v>
      </c>
      <c r="K849">
        <v>5004223820</v>
      </c>
      <c r="L849">
        <v>3439932345</v>
      </c>
      <c r="M849">
        <v>3619104096</v>
      </c>
      <c r="N849">
        <v>3326386103</v>
      </c>
      <c r="O849">
        <v>3259389396</v>
      </c>
      <c r="P849">
        <v>892</v>
      </c>
      <c r="Q849" t="s">
        <v>1941</v>
      </c>
    </row>
    <row r="850" spans="1:17" x14ac:dyDescent="0.3">
      <c r="A850" t="s">
        <v>17</v>
      </c>
      <c r="B850" t="str">
        <f>"601001"</f>
        <v>601001</v>
      </c>
      <c r="C850" t="s">
        <v>1942</v>
      </c>
      <c r="D850" t="s">
        <v>292</v>
      </c>
      <c r="F850">
        <v>11743674505</v>
      </c>
      <c r="G850">
        <v>9290260423</v>
      </c>
      <c r="H850">
        <v>9384033778</v>
      </c>
      <c r="I850">
        <v>9589948577</v>
      </c>
      <c r="J850">
        <v>10896890652</v>
      </c>
      <c r="K850">
        <v>4943453957</v>
      </c>
      <c r="L850">
        <v>4626848556</v>
      </c>
      <c r="M850">
        <v>8064981536</v>
      </c>
      <c r="N850">
        <v>9143781734</v>
      </c>
      <c r="O850">
        <v>26352182018</v>
      </c>
      <c r="P850">
        <v>289</v>
      </c>
      <c r="Q850" t="s">
        <v>1943</v>
      </c>
    </row>
    <row r="851" spans="1:17" x14ac:dyDescent="0.3">
      <c r="A851" t="s">
        <v>17</v>
      </c>
      <c r="B851" t="str">
        <f>"601002"</f>
        <v>601002</v>
      </c>
      <c r="C851" t="s">
        <v>1944</v>
      </c>
      <c r="D851" t="s">
        <v>274</v>
      </c>
      <c r="F851">
        <v>1844269358</v>
      </c>
      <c r="G851">
        <v>1885343461</v>
      </c>
      <c r="H851">
        <v>2629704099</v>
      </c>
      <c r="I851">
        <v>2818997251</v>
      </c>
      <c r="J851">
        <v>2365651968</v>
      </c>
      <c r="K851">
        <v>2019704403</v>
      </c>
      <c r="L851">
        <v>1863998804</v>
      </c>
      <c r="M851">
        <v>3018291838</v>
      </c>
      <c r="N851">
        <v>2089729179</v>
      </c>
      <c r="O851">
        <v>1965043631</v>
      </c>
      <c r="P851">
        <v>146</v>
      </c>
      <c r="Q851" t="s">
        <v>1945</v>
      </c>
    </row>
    <row r="852" spans="1:17" x14ac:dyDescent="0.3">
      <c r="A852" t="s">
        <v>17</v>
      </c>
      <c r="B852" t="str">
        <f>"601003"</f>
        <v>601003</v>
      </c>
      <c r="C852" t="s">
        <v>1946</v>
      </c>
      <c r="D852" t="s">
        <v>38</v>
      </c>
      <c r="F852">
        <v>50084206170</v>
      </c>
      <c r="G852">
        <v>29211763743</v>
      </c>
      <c r="H852">
        <v>21759716680</v>
      </c>
      <c r="I852">
        <v>24401504479</v>
      </c>
      <c r="J852">
        <v>22149650584</v>
      </c>
      <c r="K852">
        <v>13782885691</v>
      </c>
      <c r="L852">
        <v>14262243464</v>
      </c>
      <c r="M852">
        <v>16570132338</v>
      </c>
      <c r="N852">
        <v>32851585967</v>
      </c>
      <c r="O852">
        <v>28487906772</v>
      </c>
      <c r="P852">
        <v>1021</v>
      </c>
      <c r="Q852" t="s">
        <v>1947</v>
      </c>
    </row>
    <row r="853" spans="1:17" x14ac:dyDescent="0.3">
      <c r="A853" t="s">
        <v>17</v>
      </c>
      <c r="B853" t="str">
        <f>"601005"</f>
        <v>601005</v>
      </c>
      <c r="C853" t="s">
        <v>1948</v>
      </c>
      <c r="D853" t="s">
        <v>38</v>
      </c>
      <c r="F853">
        <v>29286413000</v>
      </c>
      <c r="G853">
        <v>16512712000</v>
      </c>
      <c r="H853">
        <v>15715611000</v>
      </c>
      <c r="I853">
        <v>16344018000</v>
      </c>
      <c r="J853">
        <v>1760571000</v>
      </c>
      <c r="K853">
        <v>2708973000</v>
      </c>
      <c r="L853">
        <v>7666555000</v>
      </c>
      <c r="M853">
        <v>11227040000</v>
      </c>
      <c r="N853">
        <v>16864044000</v>
      </c>
      <c r="O853">
        <v>16621903000</v>
      </c>
      <c r="P853">
        <v>249</v>
      </c>
      <c r="Q853" t="s">
        <v>1949</v>
      </c>
    </row>
    <row r="854" spans="1:17" x14ac:dyDescent="0.3">
      <c r="A854" t="s">
        <v>17</v>
      </c>
      <c r="B854" t="str">
        <f>"601006"</f>
        <v>601006</v>
      </c>
      <c r="C854" t="s">
        <v>1950</v>
      </c>
      <c r="D854" t="s">
        <v>301</v>
      </c>
      <c r="F854">
        <v>44941736433</v>
      </c>
      <c r="G854">
        <v>35240459389</v>
      </c>
      <c r="H854">
        <v>41233724174</v>
      </c>
      <c r="I854">
        <v>38998618818</v>
      </c>
      <c r="J854">
        <v>35754531190</v>
      </c>
      <c r="K854">
        <v>23644896543</v>
      </c>
      <c r="L854">
        <v>39100291805</v>
      </c>
      <c r="M854">
        <v>38721410062</v>
      </c>
      <c r="N854">
        <v>32436915624</v>
      </c>
      <c r="O854">
        <v>28752266035</v>
      </c>
      <c r="P854">
        <v>4202</v>
      </c>
      <c r="Q854" t="s">
        <v>1951</v>
      </c>
    </row>
    <row r="855" spans="1:17" x14ac:dyDescent="0.3">
      <c r="A855" t="s">
        <v>17</v>
      </c>
      <c r="B855" t="str">
        <f>"601007"</f>
        <v>601007</v>
      </c>
      <c r="C855" t="s">
        <v>1952</v>
      </c>
      <c r="D855" t="s">
        <v>590</v>
      </c>
      <c r="F855">
        <v>1070317545</v>
      </c>
      <c r="G855">
        <v>864450273</v>
      </c>
      <c r="H855">
        <v>1002958487</v>
      </c>
      <c r="I855">
        <v>908463407</v>
      </c>
      <c r="J855">
        <v>679002389</v>
      </c>
      <c r="K855">
        <v>655094201</v>
      </c>
      <c r="L855">
        <v>506546371</v>
      </c>
      <c r="M855">
        <v>407050563</v>
      </c>
      <c r="N855">
        <v>415209797</v>
      </c>
      <c r="O855">
        <v>466403428</v>
      </c>
      <c r="P855">
        <v>111</v>
      </c>
      <c r="Q855" t="s">
        <v>1953</v>
      </c>
    </row>
    <row r="856" spans="1:17" x14ac:dyDescent="0.3">
      <c r="A856" t="s">
        <v>17</v>
      </c>
      <c r="B856" t="str">
        <f>"601008"</f>
        <v>601008</v>
      </c>
      <c r="C856" t="s">
        <v>1954</v>
      </c>
      <c r="D856" t="s">
        <v>51</v>
      </c>
      <c r="F856">
        <v>1377582827</v>
      </c>
      <c r="G856">
        <v>1083795581</v>
      </c>
      <c r="H856">
        <v>1080292983</v>
      </c>
      <c r="I856">
        <v>1021285424</v>
      </c>
      <c r="J856">
        <v>848131293</v>
      </c>
      <c r="K856">
        <v>833101520</v>
      </c>
      <c r="L856">
        <v>857230690</v>
      </c>
      <c r="M856">
        <v>1019913118</v>
      </c>
      <c r="N856">
        <v>1036905965</v>
      </c>
      <c r="O856">
        <v>1037749750</v>
      </c>
      <c r="P856">
        <v>131</v>
      </c>
      <c r="Q856" t="s">
        <v>1955</v>
      </c>
    </row>
    <row r="857" spans="1:17" x14ac:dyDescent="0.3">
      <c r="A857" t="s">
        <v>17</v>
      </c>
      <c r="B857" t="str">
        <f>"601009"</f>
        <v>601009</v>
      </c>
      <c r="C857" t="s">
        <v>1956</v>
      </c>
      <c r="D857" t="s">
        <v>1838</v>
      </c>
      <c r="P857">
        <v>44247</v>
      </c>
      <c r="Q857" t="s">
        <v>1957</v>
      </c>
    </row>
    <row r="858" spans="1:17" x14ac:dyDescent="0.3">
      <c r="A858" t="s">
        <v>17</v>
      </c>
      <c r="B858" t="str">
        <f>"601010"</f>
        <v>601010</v>
      </c>
      <c r="C858" t="s">
        <v>1958</v>
      </c>
      <c r="D858" t="s">
        <v>1404</v>
      </c>
      <c r="F858">
        <v>2407275093</v>
      </c>
      <c r="G858">
        <v>4266336732</v>
      </c>
      <c r="H858">
        <v>4938030961</v>
      </c>
      <c r="I858">
        <v>5355254024</v>
      </c>
      <c r="J858">
        <v>5562082958</v>
      </c>
      <c r="K858">
        <v>5552417276</v>
      </c>
      <c r="L858">
        <v>5871288989</v>
      </c>
      <c r="M858">
        <v>5889184544</v>
      </c>
      <c r="N858">
        <v>6038138329</v>
      </c>
      <c r="O858">
        <v>5451856036</v>
      </c>
      <c r="P858">
        <v>94</v>
      </c>
      <c r="Q858" t="s">
        <v>1959</v>
      </c>
    </row>
    <row r="859" spans="1:17" x14ac:dyDescent="0.3">
      <c r="A859" t="s">
        <v>17</v>
      </c>
      <c r="B859" t="str">
        <f>"601011"</f>
        <v>601011</v>
      </c>
      <c r="C859" t="s">
        <v>1960</v>
      </c>
      <c r="D859" t="s">
        <v>885</v>
      </c>
      <c r="F859">
        <v>2446278539</v>
      </c>
      <c r="G859">
        <v>1589857806</v>
      </c>
      <c r="H859">
        <v>2172189250</v>
      </c>
      <c r="I859">
        <v>2705426028</v>
      </c>
      <c r="J859">
        <v>2188252065</v>
      </c>
      <c r="K859">
        <v>1256466399</v>
      </c>
      <c r="L859">
        <v>1128390736</v>
      </c>
      <c r="M859">
        <v>1284552969</v>
      </c>
      <c r="N859">
        <v>1688194032</v>
      </c>
      <c r="O859">
        <v>1939975227</v>
      </c>
      <c r="P859">
        <v>134</v>
      </c>
      <c r="Q859" t="s">
        <v>1961</v>
      </c>
    </row>
    <row r="860" spans="1:17" x14ac:dyDescent="0.3">
      <c r="A860" t="s">
        <v>17</v>
      </c>
      <c r="B860" t="str">
        <f>"601012"</f>
        <v>601012</v>
      </c>
      <c r="C860" t="s">
        <v>1962</v>
      </c>
      <c r="D860" t="s">
        <v>929</v>
      </c>
      <c r="F860">
        <v>41630982864</v>
      </c>
      <c r="G860">
        <v>24925459829</v>
      </c>
      <c r="H860">
        <v>16781799146</v>
      </c>
      <c r="I860">
        <v>12620565094</v>
      </c>
      <c r="J860">
        <v>6869237790</v>
      </c>
      <c r="K860">
        <v>4839165985</v>
      </c>
      <c r="L860">
        <v>2087760894</v>
      </c>
      <c r="M860">
        <v>1766159835</v>
      </c>
      <c r="N860">
        <v>1226903179</v>
      </c>
      <c r="O860">
        <v>852974741</v>
      </c>
      <c r="P860">
        <v>6941</v>
      </c>
      <c r="Q860" t="s">
        <v>1963</v>
      </c>
    </row>
    <row r="861" spans="1:17" x14ac:dyDescent="0.3">
      <c r="A861" t="s">
        <v>17</v>
      </c>
      <c r="B861" t="str">
        <f>"601015"</f>
        <v>601015</v>
      </c>
      <c r="C861" t="s">
        <v>1964</v>
      </c>
      <c r="D861" t="s">
        <v>885</v>
      </c>
      <c r="F861">
        <v>8038882453</v>
      </c>
      <c r="G861">
        <v>5047061898</v>
      </c>
      <c r="H861">
        <v>5552150699</v>
      </c>
      <c r="I861">
        <v>5223787003</v>
      </c>
      <c r="J861">
        <v>4986358151</v>
      </c>
      <c r="K861">
        <v>2705232313</v>
      </c>
      <c r="L861">
        <v>2192815661</v>
      </c>
      <c r="M861">
        <v>3420085326</v>
      </c>
      <c r="P861">
        <v>212</v>
      </c>
      <c r="Q861" t="s">
        <v>1965</v>
      </c>
    </row>
    <row r="862" spans="1:17" x14ac:dyDescent="0.3">
      <c r="A862" t="s">
        <v>17</v>
      </c>
      <c r="B862" t="str">
        <f>"601016"</f>
        <v>601016</v>
      </c>
      <c r="C862" t="s">
        <v>1966</v>
      </c>
      <c r="D862" t="s">
        <v>383</v>
      </c>
      <c r="F862">
        <v>1863335249</v>
      </c>
      <c r="G862">
        <v>1367406416</v>
      </c>
      <c r="H862">
        <v>1379563702</v>
      </c>
      <c r="I862">
        <v>1346281607</v>
      </c>
      <c r="J862">
        <v>1012881814</v>
      </c>
      <c r="K862">
        <v>1041677630</v>
      </c>
      <c r="L862">
        <v>1269297083</v>
      </c>
      <c r="M862">
        <v>984258988</v>
      </c>
      <c r="N862">
        <v>933507660</v>
      </c>
      <c r="P862">
        <v>542</v>
      </c>
      <c r="Q862" t="s">
        <v>1967</v>
      </c>
    </row>
    <row r="863" spans="1:17" x14ac:dyDescent="0.3">
      <c r="A863" t="s">
        <v>17</v>
      </c>
      <c r="B863" t="str">
        <f>"601018"</f>
        <v>601018</v>
      </c>
      <c r="C863" t="s">
        <v>1968</v>
      </c>
      <c r="D863" t="s">
        <v>51</v>
      </c>
      <c r="F863">
        <v>30863884000</v>
      </c>
      <c r="G863">
        <v>18317999000</v>
      </c>
      <c r="H863">
        <v>17224396000</v>
      </c>
      <c r="I863">
        <v>16945589000</v>
      </c>
      <c r="J863">
        <v>12071435000</v>
      </c>
      <c r="K863">
        <v>13237105000</v>
      </c>
      <c r="L863">
        <v>12289759000</v>
      </c>
      <c r="M863">
        <v>8174241000</v>
      </c>
      <c r="N863">
        <v>7264340000</v>
      </c>
      <c r="O863">
        <v>4338310000</v>
      </c>
      <c r="P863">
        <v>335</v>
      </c>
      <c r="Q863" t="s">
        <v>1969</v>
      </c>
    </row>
    <row r="864" spans="1:17" x14ac:dyDescent="0.3">
      <c r="A864" t="s">
        <v>17</v>
      </c>
      <c r="B864" t="str">
        <f>"601019"</f>
        <v>601019</v>
      </c>
      <c r="C864" t="s">
        <v>1970</v>
      </c>
      <c r="D864" t="s">
        <v>1536</v>
      </c>
      <c r="F864">
        <v>6750058393</v>
      </c>
      <c r="G864">
        <v>5443750084</v>
      </c>
      <c r="H864">
        <v>5105829564</v>
      </c>
      <c r="I864">
        <v>5686641099</v>
      </c>
      <c r="J864">
        <v>4699821584</v>
      </c>
      <c r="K864">
        <v>4691885705</v>
      </c>
      <c r="P864">
        <v>401</v>
      </c>
      <c r="Q864" t="s">
        <v>1971</v>
      </c>
    </row>
    <row r="865" spans="1:17" x14ac:dyDescent="0.3">
      <c r="A865" t="s">
        <v>17</v>
      </c>
      <c r="B865" t="str">
        <f>"601020"</f>
        <v>601020</v>
      </c>
      <c r="C865" t="s">
        <v>1972</v>
      </c>
      <c r="D865" t="s">
        <v>701</v>
      </c>
      <c r="F865">
        <v>1206578809</v>
      </c>
      <c r="G865">
        <v>2433845502</v>
      </c>
      <c r="H865">
        <v>673882395</v>
      </c>
      <c r="I865">
        <v>987744080</v>
      </c>
      <c r="J865">
        <v>644538684</v>
      </c>
      <c r="K865">
        <v>416858350</v>
      </c>
      <c r="L865">
        <v>422002960</v>
      </c>
      <c r="P865">
        <v>180</v>
      </c>
      <c r="Q865" t="s">
        <v>1973</v>
      </c>
    </row>
    <row r="866" spans="1:17" x14ac:dyDescent="0.3">
      <c r="A866" t="s">
        <v>17</v>
      </c>
      <c r="B866" t="str">
        <f>"601021"</f>
        <v>601021</v>
      </c>
      <c r="C866" t="s">
        <v>1974</v>
      </c>
      <c r="D866" t="s">
        <v>77</v>
      </c>
      <c r="F866">
        <v>10270103424</v>
      </c>
      <c r="G866">
        <v>7595801502</v>
      </c>
      <c r="H866">
        <v>13490339927</v>
      </c>
      <c r="I866">
        <v>12775373107</v>
      </c>
      <c r="J866">
        <v>10845416892</v>
      </c>
      <c r="K866">
        <v>8456684152</v>
      </c>
      <c r="L866">
        <v>7678461763</v>
      </c>
      <c r="M866">
        <v>6471284161</v>
      </c>
      <c r="N866">
        <v>5959513520</v>
      </c>
      <c r="P866">
        <v>1019</v>
      </c>
      <c r="Q866" t="s">
        <v>1975</v>
      </c>
    </row>
    <row r="867" spans="1:17" x14ac:dyDescent="0.3">
      <c r="A867" t="s">
        <v>17</v>
      </c>
      <c r="B867" t="str">
        <f>"601028"</f>
        <v>601028</v>
      </c>
      <c r="C867" t="s">
        <v>1976</v>
      </c>
      <c r="D867" t="s">
        <v>131</v>
      </c>
      <c r="F867">
        <v>7833715252</v>
      </c>
      <c r="G867">
        <v>9479779867</v>
      </c>
      <c r="H867">
        <v>275865507</v>
      </c>
      <c r="I867">
        <v>788083958</v>
      </c>
      <c r="J867">
        <v>1381450138</v>
      </c>
      <c r="K867">
        <v>1883962762</v>
      </c>
      <c r="L867">
        <v>2503556570</v>
      </c>
      <c r="M867">
        <v>2517459419</v>
      </c>
      <c r="N867">
        <v>2627696951</v>
      </c>
      <c r="O867">
        <v>2137575957</v>
      </c>
      <c r="P867">
        <v>87</v>
      </c>
      <c r="Q867" t="s">
        <v>1977</v>
      </c>
    </row>
    <row r="868" spans="1:17" x14ac:dyDescent="0.3">
      <c r="A868" t="s">
        <v>17</v>
      </c>
      <c r="B868" t="str">
        <f>"601038"</f>
        <v>601038</v>
      </c>
      <c r="C868" t="s">
        <v>1978</v>
      </c>
      <c r="D868" t="s">
        <v>1979</v>
      </c>
      <c r="F868">
        <v>6427500889</v>
      </c>
      <c r="G868">
        <v>5201239253</v>
      </c>
      <c r="H868">
        <v>4675910126</v>
      </c>
      <c r="I868">
        <v>4818516954</v>
      </c>
      <c r="J868">
        <v>5679739480</v>
      </c>
      <c r="K868">
        <v>7675682035</v>
      </c>
      <c r="L868">
        <v>8427089967</v>
      </c>
      <c r="M868">
        <v>7760860509</v>
      </c>
      <c r="N868">
        <v>8501013587</v>
      </c>
      <c r="O868">
        <v>8652362288</v>
      </c>
      <c r="P868">
        <v>179</v>
      </c>
      <c r="Q868" t="s">
        <v>1980</v>
      </c>
    </row>
    <row r="869" spans="1:17" x14ac:dyDescent="0.3">
      <c r="A869" t="s">
        <v>17</v>
      </c>
      <c r="B869" t="str">
        <f>"601058"</f>
        <v>601058</v>
      </c>
      <c r="C869" t="s">
        <v>1981</v>
      </c>
      <c r="D869" t="s">
        <v>422</v>
      </c>
      <c r="F869">
        <v>11756505204</v>
      </c>
      <c r="G869">
        <v>8196622143</v>
      </c>
      <c r="H869">
        <v>11219770521</v>
      </c>
      <c r="I869">
        <v>10133381946</v>
      </c>
      <c r="J869">
        <v>10458748214</v>
      </c>
      <c r="K869">
        <v>7714023622</v>
      </c>
      <c r="L869">
        <v>7482067977</v>
      </c>
      <c r="M869">
        <v>8878080982</v>
      </c>
      <c r="N869">
        <v>6257733202</v>
      </c>
      <c r="O869">
        <v>5660934040</v>
      </c>
      <c r="P869">
        <v>589</v>
      </c>
      <c r="Q869" t="s">
        <v>1982</v>
      </c>
    </row>
    <row r="870" spans="1:17" x14ac:dyDescent="0.3">
      <c r="A870" t="s">
        <v>17</v>
      </c>
      <c r="B870" t="str">
        <f>"601066"</f>
        <v>601066</v>
      </c>
      <c r="C870" t="s">
        <v>1983</v>
      </c>
      <c r="D870" t="s">
        <v>80</v>
      </c>
      <c r="P870">
        <v>1825</v>
      </c>
      <c r="Q870" t="s">
        <v>1984</v>
      </c>
    </row>
    <row r="871" spans="1:17" x14ac:dyDescent="0.3">
      <c r="A871" t="s">
        <v>17</v>
      </c>
      <c r="B871" t="str">
        <f>"601068"</f>
        <v>601068</v>
      </c>
      <c r="C871" t="s">
        <v>1985</v>
      </c>
      <c r="D871" t="s">
        <v>1986</v>
      </c>
      <c r="F871">
        <v>14090468625</v>
      </c>
      <c r="G871">
        <v>16527171746</v>
      </c>
      <c r="H871">
        <v>18649558510</v>
      </c>
      <c r="I871">
        <v>18745770526</v>
      </c>
      <c r="J871">
        <v>25834909580</v>
      </c>
      <c r="P871">
        <v>109</v>
      </c>
      <c r="Q871" t="s">
        <v>1987</v>
      </c>
    </row>
    <row r="872" spans="1:17" x14ac:dyDescent="0.3">
      <c r="A872" t="s">
        <v>17</v>
      </c>
      <c r="B872" t="str">
        <f>"601069"</f>
        <v>601069</v>
      </c>
      <c r="C872" t="s">
        <v>1988</v>
      </c>
      <c r="D872" t="s">
        <v>701</v>
      </c>
      <c r="F872">
        <v>3337011583</v>
      </c>
      <c r="G872">
        <v>3737343624</v>
      </c>
      <c r="H872">
        <v>2403752699</v>
      </c>
      <c r="I872">
        <v>517882098</v>
      </c>
      <c r="J872">
        <v>849384404</v>
      </c>
      <c r="K872">
        <v>870569158</v>
      </c>
      <c r="L872">
        <v>712227995</v>
      </c>
      <c r="M872">
        <v>619806932</v>
      </c>
      <c r="N872">
        <v>617991960</v>
      </c>
      <c r="P872">
        <v>142</v>
      </c>
      <c r="Q872" t="s">
        <v>1989</v>
      </c>
    </row>
    <row r="873" spans="1:17" x14ac:dyDescent="0.3">
      <c r="A873" t="s">
        <v>17</v>
      </c>
      <c r="B873" t="str">
        <f>"601077"</f>
        <v>601077</v>
      </c>
      <c r="C873" t="s">
        <v>1990</v>
      </c>
      <c r="D873" t="s">
        <v>1827</v>
      </c>
      <c r="P873">
        <v>509</v>
      </c>
      <c r="Q873" t="s">
        <v>1991</v>
      </c>
    </row>
    <row r="874" spans="1:17" x14ac:dyDescent="0.3">
      <c r="A874" t="s">
        <v>17</v>
      </c>
      <c r="B874" t="str">
        <f>"601086"</f>
        <v>601086</v>
      </c>
      <c r="C874" t="s">
        <v>1992</v>
      </c>
      <c r="D874" t="s">
        <v>633</v>
      </c>
      <c r="F874">
        <v>2207170161</v>
      </c>
      <c r="G874">
        <v>1919164687</v>
      </c>
      <c r="H874">
        <v>2344406649</v>
      </c>
      <c r="I874">
        <v>2489194032</v>
      </c>
      <c r="J874">
        <v>2436932184</v>
      </c>
      <c r="K874">
        <v>2379804450</v>
      </c>
      <c r="P874">
        <v>79</v>
      </c>
      <c r="Q874" t="s">
        <v>1993</v>
      </c>
    </row>
    <row r="875" spans="1:17" x14ac:dyDescent="0.3">
      <c r="A875" t="s">
        <v>17</v>
      </c>
      <c r="B875" t="str">
        <f>"601088"</f>
        <v>601088</v>
      </c>
      <c r="C875" t="s">
        <v>1994</v>
      </c>
      <c r="D875" t="s">
        <v>292</v>
      </c>
      <c r="F875">
        <v>264034000000</v>
      </c>
      <c r="G875">
        <v>180155000000</v>
      </c>
      <c r="H875">
        <v>205871000000</v>
      </c>
      <c r="I875">
        <v>223558000000</v>
      </c>
      <c r="J875">
        <v>211434000000</v>
      </c>
      <c r="K875">
        <v>161422000000</v>
      </c>
      <c r="L875">
        <v>138792000000</v>
      </c>
      <c r="M875">
        <v>213817000000</v>
      </c>
      <c r="N875">
        <v>219035000000</v>
      </c>
      <c r="O875">
        <v>204010000000</v>
      </c>
      <c r="P875">
        <v>3939</v>
      </c>
      <c r="Q875" t="s">
        <v>1995</v>
      </c>
    </row>
    <row r="876" spans="1:17" x14ac:dyDescent="0.3">
      <c r="A876" t="s">
        <v>17</v>
      </c>
      <c r="B876" t="str">
        <f>"601098"</f>
        <v>601098</v>
      </c>
      <c r="C876" t="s">
        <v>1996</v>
      </c>
      <c r="D876" t="s">
        <v>1536</v>
      </c>
      <c r="F876">
        <v>7938864344</v>
      </c>
      <c r="G876">
        <v>6684606445</v>
      </c>
      <c r="H876">
        <v>6355281446</v>
      </c>
      <c r="I876">
        <v>5367461312</v>
      </c>
      <c r="J876">
        <v>6495929839</v>
      </c>
      <c r="K876">
        <v>6601317271</v>
      </c>
      <c r="L876">
        <v>5929135147</v>
      </c>
      <c r="M876">
        <v>4982374466</v>
      </c>
      <c r="N876">
        <v>4981018298</v>
      </c>
      <c r="O876">
        <v>4184269120</v>
      </c>
      <c r="P876">
        <v>882</v>
      </c>
      <c r="Q876" t="s">
        <v>1997</v>
      </c>
    </row>
    <row r="877" spans="1:17" x14ac:dyDescent="0.3">
      <c r="A877" t="s">
        <v>17</v>
      </c>
      <c r="B877" t="str">
        <f>"601099"</f>
        <v>601099</v>
      </c>
      <c r="C877" t="s">
        <v>1998</v>
      </c>
      <c r="D877" t="s">
        <v>80</v>
      </c>
      <c r="P877">
        <v>738</v>
      </c>
      <c r="Q877" t="s">
        <v>1999</v>
      </c>
    </row>
    <row r="878" spans="1:17" x14ac:dyDescent="0.3">
      <c r="A878" t="s">
        <v>17</v>
      </c>
      <c r="B878" t="str">
        <f>"601100"</f>
        <v>601100</v>
      </c>
      <c r="C878" t="s">
        <v>2000</v>
      </c>
      <c r="D878" t="s">
        <v>2001</v>
      </c>
      <c r="F878">
        <v>6480628084</v>
      </c>
      <c r="G878">
        <v>4600074989</v>
      </c>
      <c r="H878">
        <v>3663643797</v>
      </c>
      <c r="I878">
        <v>2510284683</v>
      </c>
      <c r="J878">
        <v>1867775597</v>
      </c>
      <c r="K878">
        <v>961996864</v>
      </c>
      <c r="L878">
        <v>870138507</v>
      </c>
      <c r="M878">
        <v>891952885</v>
      </c>
      <c r="N878">
        <v>1011903891</v>
      </c>
      <c r="O878">
        <v>907789385</v>
      </c>
      <c r="P878">
        <v>1782</v>
      </c>
      <c r="Q878" t="s">
        <v>2002</v>
      </c>
    </row>
    <row r="879" spans="1:17" x14ac:dyDescent="0.3">
      <c r="A879" t="s">
        <v>17</v>
      </c>
      <c r="B879" t="str">
        <f>"601101"</f>
        <v>601101</v>
      </c>
      <c r="C879" t="s">
        <v>2003</v>
      </c>
      <c r="D879" t="s">
        <v>292</v>
      </c>
      <c r="F879">
        <v>6567374654</v>
      </c>
      <c r="G879">
        <v>3544014453</v>
      </c>
      <c r="H879">
        <v>4807490870</v>
      </c>
      <c r="I879">
        <v>5098209313</v>
      </c>
      <c r="J879">
        <v>4235434430</v>
      </c>
      <c r="K879">
        <v>2943885359</v>
      </c>
      <c r="L879">
        <v>3641011069</v>
      </c>
      <c r="M879">
        <v>4501016320</v>
      </c>
      <c r="N879">
        <v>4992914704</v>
      </c>
      <c r="O879">
        <v>5352534431</v>
      </c>
      <c r="P879">
        <v>281</v>
      </c>
      <c r="Q879" t="s">
        <v>2004</v>
      </c>
    </row>
    <row r="880" spans="1:17" x14ac:dyDescent="0.3">
      <c r="A880" t="s">
        <v>17</v>
      </c>
      <c r="B880" t="str">
        <f>"601106"</f>
        <v>601106</v>
      </c>
      <c r="C880" t="s">
        <v>2005</v>
      </c>
      <c r="D880" t="s">
        <v>395</v>
      </c>
      <c r="F880">
        <v>12544939308</v>
      </c>
      <c r="G880">
        <v>10002287148</v>
      </c>
      <c r="H880">
        <v>6992503491</v>
      </c>
      <c r="I880">
        <v>5558483940</v>
      </c>
      <c r="J880">
        <v>5149631073</v>
      </c>
      <c r="K880">
        <v>2422838052</v>
      </c>
      <c r="L880">
        <v>2704397110</v>
      </c>
      <c r="M880">
        <v>5478819616</v>
      </c>
      <c r="N880">
        <v>3361472483</v>
      </c>
      <c r="O880">
        <v>3004099525</v>
      </c>
      <c r="P880">
        <v>175</v>
      </c>
      <c r="Q880" t="s">
        <v>2006</v>
      </c>
    </row>
    <row r="881" spans="1:17" x14ac:dyDescent="0.3">
      <c r="A881" t="s">
        <v>17</v>
      </c>
      <c r="B881" t="str">
        <f>"601107"</f>
        <v>601107</v>
      </c>
      <c r="C881" t="s">
        <v>2007</v>
      </c>
      <c r="D881" t="s">
        <v>44</v>
      </c>
      <c r="F881">
        <v>5376946343</v>
      </c>
      <c r="G881">
        <v>4608903353</v>
      </c>
      <c r="H881">
        <v>5711918733</v>
      </c>
      <c r="I881">
        <v>4775521322</v>
      </c>
      <c r="J881">
        <v>6664315889</v>
      </c>
      <c r="K881">
        <v>5752622837</v>
      </c>
      <c r="L881">
        <v>5437435528</v>
      </c>
      <c r="M881">
        <v>6271470252</v>
      </c>
      <c r="N881">
        <v>4540713951</v>
      </c>
      <c r="O881">
        <v>2886922671</v>
      </c>
      <c r="P881">
        <v>231</v>
      </c>
      <c r="Q881" t="s">
        <v>2008</v>
      </c>
    </row>
    <row r="882" spans="1:17" x14ac:dyDescent="0.3">
      <c r="A882" t="s">
        <v>17</v>
      </c>
      <c r="B882" t="str">
        <f>"601108"</f>
        <v>601108</v>
      </c>
      <c r="C882" t="s">
        <v>2009</v>
      </c>
      <c r="D882" t="s">
        <v>80</v>
      </c>
      <c r="P882">
        <v>980</v>
      </c>
      <c r="Q882" t="s">
        <v>2010</v>
      </c>
    </row>
    <row r="883" spans="1:17" x14ac:dyDescent="0.3">
      <c r="A883" t="s">
        <v>17</v>
      </c>
      <c r="B883" t="str">
        <f>"601111"</f>
        <v>601111</v>
      </c>
      <c r="C883" t="s">
        <v>2011</v>
      </c>
      <c r="D883" t="s">
        <v>77</v>
      </c>
      <c r="F883">
        <v>61020442000</v>
      </c>
      <c r="G883">
        <v>44861340000</v>
      </c>
      <c r="H883">
        <v>105359920000</v>
      </c>
      <c r="I883">
        <v>107714571000</v>
      </c>
      <c r="J883">
        <v>97484664000</v>
      </c>
      <c r="K883">
        <v>90128015000</v>
      </c>
      <c r="L883">
        <v>87479093000</v>
      </c>
      <c r="M883">
        <v>82863244000</v>
      </c>
      <c r="N883">
        <v>77950954000</v>
      </c>
      <c r="O883">
        <v>75138050000</v>
      </c>
      <c r="P883">
        <v>1106</v>
      </c>
      <c r="Q883" t="s">
        <v>2012</v>
      </c>
    </row>
    <row r="884" spans="1:17" x14ac:dyDescent="0.3">
      <c r="A884" t="s">
        <v>17</v>
      </c>
      <c r="B884" t="str">
        <f>"601113"</f>
        <v>601113</v>
      </c>
      <c r="C884" t="s">
        <v>2013</v>
      </c>
      <c r="D884" t="s">
        <v>2014</v>
      </c>
      <c r="F884">
        <v>6290271166</v>
      </c>
      <c r="G884">
        <v>6275167361</v>
      </c>
      <c r="H884">
        <v>6115569403</v>
      </c>
      <c r="I884">
        <v>4478094094</v>
      </c>
      <c r="J884">
        <v>2108640390</v>
      </c>
      <c r="K884">
        <v>1616582687</v>
      </c>
      <c r="L884">
        <v>1334968381</v>
      </c>
      <c r="M884">
        <v>1329439831</v>
      </c>
      <c r="N884">
        <v>1525753692</v>
      </c>
      <c r="O884">
        <v>1788004205</v>
      </c>
      <c r="P884">
        <v>68</v>
      </c>
      <c r="Q884" t="s">
        <v>2015</v>
      </c>
    </row>
    <row r="885" spans="1:17" x14ac:dyDescent="0.3">
      <c r="A885" t="s">
        <v>17</v>
      </c>
      <c r="B885" t="str">
        <f>"601116"</f>
        <v>601116</v>
      </c>
      <c r="C885" t="s">
        <v>2016</v>
      </c>
      <c r="D885" t="s">
        <v>798</v>
      </c>
      <c r="F885">
        <v>3247692783</v>
      </c>
      <c r="G885">
        <v>3633162527</v>
      </c>
      <c r="H885">
        <v>3340017809</v>
      </c>
      <c r="I885">
        <v>3469980731</v>
      </c>
      <c r="J885">
        <v>3126850783</v>
      </c>
      <c r="K885">
        <v>3491738927</v>
      </c>
      <c r="L885">
        <v>3685826419</v>
      </c>
      <c r="M885">
        <v>3715508281</v>
      </c>
      <c r="N885">
        <v>3982401589</v>
      </c>
      <c r="O885">
        <v>4477904287</v>
      </c>
      <c r="P885">
        <v>124</v>
      </c>
      <c r="Q885" t="s">
        <v>2017</v>
      </c>
    </row>
    <row r="886" spans="1:17" x14ac:dyDescent="0.3">
      <c r="A886" t="s">
        <v>17</v>
      </c>
      <c r="B886" t="str">
        <f>"601117"</f>
        <v>601117</v>
      </c>
      <c r="C886" t="s">
        <v>2018</v>
      </c>
      <c r="D886" t="s">
        <v>2019</v>
      </c>
      <c r="F886">
        <v>92451578128</v>
      </c>
      <c r="G886">
        <v>64111492334</v>
      </c>
      <c r="H886">
        <v>55173936431</v>
      </c>
      <c r="I886">
        <v>45807874071</v>
      </c>
      <c r="J886">
        <v>34821464608</v>
      </c>
      <c r="K886">
        <v>30150232753</v>
      </c>
      <c r="L886">
        <v>33119458188</v>
      </c>
      <c r="M886">
        <v>37899429839</v>
      </c>
      <c r="N886">
        <v>46808251033</v>
      </c>
      <c r="O886">
        <v>35685061539</v>
      </c>
      <c r="P886">
        <v>717</v>
      </c>
      <c r="Q886" t="s">
        <v>2020</v>
      </c>
    </row>
    <row r="887" spans="1:17" x14ac:dyDescent="0.3">
      <c r="A887" t="s">
        <v>17</v>
      </c>
      <c r="B887" t="str">
        <f>"601118"</f>
        <v>601118</v>
      </c>
      <c r="C887" t="s">
        <v>2021</v>
      </c>
      <c r="D887" t="s">
        <v>258</v>
      </c>
      <c r="F887">
        <v>11184954579</v>
      </c>
      <c r="G887">
        <v>10374276507</v>
      </c>
      <c r="H887">
        <v>9535007760</v>
      </c>
      <c r="I887">
        <v>4484939836</v>
      </c>
      <c r="J887">
        <v>9153525005</v>
      </c>
      <c r="K887">
        <v>6399111460</v>
      </c>
      <c r="L887">
        <v>7163711135</v>
      </c>
      <c r="M887">
        <v>7847197537</v>
      </c>
      <c r="N887">
        <v>9422246063</v>
      </c>
      <c r="O887">
        <v>7592461687</v>
      </c>
      <c r="P887">
        <v>199</v>
      </c>
      <c r="Q887" t="s">
        <v>2022</v>
      </c>
    </row>
    <row r="888" spans="1:17" x14ac:dyDescent="0.3">
      <c r="A888" t="s">
        <v>17</v>
      </c>
      <c r="B888" t="str">
        <f>"601126"</f>
        <v>601126</v>
      </c>
      <c r="C888" t="s">
        <v>2023</v>
      </c>
      <c r="D888" t="s">
        <v>610</v>
      </c>
      <c r="F888">
        <v>3318828479</v>
      </c>
      <c r="G888">
        <v>2938821580</v>
      </c>
      <c r="H888">
        <v>2972724113</v>
      </c>
      <c r="I888">
        <v>2663788329</v>
      </c>
      <c r="J888">
        <v>2376202496</v>
      </c>
      <c r="K888">
        <v>2149874304</v>
      </c>
      <c r="L888">
        <v>1968614525</v>
      </c>
      <c r="M888">
        <v>2090190638</v>
      </c>
      <c r="N888">
        <v>1731791963</v>
      </c>
      <c r="O888">
        <v>1340985087</v>
      </c>
      <c r="P888">
        <v>279</v>
      </c>
      <c r="Q888" t="s">
        <v>2024</v>
      </c>
    </row>
    <row r="889" spans="1:17" x14ac:dyDescent="0.3">
      <c r="A889" t="s">
        <v>17</v>
      </c>
      <c r="B889" t="str">
        <f>"601127"</f>
        <v>601127</v>
      </c>
      <c r="C889" t="s">
        <v>2025</v>
      </c>
      <c r="D889" t="s">
        <v>247</v>
      </c>
      <c r="F889">
        <v>12174585859</v>
      </c>
      <c r="G889">
        <v>11388211599</v>
      </c>
      <c r="H889">
        <v>12390080893</v>
      </c>
      <c r="I889">
        <v>13576118764</v>
      </c>
      <c r="J889">
        <v>15166406528</v>
      </c>
      <c r="K889">
        <v>8348912752</v>
      </c>
      <c r="L889">
        <v>5926065683</v>
      </c>
      <c r="P889">
        <v>476</v>
      </c>
      <c r="Q889" t="s">
        <v>2026</v>
      </c>
    </row>
    <row r="890" spans="1:17" x14ac:dyDescent="0.3">
      <c r="A890" t="s">
        <v>17</v>
      </c>
      <c r="B890" t="str">
        <f>"601128"</f>
        <v>601128</v>
      </c>
      <c r="C890" t="s">
        <v>2027</v>
      </c>
      <c r="D890" t="s">
        <v>1827</v>
      </c>
      <c r="P890">
        <v>940</v>
      </c>
      <c r="Q890" t="s">
        <v>2028</v>
      </c>
    </row>
    <row r="891" spans="1:17" x14ac:dyDescent="0.3">
      <c r="A891" t="s">
        <v>17</v>
      </c>
      <c r="B891" t="str">
        <f>"601137"</f>
        <v>601137</v>
      </c>
      <c r="C891" t="s">
        <v>2029</v>
      </c>
      <c r="D891" t="s">
        <v>581</v>
      </c>
      <c r="F891">
        <v>7733681628</v>
      </c>
      <c r="G891">
        <v>5880495474</v>
      </c>
      <c r="H891">
        <v>5348220248</v>
      </c>
      <c r="I891">
        <v>4758558787</v>
      </c>
      <c r="J891">
        <v>4514253900</v>
      </c>
      <c r="K891">
        <v>2846936260</v>
      </c>
      <c r="L891">
        <v>2563014271</v>
      </c>
      <c r="M891">
        <v>2588262011</v>
      </c>
      <c r="N891">
        <v>2182676261</v>
      </c>
      <c r="O891">
        <v>2011041469</v>
      </c>
      <c r="P891">
        <v>283</v>
      </c>
      <c r="Q891" t="s">
        <v>2030</v>
      </c>
    </row>
    <row r="892" spans="1:17" x14ac:dyDescent="0.3">
      <c r="A892" t="s">
        <v>17</v>
      </c>
      <c r="B892" t="str">
        <f>"601138"</f>
        <v>601138</v>
      </c>
      <c r="C892" t="s">
        <v>2031</v>
      </c>
      <c r="D892" t="s">
        <v>313</v>
      </c>
      <c r="F892">
        <v>321046922000</v>
      </c>
      <c r="G892">
        <v>298848953000</v>
      </c>
      <c r="H892">
        <v>289870443000</v>
      </c>
      <c r="I892">
        <v>278442236000</v>
      </c>
      <c r="J892">
        <v>210168540000</v>
      </c>
      <c r="P892">
        <v>1318</v>
      </c>
      <c r="Q892" t="s">
        <v>2032</v>
      </c>
    </row>
    <row r="893" spans="1:17" x14ac:dyDescent="0.3">
      <c r="A893" t="s">
        <v>17</v>
      </c>
      <c r="B893" t="str">
        <f>"601139"</f>
        <v>601139</v>
      </c>
      <c r="C893" t="s">
        <v>2033</v>
      </c>
      <c r="D893" t="s">
        <v>749</v>
      </c>
      <c r="F893">
        <v>15877001041</v>
      </c>
      <c r="G893">
        <v>11772705812</v>
      </c>
      <c r="H893">
        <v>10867955367</v>
      </c>
      <c r="I893">
        <v>10106037464</v>
      </c>
      <c r="J893">
        <v>8271820398</v>
      </c>
      <c r="K893">
        <v>6781378771</v>
      </c>
      <c r="L893">
        <v>6472926020</v>
      </c>
      <c r="M893">
        <v>8057408437</v>
      </c>
      <c r="N893">
        <v>7150507777</v>
      </c>
      <c r="O893">
        <v>8142816824</v>
      </c>
      <c r="P893">
        <v>476</v>
      </c>
      <c r="Q893" t="s">
        <v>2034</v>
      </c>
    </row>
    <row r="894" spans="1:17" x14ac:dyDescent="0.3">
      <c r="A894" t="s">
        <v>17</v>
      </c>
      <c r="B894" t="str">
        <f>"601155"</f>
        <v>601155</v>
      </c>
      <c r="C894" t="s">
        <v>2035</v>
      </c>
      <c r="D894" t="s">
        <v>30</v>
      </c>
      <c r="F894">
        <v>105689789352</v>
      </c>
      <c r="G894">
        <v>100303744328</v>
      </c>
      <c r="H894">
        <v>107012269195</v>
      </c>
      <c r="I894">
        <v>72960041398</v>
      </c>
      <c r="J894">
        <v>35729578773</v>
      </c>
      <c r="K894">
        <v>27251754770</v>
      </c>
      <c r="L894">
        <v>17916001856</v>
      </c>
      <c r="P894">
        <v>7593</v>
      </c>
      <c r="Q894" t="s">
        <v>2036</v>
      </c>
    </row>
    <row r="895" spans="1:17" x14ac:dyDescent="0.3">
      <c r="A895" t="s">
        <v>17</v>
      </c>
      <c r="B895" t="str">
        <f>"601156"</f>
        <v>601156</v>
      </c>
      <c r="C895" t="s">
        <v>2037</v>
      </c>
      <c r="D895" t="s">
        <v>287</v>
      </c>
      <c r="F895">
        <v>15192154521</v>
      </c>
      <c r="P895">
        <v>105</v>
      </c>
      <c r="Q895" t="s">
        <v>2038</v>
      </c>
    </row>
    <row r="896" spans="1:17" x14ac:dyDescent="0.3">
      <c r="A896" t="s">
        <v>17</v>
      </c>
      <c r="B896" t="str">
        <f>"601158"</f>
        <v>601158</v>
      </c>
      <c r="C896" t="s">
        <v>2039</v>
      </c>
      <c r="D896" t="s">
        <v>33</v>
      </c>
      <c r="F896">
        <v>5123909993</v>
      </c>
      <c r="G896">
        <v>4516028471</v>
      </c>
      <c r="H896">
        <v>4488595741</v>
      </c>
      <c r="I896">
        <v>4145374682</v>
      </c>
      <c r="J896">
        <v>3852677975</v>
      </c>
      <c r="K896">
        <v>3824090770</v>
      </c>
      <c r="L896">
        <v>3788096691</v>
      </c>
      <c r="M896">
        <v>3820391437</v>
      </c>
      <c r="N896">
        <v>3229049086</v>
      </c>
      <c r="O896">
        <v>2982566514</v>
      </c>
      <c r="P896">
        <v>587</v>
      </c>
      <c r="Q896" t="s">
        <v>2040</v>
      </c>
    </row>
    <row r="897" spans="1:17" x14ac:dyDescent="0.3">
      <c r="A897" t="s">
        <v>17</v>
      </c>
      <c r="B897" t="str">
        <f>"601162"</f>
        <v>601162</v>
      </c>
      <c r="C897" t="s">
        <v>2041</v>
      </c>
      <c r="D897" t="s">
        <v>80</v>
      </c>
      <c r="P897">
        <v>897</v>
      </c>
      <c r="Q897" t="s">
        <v>2042</v>
      </c>
    </row>
    <row r="898" spans="1:17" x14ac:dyDescent="0.3">
      <c r="A898" t="s">
        <v>17</v>
      </c>
      <c r="B898" t="str">
        <f>"601163"</f>
        <v>601163</v>
      </c>
      <c r="C898" t="s">
        <v>2043</v>
      </c>
      <c r="D898" t="s">
        <v>422</v>
      </c>
      <c r="F898">
        <v>4943261067</v>
      </c>
      <c r="G898">
        <v>4043431277</v>
      </c>
      <c r="H898">
        <v>4248697735</v>
      </c>
      <c r="I898">
        <v>4185197345</v>
      </c>
      <c r="J898">
        <v>4386661441</v>
      </c>
      <c r="K898">
        <v>3727344169</v>
      </c>
      <c r="L898">
        <v>3907704358</v>
      </c>
      <c r="P898">
        <v>224</v>
      </c>
      <c r="Q898" t="s">
        <v>2044</v>
      </c>
    </row>
    <row r="899" spans="1:17" x14ac:dyDescent="0.3">
      <c r="A899" t="s">
        <v>17</v>
      </c>
      <c r="B899" t="str">
        <f>"601166"</f>
        <v>601166</v>
      </c>
      <c r="C899" t="s">
        <v>2045</v>
      </c>
      <c r="D899" t="s">
        <v>19</v>
      </c>
      <c r="P899">
        <v>24372</v>
      </c>
      <c r="Q899" t="s">
        <v>2046</v>
      </c>
    </row>
    <row r="900" spans="1:17" x14ac:dyDescent="0.3">
      <c r="A900" t="s">
        <v>17</v>
      </c>
      <c r="B900" t="str">
        <f>"601168"</f>
        <v>601168</v>
      </c>
      <c r="C900" t="s">
        <v>2047</v>
      </c>
      <c r="D900" t="s">
        <v>263</v>
      </c>
      <c r="F900">
        <v>31313053099</v>
      </c>
      <c r="G900">
        <v>23776572987</v>
      </c>
      <c r="H900">
        <v>23908180794</v>
      </c>
      <c r="I900">
        <v>20375095706</v>
      </c>
      <c r="J900">
        <v>24043671246</v>
      </c>
      <c r="K900">
        <v>27675187729</v>
      </c>
      <c r="L900">
        <v>20820722694</v>
      </c>
      <c r="M900">
        <v>17802511614</v>
      </c>
      <c r="N900">
        <v>17776760260</v>
      </c>
      <c r="O900">
        <v>18813707644</v>
      </c>
      <c r="P900">
        <v>392</v>
      </c>
      <c r="Q900" t="s">
        <v>2048</v>
      </c>
    </row>
    <row r="901" spans="1:17" x14ac:dyDescent="0.3">
      <c r="A901" t="s">
        <v>17</v>
      </c>
      <c r="B901" t="str">
        <f>"601169"</f>
        <v>601169</v>
      </c>
      <c r="C901" t="s">
        <v>2049</v>
      </c>
      <c r="D901" t="s">
        <v>1838</v>
      </c>
      <c r="P901">
        <v>16385</v>
      </c>
      <c r="Q901" t="s">
        <v>2050</v>
      </c>
    </row>
    <row r="902" spans="1:17" x14ac:dyDescent="0.3">
      <c r="A902" t="s">
        <v>17</v>
      </c>
      <c r="B902" t="str">
        <f>"601177"</f>
        <v>601177</v>
      </c>
      <c r="C902" t="s">
        <v>2051</v>
      </c>
      <c r="D902" t="s">
        <v>274</v>
      </c>
      <c r="F902">
        <v>1353760496</v>
      </c>
      <c r="G902">
        <v>957838106</v>
      </c>
      <c r="H902">
        <v>999668871</v>
      </c>
      <c r="I902">
        <v>1283015195</v>
      </c>
      <c r="J902">
        <v>1245338586</v>
      </c>
      <c r="K902">
        <v>1119360948</v>
      </c>
      <c r="L902">
        <v>1106435980</v>
      </c>
      <c r="M902">
        <v>1298977201</v>
      </c>
      <c r="N902">
        <v>1313888635</v>
      </c>
      <c r="O902">
        <v>1310553994</v>
      </c>
      <c r="P902">
        <v>74</v>
      </c>
      <c r="Q902" t="s">
        <v>2052</v>
      </c>
    </row>
    <row r="903" spans="1:17" x14ac:dyDescent="0.3">
      <c r="A903" t="s">
        <v>17</v>
      </c>
      <c r="B903" t="str">
        <f>"601179"</f>
        <v>601179</v>
      </c>
      <c r="C903" t="s">
        <v>2053</v>
      </c>
      <c r="D903" t="s">
        <v>210</v>
      </c>
      <c r="F903">
        <v>10516084363</v>
      </c>
      <c r="G903">
        <v>9708009808</v>
      </c>
      <c r="H903">
        <v>9192159853</v>
      </c>
      <c r="I903">
        <v>7846978426</v>
      </c>
      <c r="J903">
        <v>9053672056</v>
      </c>
      <c r="K903">
        <v>9853778372</v>
      </c>
      <c r="L903">
        <v>8996252453</v>
      </c>
      <c r="M903">
        <v>9327012368</v>
      </c>
      <c r="N903">
        <v>9107467467</v>
      </c>
      <c r="O903">
        <v>7930093034</v>
      </c>
      <c r="P903">
        <v>329</v>
      </c>
      <c r="Q903" t="s">
        <v>2054</v>
      </c>
    </row>
    <row r="904" spans="1:17" x14ac:dyDescent="0.3">
      <c r="A904" t="s">
        <v>17</v>
      </c>
      <c r="B904" t="str">
        <f>"601186"</f>
        <v>601186</v>
      </c>
      <c r="C904" t="s">
        <v>2055</v>
      </c>
      <c r="D904" t="s">
        <v>101</v>
      </c>
      <c r="F904">
        <v>700685500000</v>
      </c>
      <c r="G904">
        <v>643466475000</v>
      </c>
      <c r="H904">
        <v>579846674000</v>
      </c>
      <c r="I904">
        <v>491247359000</v>
      </c>
      <c r="J904">
        <v>442308971000</v>
      </c>
      <c r="K904">
        <v>419899728000</v>
      </c>
      <c r="L904">
        <v>399564051000</v>
      </c>
      <c r="M904">
        <v>411342847000</v>
      </c>
      <c r="N904">
        <v>408380878000</v>
      </c>
      <c r="O904">
        <v>311942855000</v>
      </c>
      <c r="P904">
        <v>1361</v>
      </c>
      <c r="Q904" t="s">
        <v>2056</v>
      </c>
    </row>
    <row r="905" spans="1:17" x14ac:dyDescent="0.3">
      <c r="A905" t="s">
        <v>17</v>
      </c>
      <c r="B905" t="str">
        <f>"601187"</f>
        <v>601187</v>
      </c>
      <c r="C905" t="s">
        <v>2057</v>
      </c>
      <c r="D905" t="s">
        <v>1838</v>
      </c>
      <c r="P905">
        <v>177</v>
      </c>
      <c r="Q905" t="s">
        <v>2058</v>
      </c>
    </row>
    <row r="906" spans="1:17" x14ac:dyDescent="0.3">
      <c r="A906" t="s">
        <v>17</v>
      </c>
      <c r="B906" t="str">
        <f>"601188"</f>
        <v>601188</v>
      </c>
      <c r="C906" t="s">
        <v>2059</v>
      </c>
      <c r="D906" t="s">
        <v>44</v>
      </c>
      <c r="F906">
        <v>462815081</v>
      </c>
      <c r="G906">
        <v>390620318</v>
      </c>
      <c r="H906">
        <v>705636937</v>
      </c>
      <c r="I906">
        <v>698472932</v>
      </c>
      <c r="J906">
        <v>942003398</v>
      </c>
      <c r="K906">
        <v>625549536</v>
      </c>
      <c r="L906">
        <v>717625900</v>
      </c>
      <c r="M906">
        <v>372130178</v>
      </c>
      <c r="N906">
        <v>342501988</v>
      </c>
      <c r="O906">
        <v>317194793</v>
      </c>
      <c r="P906">
        <v>124</v>
      </c>
      <c r="Q906" t="s">
        <v>2060</v>
      </c>
    </row>
    <row r="907" spans="1:17" x14ac:dyDescent="0.3">
      <c r="A907" t="s">
        <v>17</v>
      </c>
      <c r="B907" t="str">
        <f>"601198"</f>
        <v>601198</v>
      </c>
      <c r="C907" t="s">
        <v>2061</v>
      </c>
      <c r="D907" t="s">
        <v>80</v>
      </c>
      <c r="P907">
        <v>814</v>
      </c>
      <c r="Q907" t="s">
        <v>2062</v>
      </c>
    </row>
    <row r="908" spans="1:17" x14ac:dyDescent="0.3">
      <c r="A908" t="s">
        <v>17</v>
      </c>
      <c r="B908" t="str">
        <f>"601199"</f>
        <v>601199</v>
      </c>
      <c r="C908" t="s">
        <v>2063</v>
      </c>
      <c r="D908" t="s">
        <v>33</v>
      </c>
      <c r="F908">
        <v>768418789</v>
      </c>
      <c r="G908">
        <v>756224127</v>
      </c>
      <c r="H908">
        <v>800723103</v>
      </c>
      <c r="I908">
        <v>735599152</v>
      </c>
      <c r="J908">
        <v>667319012</v>
      </c>
      <c r="K908">
        <v>657567508</v>
      </c>
      <c r="L908">
        <v>643730948</v>
      </c>
      <c r="M908">
        <v>670842633</v>
      </c>
      <c r="N908">
        <v>671957366</v>
      </c>
      <c r="O908">
        <v>627738218</v>
      </c>
      <c r="P908">
        <v>186</v>
      </c>
      <c r="Q908" t="s">
        <v>2064</v>
      </c>
    </row>
    <row r="909" spans="1:17" x14ac:dyDescent="0.3">
      <c r="A909" t="s">
        <v>17</v>
      </c>
      <c r="B909" t="str">
        <f>"601200"</f>
        <v>601200</v>
      </c>
      <c r="C909" t="s">
        <v>2065</v>
      </c>
      <c r="D909" t="s">
        <v>499</v>
      </c>
      <c r="F909">
        <v>3292325059</v>
      </c>
      <c r="G909">
        <v>2958298317</v>
      </c>
      <c r="H909">
        <v>2479283290</v>
      </c>
      <c r="I909">
        <v>2002597260</v>
      </c>
      <c r="J909">
        <v>1814130791</v>
      </c>
      <c r="K909">
        <v>1616759990</v>
      </c>
      <c r="P909">
        <v>326</v>
      </c>
      <c r="Q909" t="s">
        <v>2066</v>
      </c>
    </row>
    <row r="910" spans="1:17" x14ac:dyDescent="0.3">
      <c r="A910" t="s">
        <v>17</v>
      </c>
      <c r="B910" t="str">
        <f>"601208"</f>
        <v>601208</v>
      </c>
      <c r="C910" t="s">
        <v>2067</v>
      </c>
      <c r="D910" t="s">
        <v>324</v>
      </c>
      <c r="F910">
        <v>1115840639</v>
      </c>
      <c r="G910">
        <v>811108205</v>
      </c>
      <c r="H910">
        <v>709266704</v>
      </c>
      <c r="I910">
        <v>764954308</v>
      </c>
      <c r="J910">
        <v>739692465</v>
      </c>
      <c r="K910">
        <v>949451848</v>
      </c>
      <c r="L910">
        <v>724657101</v>
      </c>
      <c r="M910">
        <v>661468796</v>
      </c>
      <c r="N910">
        <v>1006388052</v>
      </c>
      <c r="O910">
        <v>977289758</v>
      </c>
      <c r="P910">
        <v>3074</v>
      </c>
      <c r="Q910" t="s">
        <v>2068</v>
      </c>
    </row>
    <row r="911" spans="1:17" x14ac:dyDescent="0.3">
      <c r="A911" t="s">
        <v>17</v>
      </c>
      <c r="B911" t="str">
        <f>"601211"</f>
        <v>601211</v>
      </c>
      <c r="C911" t="s">
        <v>2069</v>
      </c>
      <c r="D911" t="s">
        <v>80</v>
      </c>
      <c r="P911">
        <v>3571</v>
      </c>
      <c r="Q911" t="s">
        <v>2070</v>
      </c>
    </row>
    <row r="912" spans="1:17" x14ac:dyDescent="0.3">
      <c r="A912" t="s">
        <v>17</v>
      </c>
      <c r="B912" t="str">
        <f>"601212"</f>
        <v>601212</v>
      </c>
      <c r="C912" t="s">
        <v>2071</v>
      </c>
      <c r="D912" t="s">
        <v>2072</v>
      </c>
      <c r="F912">
        <v>57849168552</v>
      </c>
      <c r="G912">
        <v>48497164358</v>
      </c>
      <c r="H912">
        <v>42651872442</v>
      </c>
      <c r="I912">
        <v>48945012072</v>
      </c>
      <c r="J912">
        <v>57949891454</v>
      </c>
      <c r="K912">
        <v>59242595390</v>
      </c>
      <c r="L912">
        <v>52408292024</v>
      </c>
      <c r="P912">
        <v>185</v>
      </c>
      <c r="Q912" t="s">
        <v>2073</v>
      </c>
    </row>
    <row r="913" spans="1:17" x14ac:dyDescent="0.3">
      <c r="A913" t="s">
        <v>17</v>
      </c>
      <c r="B913" t="str">
        <f>"601216"</f>
        <v>601216</v>
      </c>
      <c r="C913" t="s">
        <v>2074</v>
      </c>
      <c r="D913" t="s">
        <v>175</v>
      </c>
      <c r="F913">
        <v>10965087057</v>
      </c>
      <c r="G913">
        <v>9148821901</v>
      </c>
      <c r="H913">
        <v>4228206443</v>
      </c>
      <c r="I913">
        <v>4575398734</v>
      </c>
      <c r="J913">
        <v>3089928409</v>
      </c>
      <c r="K913">
        <v>2616622649</v>
      </c>
      <c r="L913">
        <v>3365717984</v>
      </c>
      <c r="M913">
        <v>2128517525</v>
      </c>
      <c r="N913">
        <v>1018669825</v>
      </c>
      <c r="O913">
        <v>1375870564</v>
      </c>
      <c r="P913">
        <v>958</v>
      </c>
      <c r="Q913" t="s">
        <v>2075</v>
      </c>
    </row>
    <row r="914" spans="1:17" x14ac:dyDescent="0.3">
      <c r="A914" t="s">
        <v>17</v>
      </c>
      <c r="B914" t="str">
        <f>"601218"</f>
        <v>601218</v>
      </c>
      <c r="C914" t="s">
        <v>2076</v>
      </c>
      <c r="D914" t="s">
        <v>950</v>
      </c>
      <c r="F914">
        <v>1372200515</v>
      </c>
      <c r="G914">
        <v>1432505706</v>
      </c>
      <c r="H914">
        <v>926181252</v>
      </c>
      <c r="I914">
        <v>936353629</v>
      </c>
      <c r="J914">
        <v>634779000</v>
      </c>
      <c r="K914">
        <v>888654799</v>
      </c>
      <c r="L914">
        <v>1107335291</v>
      </c>
      <c r="M914">
        <v>1308508856</v>
      </c>
      <c r="N914">
        <v>965976551</v>
      </c>
      <c r="O914">
        <v>1321150141</v>
      </c>
      <c r="P914">
        <v>146</v>
      </c>
      <c r="Q914" t="s">
        <v>2077</v>
      </c>
    </row>
    <row r="915" spans="1:17" x14ac:dyDescent="0.3">
      <c r="A915" t="s">
        <v>17</v>
      </c>
      <c r="B915" t="str">
        <f>"601222"</f>
        <v>601222</v>
      </c>
      <c r="C915" t="s">
        <v>2078</v>
      </c>
      <c r="D915" t="s">
        <v>86</v>
      </c>
      <c r="F915">
        <v>3285170393</v>
      </c>
      <c r="G915">
        <v>3190136328</v>
      </c>
      <c r="H915">
        <v>2468822980</v>
      </c>
      <c r="I915">
        <v>2353182387</v>
      </c>
      <c r="J915">
        <v>2120664821</v>
      </c>
      <c r="K915">
        <v>1808847382</v>
      </c>
      <c r="L915">
        <v>1245861685</v>
      </c>
      <c r="M915">
        <v>1244094426</v>
      </c>
      <c r="N915">
        <v>1208795923</v>
      </c>
      <c r="O915">
        <v>1189987573</v>
      </c>
      <c r="P915">
        <v>556</v>
      </c>
      <c r="Q915" t="s">
        <v>2079</v>
      </c>
    </row>
    <row r="916" spans="1:17" x14ac:dyDescent="0.3">
      <c r="A916" t="s">
        <v>17</v>
      </c>
      <c r="B916" t="str">
        <f>"601225"</f>
        <v>601225</v>
      </c>
      <c r="C916" t="s">
        <v>2080</v>
      </c>
      <c r="D916" t="s">
        <v>292</v>
      </c>
      <c r="F916">
        <v>143229282630</v>
      </c>
      <c r="G916">
        <v>68048522594</v>
      </c>
      <c r="H916">
        <v>51162031380</v>
      </c>
      <c r="I916">
        <v>39216319976</v>
      </c>
      <c r="J916">
        <v>32595069744</v>
      </c>
      <c r="K916">
        <v>16194293975</v>
      </c>
      <c r="L916">
        <v>13330663403</v>
      </c>
      <c r="M916">
        <v>21883680281</v>
      </c>
      <c r="N916">
        <v>24419422239</v>
      </c>
      <c r="P916">
        <v>2634</v>
      </c>
      <c r="Q916" t="s">
        <v>2081</v>
      </c>
    </row>
    <row r="917" spans="1:17" x14ac:dyDescent="0.3">
      <c r="A917" t="s">
        <v>17</v>
      </c>
      <c r="B917" t="str">
        <f>"601226"</f>
        <v>601226</v>
      </c>
      <c r="C917" t="s">
        <v>2082</v>
      </c>
      <c r="D917" t="s">
        <v>1986</v>
      </c>
      <c r="F917">
        <v>5812719621</v>
      </c>
      <c r="G917">
        <v>5035371829</v>
      </c>
      <c r="H917">
        <v>4141319240</v>
      </c>
      <c r="I917">
        <v>3979073177</v>
      </c>
      <c r="J917">
        <v>3033296719</v>
      </c>
      <c r="K917">
        <v>2456144537</v>
      </c>
      <c r="L917">
        <v>1948034232</v>
      </c>
      <c r="M917">
        <v>2262570605</v>
      </c>
      <c r="N917">
        <v>2437444922</v>
      </c>
      <c r="P917">
        <v>114</v>
      </c>
      <c r="Q917" t="s">
        <v>2083</v>
      </c>
    </row>
    <row r="918" spans="1:17" x14ac:dyDescent="0.3">
      <c r="A918" t="s">
        <v>17</v>
      </c>
      <c r="B918" t="str">
        <f>"601228"</f>
        <v>601228</v>
      </c>
      <c r="C918" t="s">
        <v>2084</v>
      </c>
      <c r="D918" t="s">
        <v>51</v>
      </c>
      <c r="F918">
        <v>10265514645</v>
      </c>
      <c r="G918">
        <v>8942817434</v>
      </c>
      <c r="H918">
        <v>7879220232</v>
      </c>
      <c r="I918">
        <v>6791518308</v>
      </c>
      <c r="J918">
        <v>6157157022</v>
      </c>
      <c r="K918">
        <v>5649596870</v>
      </c>
      <c r="P918">
        <v>189</v>
      </c>
      <c r="Q918" t="s">
        <v>2085</v>
      </c>
    </row>
    <row r="919" spans="1:17" x14ac:dyDescent="0.3">
      <c r="A919" t="s">
        <v>17</v>
      </c>
      <c r="B919" t="str">
        <f>"601229"</f>
        <v>601229</v>
      </c>
      <c r="C919" t="s">
        <v>2086</v>
      </c>
      <c r="D919" t="s">
        <v>1838</v>
      </c>
      <c r="P919">
        <v>1546</v>
      </c>
      <c r="Q919" t="s">
        <v>2087</v>
      </c>
    </row>
    <row r="920" spans="1:17" x14ac:dyDescent="0.3">
      <c r="A920" t="s">
        <v>17</v>
      </c>
      <c r="B920" t="str">
        <f>"601231"</f>
        <v>601231</v>
      </c>
      <c r="C920" t="s">
        <v>2088</v>
      </c>
      <c r="D920" t="s">
        <v>313</v>
      </c>
      <c r="F920">
        <v>37513615056</v>
      </c>
      <c r="G920">
        <v>27981173916</v>
      </c>
      <c r="H920">
        <v>25997139248</v>
      </c>
      <c r="I920">
        <v>21060126785</v>
      </c>
      <c r="J920">
        <v>19981936846</v>
      </c>
      <c r="K920">
        <v>15755859247</v>
      </c>
      <c r="L920">
        <v>14390084443</v>
      </c>
      <c r="M920">
        <v>11174361626</v>
      </c>
      <c r="N920">
        <v>10981932627</v>
      </c>
      <c r="O920">
        <v>8993012728</v>
      </c>
      <c r="P920">
        <v>735</v>
      </c>
      <c r="Q920" t="s">
        <v>2089</v>
      </c>
    </row>
    <row r="921" spans="1:17" x14ac:dyDescent="0.3">
      <c r="A921" t="s">
        <v>17</v>
      </c>
      <c r="B921" t="str">
        <f>"601233"</f>
        <v>601233</v>
      </c>
      <c r="C921" t="s">
        <v>2090</v>
      </c>
      <c r="D921" t="s">
        <v>1615</v>
      </c>
      <c r="F921">
        <v>55681850116</v>
      </c>
      <c r="G921">
        <v>36016877411</v>
      </c>
      <c r="H921">
        <v>41461532723</v>
      </c>
      <c r="I921">
        <v>31935514055</v>
      </c>
      <c r="J921">
        <v>27702711006</v>
      </c>
      <c r="K921">
        <v>20127711328</v>
      </c>
      <c r="L921">
        <v>19657842346</v>
      </c>
      <c r="M921">
        <v>23362916590</v>
      </c>
      <c r="N921">
        <v>18135701262</v>
      </c>
      <c r="O921">
        <v>16337329727</v>
      </c>
      <c r="P921">
        <v>807</v>
      </c>
      <c r="Q921" t="s">
        <v>2091</v>
      </c>
    </row>
    <row r="922" spans="1:17" x14ac:dyDescent="0.3">
      <c r="A922" t="s">
        <v>17</v>
      </c>
      <c r="B922" t="str">
        <f>"601236"</f>
        <v>601236</v>
      </c>
      <c r="C922" t="s">
        <v>2092</v>
      </c>
      <c r="D922" t="s">
        <v>80</v>
      </c>
      <c r="P922">
        <v>879</v>
      </c>
      <c r="Q922" t="s">
        <v>2093</v>
      </c>
    </row>
    <row r="923" spans="1:17" x14ac:dyDescent="0.3">
      <c r="A923" t="s">
        <v>17</v>
      </c>
      <c r="B923" t="str">
        <f>"601238"</f>
        <v>601238</v>
      </c>
      <c r="C923" t="s">
        <v>2094</v>
      </c>
      <c r="D923" t="s">
        <v>247</v>
      </c>
      <c r="F923">
        <v>61974910515</v>
      </c>
      <c r="G923">
        <v>47790794684</v>
      </c>
      <c r="H923">
        <v>50991786456</v>
      </c>
      <c r="I923">
        <v>59921396322</v>
      </c>
      <c r="J923">
        <v>58967946708</v>
      </c>
      <c r="K923">
        <v>40638109386</v>
      </c>
      <c r="L923">
        <v>22680478809</v>
      </c>
      <c r="M923">
        <v>18455420866</v>
      </c>
      <c r="N923">
        <v>15014877348</v>
      </c>
      <c r="O923">
        <v>10008630275</v>
      </c>
      <c r="P923">
        <v>1300</v>
      </c>
      <c r="Q923" t="s">
        <v>2095</v>
      </c>
    </row>
    <row r="924" spans="1:17" x14ac:dyDescent="0.3">
      <c r="A924" t="s">
        <v>17</v>
      </c>
      <c r="B924" t="str">
        <f>"601258"</f>
        <v>601258</v>
      </c>
      <c r="C924" t="s">
        <v>2096</v>
      </c>
      <c r="D924" t="s">
        <v>672</v>
      </c>
      <c r="F924">
        <v>24056996938</v>
      </c>
      <c r="G924">
        <v>22684028232</v>
      </c>
      <c r="H924">
        <v>19595585718</v>
      </c>
      <c r="I924">
        <v>44407777152</v>
      </c>
      <c r="J924">
        <v>64642732177</v>
      </c>
      <c r="K924">
        <v>55530076456</v>
      </c>
      <c r="L924">
        <v>50377783228</v>
      </c>
      <c r="M924">
        <v>58152898978</v>
      </c>
      <c r="N924">
        <v>58077589933</v>
      </c>
      <c r="O924">
        <v>51408546191</v>
      </c>
      <c r="P924">
        <v>133</v>
      </c>
      <c r="Q924" t="s">
        <v>2097</v>
      </c>
    </row>
    <row r="925" spans="1:17" x14ac:dyDescent="0.3">
      <c r="A925" t="s">
        <v>17</v>
      </c>
      <c r="B925" t="str">
        <f>"601268"</f>
        <v>601268</v>
      </c>
      <c r="C925" t="s">
        <v>2098</v>
      </c>
      <c r="K925">
        <v>1542023164.5699999</v>
      </c>
      <c r="L925">
        <v>1078206233.6300001</v>
      </c>
      <c r="M925">
        <v>2994079038.2199998</v>
      </c>
      <c r="N925">
        <v>3217903785.5999999</v>
      </c>
      <c r="O925">
        <v>3321244652.2600002</v>
      </c>
      <c r="P925">
        <v>2</v>
      </c>
      <c r="Q925" t="s">
        <v>2099</v>
      </c>
    </row>
    <row r="926" spans="1:17" x14ac:dyDescent="0.3">
      <c r="A926" t="s">
        <v>17</v>
      </c>
      <c r="B926" t="str">
        <f>"601279"</f>
        <v>601279</v>
      </c>
      <c r="C926" t="s">
        <v>2100</v>
      </c>
      <c r="D926" t="s">
        <v>985</v>
      </c>
      <c r="F926">
        <v>3394534854</v>
      </c>
      <c r="G926">
        <v>3441702317</v>
      </c>
      <c r="P926">
        <v>43</v>
      </c>
      <c r="Q926" t="s">
        <v>2101</v>
      </c>
    </row>
    <row r="927" spans="1:17" x14ac:dyDescent="0.3">
      <c r="A927" t="s">
        <v>17</v>
      </c>
      <c r="B927" t="str">
        <f>"601288"</f>
        <v>601288</v>
      </c>
      <c r="C927" t="s">
        <v>2102</v>
      </c>
      <c r="D927" t="s">
        <v>2103</v>
      </c>
      <c r="P927">
        <v>9498</v>
      </c>
      <c r="Q927" t="s">
        <v>2104</v>
      </c>
    </row>
    <row r="928" spans="1:17" x14ac:dyDescent="0.3">
      <c r="A928" t="s">
        <v>17</v>
      </c>
      <c r="B928" t="str">
        <f>"601298"</f>
        <v>601298</v>
      </c>
      <c r="C928" t="s">
        <v>2105</v>
      </c>
      <c r="D928" t="s">
        <v>51</v>
      </c>
      <c r="F928">
        <v>12029580896</v>
      </c>
      <c r="G928">
        <v>9313000398</v>
      </c>
      <c r="H928">
        <v>8450794478</v>
      </c>
      <c r="I928">
        <v>0</v>
      </c>
      <c r="J928">
        <v>0</v>
      </c>
      <c r="P928">
        <v>431</v>
      </c>
      <c r="Q928" t="s">
        <v>2106</v>
      </c>
    </row>
    <row r="929" spans="1:17" x14ac:dyDescent="0.3">
      <c r="A929" t="s">
        <v>17</v>
      </c>
      <c r="B929" t="str">
        <f>"601299"</f>
        <v>601299</v>
      </c>
      <c r="C929" t="s">
        <v>2107</v>
      </c>
      <c r="M929">
        <v>56572685000</v>
      </c>
      <c r="N929">
        <v>48313410000</v>
      </c>
      <c r="O929">
        <v>50342821000</v>
      </c>
      <c r="P929">
        <v>12</v>
      </c>
      <c r="Q929" t="s">
        <v>2108</v>
      </c>
    </row>
    <row r="930" spans="1:17" x14ac:dyDescent="0.3">
      <c r="A930" t="s">
        <v>17</v>
      </c>
      <c r="B930" t="str">
        <f>"601311"</f>
        <v>601311</v>
      </c>
      <c r="C930" t="s">
        <v>2109</v>
      </c>
      <c r="D930" t="s">
        <v>555</v>
      </c>
      <c r="F930">
        <v>9376414702</v>
      </c>
      <c r="G930">
        <v>6594738785</v>
      </c>
      <c r="H930">
        <v>6778920198</v>
      </c>
      <c r="I930">
        <v>6123398030</v>
      </c>
      <c r="J930">
        <v>4321067716</v>
      </c>
      <c r="K930">
        <v>4020464162</v>
      </c>
      <c r="L930">
        <v>3739735775</v>
      </c>
      <c r="M930">
        <v>3591253572</v>
      </c>
      <c r="N930">
        <v>3146188001</v>
      </c>
      <c r="O930">
        <v>2906089177</v>
      </c>
      <c r="P930">
        <v>339</v>
      </c>
      <c r="Q930" t="s">
        <v>2110</v>
      </c>
    </row>
    <row r="931" spans="1:17" x14ac:dyDescent="0.3">
      <c r="A931" t="s">
        <v>17</v>
      </c>
      <c r="B931" t="str">
        <f>"601313"</f>
        <v>601313</v>
      </c>
      <c r="C931" t="s">
        <v>2111</v>
      </c>
      <c r="I931">
        <v>11226569000</v>
      </c>
      <c r="J931">
        <v>1938040581</v>
      </c>
      <c r="K931">
        <v>1841250473.2</v>
      </c>
      <c r="L931">
        <v>1995102794.0899999</v>
      </c>
      <c r="M931">
        <v>2139394608.6199999</v>
      </c>
      <c r="N931">
        <v>1956231744.8900001</v>
      </c>
      <c r="O931">
        <v>1590607089.8299999</v>
      </c>
      <c r="P931">
        <v>53</v>
      </c>
      <c r="Q931" t="s">
        <v>2112</v>
      </c>
    </row>
    <row r="932" spans="1:17" x14ac:dyDescent="0.3">
      <c r="A932" t="s">
        <v>17</v>
      </c>
      <c r="B932" t="str">
        <f>"601318"</f>
        <v>601318</v>
      </c>
      <c r="C932" t="s">
        <v>2113</v>
      </c>
      <c r="D932" t="s">
        <v>660</v>
      </c>
      <c r="P932">
        <v>27845</v>
      </c>
      <c r="Q932" t="s">
        <v>2114</v>
      </c>
    </row>
    <row r="933" spans="1:17" x14ac:dyDescent="0.3">
      <c r="A933" t="s">
        <v>17</v>
      </c>
      <c r="B933" t="str">
        <f>"601319"</f>
        <v>601319</v>
      </c>
      <c r="C933" t="s">
        <v>2115</v>
      </c>
      <c r="D933" t="s">
        <v>660</v>
      </c>
      <c r="P933">
        <v>901</v>
      </c>
      <c r="Q933" t="s">
        <v>2116</v>
      </c>
    </row>
    <row r="934" spans="1:17" x14ac:dyDescent="0.3">
      <c r="A934" t="s">
        <v>17</v>
      </c>
      <c r="B934" t="str">
        <f>"601326"</f>
        <v>601326</v>
      </c>
      <c r="C934" t="s">
        <v>2117</v>
      </c>
      <c r="D934" t="s">
        <v>51</v>
      </c>
      <c r="F934">
        <v>4997702401</v>
      </c>
      <c r="G934">
        <v>5087186835</v>
      </c>
      <c r="H934">
        <v>5415417994</v>
      </c>
      <c r="I934">
        <v>5811552879</v>
      </c>
      <c r="J934">
        <v>5642416462</v>
      </c>
      <c r="K934">
        <v>3572256157</v>
      </c>
      <c r="P934">
        <v>127</v>
      </c>
      <c r="Q934" t="s">
        <v>2118</v>
      </c>
    </row>
    <row r="935" spans="1:17" x14ac:dyDescent="0.3">
      <c r="A935" t="s">
        <v>17</v>
      </c>
      <c r="B935" t="str">
        <f>"601328"</f>
        <v>601328</v>
      </c>
      <c r="C935" t="s">
        <v>2119</v>
      </c>
      <c r="D935" t="s">
        <v>2103</v>
      </c>
      <c r="P935">
        <v>4577</v>
      </c>
      <c r="Q935" t="s">
        <v>2120</v>
      </c>
    </row>
    <row r="936" spans="1:17" x14ac:dyDescent="0.3">
      <c r="A936" t="s">
        <v>17</v>
      </c>
      <c r="B936" t="str">
        <f>"601330"</f>
        <v>601330</v>
      </c>
      <c r="C936" t="s">
        <v>2121</v>
      </c>
      <c r="D936" t="s">
        <v>499</v>
      </c>
      <c r="F936">
        <v>1874332220</v>
      </c>
      <c r="G936">
        <v>1494544526</v>
      </c>
      <c r="H936">
        <v>1113954663</v>
      </c>
      <c r="I936">
        <v>658294792</v>
      </c>
      <c r="J936">
        <v>700565729</v>
      </c>
      <c r="P936">
        <v>234</v>
      </c>
      <c r="Q936" t="s">
        <v>2122</v>
      </c>
    </row>
    <row r="937" spans="1:17" x14ac:dyDescent="0.3">
      <c r="A937" t="s">
        <v>17</v>
      </c>
      <c r="B937" t="str">
        <f>"601333"</f>
        <v>601333</v>
      </c>
      <c r="C937" t="s">
        <v>2123</v>
      </c>
      <c r="D937" t="s">
        <v>301</v>
      </c>
      <c r="F937">
        <v>11854204007</v>
      </c>
      <c r="G937">
        <v>8893639316</v>
      </c>
      <c r="H937">
        <v>12193102194</v>
      </c>
      <c r="I937">
        <v>11383647055</v>
      </c>
      <c r="J937">
        <v>11267536929</v>
      </c>
      <c r="K937">
        <v>9898054893</v>
      </c>
      <c r="L937">
        <v>9609612254</v>
      </c>
      <c r="M937">
        <v>9037771970</v>
      </c>
      <c r="N937">
        <v>9177318851</v>
      </c>
      <c r="O937">
        <v>8631515934</v>
      </c>
      <c r="P937">
        <v>318</v>
      </c>
      <c r="Q937" t="s">
        <v>2124</v>
      </c>
    </row>
    <row r="938" spans="1:17" x14ac:dyDescent="0.3">
      <c r="A938" t="s">
        <v>17</v>
      </c>
      <c r="B938" t="str">
        <f>"601336"</f>
        <v>601336</v>
      </c>
      <c r="C938" t="s">
        <v>2125</v>
      </c>
      <c r="D938" t="s">
        <v>660</v>
      </c>
      <c r="P938">
        <v>1856</v>
      </c>
      <c r="Q938" t="s">
        <v>2126</v>
      </c>
    </row>
    <row r="939" spans="1:17" x14ac:dyDescent="0.3">
      <c r="A939" t="s">
        <v>17</v>
      </c>
      <c r="B939" t="str">
        <f>"601339"</f>
        <v>601339</v>
      </c>
      <c r="C939" t="s">
        <v>2127</v>
      </c>
      <c r="D939" t="s">
        <v>1009</v>
      </c>
      <c r="F939">
        <v>5875240394</v>
      </c>
      <c r="G939">
        <v>4386184425</v>
      </c>
      <c r="H939">
        <v>4742165650</v>
      </c>
      <c r="I939">
        <v>4687556243</v>
      </c>
      <c r="J939">
        <v>4827968273</v>
      </c>
      <c r="K939">
        <v>4306780231</v>
      </c>
      <c r="L939">
        <v>3883086498</v>
      </c>
      <c r="M939">
        <v>3667802498</v>
      </c>
      <c r="N939">
        <v>3235824474</v>
      </c>
      <c r="O939">
        <v>3653833574</v>
      </c>
      <c r="P939">
        <v>207</v>
      </c>
      <c r="Q939" t="s">
        <v>2128</v>
      </c>
    </row>
    <row r="940" spans="1:17" x14ac:dyDescent="0.3">
      <c r="A940" t="s">
        <v>17</v>
      </c>
      <c r="B940" t="str">
        <f>"601360"</f>
        <v>601360</v>
      </c>
      <c r="C940" t="s">
        <v>2129</v>
      </c>
      <c r="D940" t="s">
        <v>1189</v>
      </c>
      <c r="F940">
        <v>8920937000</v>
      </c>
      <c r="G940">
        <v>9853926000</v>
      </c>
      <c r="H940">
        <v>10952058000</v>
      </c>
      <c r="I940">
        <v>11226569000</v>
      </c>
      <c r="J940">
        <v>1938040581</v>
      </c>
      <c r="K940">
        <v>1841250473</v>
      </c>
      <c r="L940">
        <v>1995102794</v>
      </c>
      <c r="M940">
        <v>2139394609</v>
      </c>
      <c r="N940">
        <v>1956231745</v>
      </c>
      <c r="O940">
        <v>1590607090</v>
      </c>
      <c r="P940">
        <v>1010</v>
      </c>
      <c r="Q940" t="s">
        <v>2130</v>
      </c>
    </row>
    <row r="941" spans="1:17" x14ac:dyDescent="0.3">
      <c r="A941" t="s">
        <v>17</v>
      </c>
      <c r="B941" t="str">
        <f>"601366"</f>
        <v>601366</v>
      </c>
      <c r="C941" t="s">
        <v>2131</v>
      </c>
      <c r="D941" t="s">
        <v>1404</v>
      </c>
      <c r="F941">
        <v>7048149156</v>
      </c>
      <c r="G941">
        <v>9220282153</v>
      </c>
      <c r="H941">
        <v>10624117486</v>
      </c>
      <c r="I941">
        <v>9704689557</v>
      </c>
      <c r="J941">
        <v>9001507057</v>
      </c>
      <c r="K941">
        <v>8793245509</v>
      </c>
      <c r="P941">
        <v>132</v>
      </c>
      <c r="Q941" t="s">
        <v>2132</v>
      </c>
    </row>
    <row r="942" spans="1:17" x14ac:dyDescent="0.3">
      <c r="A942" t="s">
        <v>17</v>
      </c>
      <c r="B942" t="str">
        <f>"601368"</f>
        <v>601368</v>
      </c>
      <c r="C942" t="s">
        <v>2133</v>
      </c>
      <c r="D942" t="s">
        <v>33</v>
      </c>
      <c r="F942">
        <v>1212523681</v>
      </c>
      <c r="G942">
        <v>1178864309</v>
      </c>
      <c r="H942">
        <v>1182116107</v>
      </c>
      <c r="I942">
        <v>1053919405</v>
      </c>
      <c r="J942">
        <v>1017326909</v>
      </c>
      <c r="K942">
        <v>967952573</v>
      </c>
      <c r="L942">
        <v>879630262</v>
      </c>
      <c r="M942">
        <v>716845205</v>
      </c>
      <c r="P942">
        <v>109</v>
      </c>
      <c r="Q942" t="s">
        <v>2134</v>
      </c>
    </row>
    <row r="943" spans="1:17" x14ac:dyDescent="0.3">
      <c r="A943" t="s">
        <v>17</v>
      </c>
      <c r="B943" t="str">
        <f>"601369"</f>
        <v>601369</v>
      </c>
      <c r="C943" t="s">
        <v>2135</v>
      </c>
      <c r="D943" t="s">
        <v>560</v>
      </c>
      <c r="F943">
        <v>6631241214</v>
      </c>
      <c r="G943">
        <v>4306933880</v>
      </c>
      <c r="H943">
        <v>3615200393</v>
      </c>
      <c r="I943">
        <v>2716402931</v>
      </c>
      <c r="J943">
        <v>2564325265</v>
      </c>
      <c r="K943">
        <v>2092796041</v>
      </c>
      <c r="L943">
        <v>2547045542</v>
      </c>
      <c r="M943">
        <v>3329621534</v>
      </c>
      <c r="N943">
        <v>3909760663</v>
      </c>
      <c r="O943">
        <v>5203000000</v>
      </c>
      <c r="P943">
        <v>217</v>
      </c>
      <c r="Q943" t="s">
        <v>2136</v>
      </c>
    </row>
    <row r="944" spans="1:17" x14ac:dyDescent="0.3">
      <c r="A944" t="s">
        <v>17</v>
      </c>
      <c r="B944" t="str">
        <f>"601375"</f>
        <v>601375</v>
      </c>
      <c r="C944" t="s">
        <v>2137</v>
      </c>
      <c r="D944" t="s">
        <v>80</v>
      </c>
      <c r="P944">
        <v>690</v>
      </c>
      <c r="Q944" t="s">
        <v>2138</v>
      </c>
    </row>
    <row r="945" spans="1:17" x14ac:dyDescent="0.3">
      <c r="A945" t="s">
        <v>17</v>
      </c>
      <c r="B945" t="str">
        <f>"601377"</f>
        <v>601377</v>
      </c>
      <c r="C945" t="s">
        <v>2139</v>
      </c>
      <c r="D945" t="s">
        <v>80</v>
      </c>
      <c r="P945">
        <v>1731</v>
      </c>
      <c r="Q945" t="s">
        <v>2140</v>
      </c>
    </row>
    <row r="946" spans="1:17" x14ac:dyDescent="0.3">
      <c r="A946" t="s">
        <v>17</v>
      </c>
      <c r="B946" t="str">
        <f>"601388"</f>
        <v>601388</v>
      </c>
      <c r="C946" t="s">
        <v>2141</v>
      </c>
      <c r="D946" t="s">
        <v>504</v>
      </c>
      <c r="F946">
        <v>5963601770</v>
      </c>
      <c r="G946">
        <v>4131757696</v>
      </c>
      <c r="H946">
        <v>4315474731</v>
      </c>
      <c r="I946">
        <v>4940122383</v>
      </c>
      <c r="J946">
        <v>4087768975</v>
      </c>
      <c r="K946">
        <v>2859903072</v>
      </c>
      <c r="L946">
        <v>2951893188</v>
      </c>
      <c r="M946">
        <v>3614340478</v>
      </c>
      <c r="N946">
        <v>3706658577</v>
      </c>
      <c r="O946">
        <v>4299119527</v>
      </c>
      <c r="P946">
        <v>206</v>
      </c>
      <c r="Q946" t="s">
        <v>2142</v>
      </c>
    </row>
    <row r="947" spans="1:17" x14ac:dyDescent="0.3">
      <c r="A947" t="s">
        <v>17</v>
      </c>
      <c r="B947" t="str">
        <f>"601390"</f>
        <v>601390</v>
      </c>
      <c r="C947" t="s">
        <v>2143</v>
      </c>
      <c r="D947" t="s">
        <v>101</v>
      </c>
      <c r="F947">
        <v>828515117000</v>
      </c>
      <c r="G947">
        <v>745640790000</v>
      </c>
      <c r="H947">
        <v>617841257000</v>
      </c>
      <c r="I947">
        <v>558145851000</v>
      </c>
      <c r="J947">
        <v>468742587000</v>
      </c>
      <c r="K947">
        <v>444337193000</v>
      </c>
      <c r="L947">
        <v>421708818000</v>
      </c>
      <c r="M947">
        <v>428708203000</v>
      </c>
      <c r="N947">
        <v>366660814000</v>
      </c>
      <c r="O947">
        <v>328317203000</v>
      </c>
      <c r="P947">
        <v>1323</v>
      </c>
      <c r="Q947" t="s">
        <v>2144</v>
      </c>
    </row>
    <row r="948" spans="1:17" x14ac:dyDescent="0.3">
      <c r="A948" t="s">
        <v>17</v>
      </c>
      <c r="B948" t="str">
        <f>"601398"</f>
        <v>601398</v>
      </c>
      <c r="C948" t="s">
        <v>2145</v>
      </c>
      <c r="D948" t="s">
        <v>2103</v>
      </c>
      <c r="P948">
        <v>20387</v>
      </c>
      <c r="Q948" t="s">
        <v>2146</v>
      </c>
    </row>
    <row r="949" spans="1:17" x14ac:dyDescent="0.3">
      <c r="A949" t="s">
        <v>17</v>
      </c>
      <c r="B949" t="str">
        <f>"601399"</f>
        <v>601399</v>
      </c>
      <c r="C949" t="s">
        <v>2147</v>
      </c>
      <c r="D949" t="s">
        <v>395</v>
      </c>
      <c r="F949">
        <v>5687098803</v>
      </c>
      <c r="G949">
        <v>4362925999</v>
      </c>
      <c r="H949">
        <v>5701828798</v>
      </c>
      <c r="N949">
        <v>3217903786</v>
      </c>
      <c r="O949">
        <v>3321244652</v>
      </c>
      <c r="P949">
        <v>53</v>
      </c>
      <c r="Q949" t="s">
        <v>2148</v>
      </c>
    </row>
    <row r="950" spans="1:17" x14ac:dyDescent="0.3">
      <c r="A950" t="s">
        <v>17</v>
      </c>
      <c r="B950" t="str">
        <f>"601456"</f>
        <v>601456</v>
      </c>
      <c r="C950" t="s">
        <v>2149</v>
      </c>
      <c r="D950" t="s">
        <v>80</v>
      </c>
      <c r="P950">
        <v>310</v>
      </c>
      <c r="Q950" t="s">
        <v>2150</v>
      </c>
    </row>
    <row r="951" spans="1:17" x14ac:dyDescent="0.3">
      <c r="A951" t="s">
        <v>17</v>
      </c>
      <c r="B951" t="str">
        <f>"601500"</f>
        <v>601500</v>
      </c>
      <c r="C951" t="s">
        <v>2151</v>
      </c>
      <c r="D951" t="s">
        <v>422</v>
      </c>
      <c r="F951">
        <v>2904552247</v>
      </c>
      <c r="G951">
        <v>2287955540</v>
      </c>
      <c r="H951">
        <v>2614632728</v>
      </c>
      <c r="I951">
        <v>2879323452</v>
      </c>
      <c r="J951">
        <v>2807382609</v>
      </c>
      <c r="K951">
        <v>2498305463</v>
      </c>
      <c r="L951">
        <v>2399178144</v>
      </c>
      <c r="P951">
        <v>85</v>
      </c>
      <c r="Q951" t="s">
        <v>2152</v>
      </c>
    </row>
    <row r="952" spans="1:17" x14ac:dyDescent="0.3">
      <c r="A952" t="s">
        <v>17</v>
      </c>
      <c r="B952" t="str">
        <f>"601512"</f>
        <v>601512</v>
      </c>
      <c r="C952" t="s">
        <v>2153</v>
      </c>
      <c r="D952" t="s">
        <v>194</v>
      </c>
      <c r="F952">
        <v>3461133128</v>
      </c>
      <c r="G952">
        <v>2609010011</v>
      </c>
      <c r="H952">
        <v>3206413577</v>
      </c>
      <c r="I952">
        <v>3217021042</v>
      </c>
      <c r="P952">
        <v>103</v>
      </c>
      <c r="Q952" t="s">
        <v>2154</v>
      </c>
    </row>
    <row r="953" spans="1:17" x14ac:dyDescent="0.3">
      <c r="A953" t="s">
        <v>17</v>
      </c>
      <c r="B953" t="str">
        <f>"601515"</f>
        <v>601515</v>
      </c>
      <c r="C953" t="s">
        <v>2155</v>
      </c>
      <c r="D953" t="s">
        <v>2156</v>
      </c>
      <c r="F953">
        <v>2659611753</v>
      </c>
      <c r="G953">
        <v>2602413657</v>
      </c>
      <c r="H953">
        <v>2463664622</v>
      </c>
      <c r="I953">
        <v>2288665373</v>
      </c>
      <c r="J953">
        <v>2549979148</v>
      </c>
      <c r="K953">
        <v>1672233321</v>
      </c>
      <c r="L953">
        <v>1650799687</v>
      </c>
      <c r="M953">
        <v>1693179483</v>
      </c>
      <c r="N953">
        <v>1325382773</v>
      </c>
      <c r="O953">
        <v>1497733163</v>
      </c>
      <c r="P953">
        <v>28151</v>
      </c>
      <c r="Q953" t="s">
        <v>2157</v>
      </c>
    </row>
    <row r="954" spans="1:17" x14ac:dyDescent="0.3">
      <c r="A954" t="s">
        <v>17</v>
      </c>
      <c r="B954" t="str">
        <f>"601518"</f>
        <v>601518</v>
      </c>
      <c r="C954" t="s">
        <v>2158</v>
      </c>
      <c r="D954" t="s">
        <v>44</v>
      </c>
      <c r="F954">
        <v>958401244</v>
      </c>
      <c r="G954">
        <v>406363672</v>
      </c>
      <c r="H954">
        <v>553698829</v>
      </c>
      <c r="I954">
        <v>641559670</v>
      </c>
      <c r="J954">
        <v>729937960</v>
      </c>
      <c r="K954">
        <v>466763363</v>
      </c>
      <c r="L954">
        <v>369436029</v>
      </c>
      <c r="M954">
        <v>392586597</v>
      </c>
      <c r="N954">
        <v>599404249</v>
      </c>
      <c r="O954">
        <v>593683762</v>
      </c>
      <c r="P954">
        <v>111</v>
      </c>
      <c r="Q954" t="s">
        <v>2159</v>
      </c>
    </row>
    <row r="955" spans="1:17" x14ac:dyDescent="0.3">
      <c r="A955" t="s">
        <v>17</v>
      </c>
      <c r="B955" t="str">
        <f>"601519"</f>
        <v>601519</v>
      </c>
      <c r="C955" t="s">
        <v>2160</v>
      </c>
      <c r="D955" t="s">
        <v>945</v>
      </c>
      <c r="F955">
        <v>570699809</v>
      </c>
      <c r="G955">
        <v>557391723</v>
      </c>
      <c r="H955">
        <v>453181855</v>
      </c>
      <c r="I955">
        <v>411730029</v>
      </c>
      <c r="J955">
        <v>492511322</v>
      </c>
      <c r="K955">
        <v>580041788</v>
      </c>
      <c r="L955">
        <v>402566761</v>
      </c>
      <c r="M955">
        <v>660776001</v>
      </c>
      <c r="N955">
        <v>649507157</v>
      </c>
      <c r="O955">
        <v>332670553</v>
      </c>
      <c r="P955">
        <v>209</v>
      </c>
      <c r="Q955" t="s">
        <v>2161</v>
      </c>
    </row>
    <row r="956" spans="1:17" x14ac:dyDescent="0.3">
      <c r="A956" t="s">
        <v>17</v>
      </c>
      <c r="B956" t="str">
        <f>"601528"</f>
        <v>601528</v>
      </c>
      <c r="C956" t="s">
        <v>2162</v>
      </c>
      <c r="D956" t="s">
        <v>1827</v>
      </c>
      <c r="P956">
        <v>49</v>
      </c>
      <c r="Q956" t="s">
        <v>2163</v>
      </c>
    </row>
    <row r="957" spans="1:17" x14ac:dyDescent="0.3">
      <c r="A957" t="s">
        <v>17</v>
      </c>
      <c r="B957" t="str">
        <f>"601555"</f>
        <v>601555</v>
      </c>
      <c r="C957" t="s">
        <v>2164</v>
      </c>
      <c r="D957" t="s">
        <v>80</v>
      </c>
      <c r="P957">
        <v>937</v>
      </c>
      <c r="Q957" t="s">
        <v>2165</v>
      </c>
    </row>
    <row r="958" spans="1:17" x14ac:dyDescent="0.3">
      <c r="A958" t="s">
        <v>17</v>
      </c>
      <c r="B958" t="str">
        <f>"601558"</f>
        <v>601558</v>
      </c>
      <c r="C958" t="s">
        <v>2166</v>
      </c>
      <c r="H958">
        <v>440082462</v>
      </c>
      <c r="I958">
        <v>737554802</v>
      </c>
      <c r="J958">
        <v>726369853</v>
      </c>
      <c r="K958">
        <v>875979777</v>
      </c>
      <c r="L958">
        <v>1499178452</v>
      </c>
      <c r="M958">
        <v>1663157198</v>
      </c>
      <c r="N958">
        <v>2816629652</v>
      </c>
      <c r="O958">
        <v>4406680620</v>
      </c>
      <c r="P958">
        <v>47</v>
      </c>
      <c r="Q958" t="s">
        <v>2167</v>
      </c>
    </row>
    <row r="959" spans="1:17" x14ac:dyDescent="0.3">
      <c r="A959" t="s">
        <v>17</v>
      </c>
      <c r="B959" t="str">
        <f>"601566"</f>
        <v>601566</v>
      </c>
      <c r="C959" t="s">
        <v>2168</v>
      </c>
      <c r="D959" t="s">
        <v>255</v>
      </c>
      <c r="F959">
        <v>2335542704</v>
      </c>
      <c r="G959">
        <v>2006107665</v>
      </c>
      <c r="H959">
        <v>2210541157</v>
      </c>
      <c r="I959">
        <v>2195146576</v>
      </c>
      <c r="J959">
        <v>2028142940</v>
      </c>
      <c r="K959">
        <v>1811871936</v>
      </c>
      <c r="L959">
        <v>1879220759</v>
      </c>
      <c r="M959">
        <v>1727797339</v>
      </c>
      <c r="N959">
        <v>2002814770</v>
      </c>
      <c r="O959">
        <v>1983338686</v>
      </c>
      <c r="P959">
        <v>426</v>
      </c>
      <c r="Q959" t="s">
        <v>2169</v>
      </c>
    </row>
    <row r="960" spans="1:17" x14ac:dyDescent="0.3">
      <c r="A960" t="s">
        <v>17</v>
      </c>
      <c r="B960" t="str">
        <f>"601567"</f>
        <v>601567</v>
      </c>
      <c r="C960" t="s">
        <v>2170</v>
      </c>
      <c r="D960" t="s">
        <v>2171</v>
      </c>
      <c r="F960">
        <v>4050106199</v>
      </c>
      <c r="G960">
        <v>4211038544</v>
      </c>
      <c r="H960">
        <v>3713132534</v>
      </c>
      <c r="I960">
        <v>3848008065</v>
      </c>
      <c r="J960">
        <v>3768256983</v>
      </c>
      <c r="K960">
        <v>3241622934</v>
      </c>
      <c r="L960">
        <v>2491155915</v>
      </c>
      <c r="M960">
        <v>1688781451</v>
      </c>
      <c r="N960">
        <v>1522505480</v>
      </c>
      <c r="O960">
        <v>1760610263</v>
      </c>
      <c r="P960">
        <v>325</v>
      </c>
      <c r="Q960" t="s">
        <v>2172</v>
      </c>
    </row>
    <row r="961" spans="1:17" x14ac:dyDescent="0.3">
      <c r="A961" t="s">
        <v>17</v>
      </c>
      <c r="B961" t="str">
        <f>"601568"</f>
        <v>601568</v>
      </c>
      <c r="C961" t="s">
        <v>2173</v>
      </c>
      <c r="D961" t="s">
        <v>175</v>
      </c>
      <c r="F961">
        <v>8103786742</v>
      </c>
      <c r="G961">
        <v>5834423792</v>
      </c>
      <c r="H961">
        <v>5843183939</v>
      </c>
      <c r="P961">
        <v>121</v>
      </c>
      <c r="Q961" t="s">
        <v>2174</v>
      </c>
    </row>
    <row r="962" spans="1:17" x14ac:dyDescent="0.3">
      <c r="A962" t="s">
        <v>17</v>
      </c>
      <c r="B962" t="str">
        <f>"601577"</f>
        <v>601577</v>
      </c>
      <c r="C962" t="s">
        <v>2175</v>
      </c>
      <c r="D962" t="s">
        <v>1838</v>
      </c>
      <c r="P962">
        <v>927</v>
      </c>
      <c r="Q962" t="s">
        <v>2176</v>
      </c>
    </row>
    <row r="963" spans="1:17" x14ac:dyDescent="0.3">
      <c r="A963" t="s">
        <v>17</v>
      </c>
      <c r="B963" t="str">
        <f>"601579"</f>
        <v>601579</v>
      </c>
      <c r="C963" t="s">
        <v>2177</v>
      </c>
      <c r="D963" t="s">
        <v>134</v>
      </c>
      <c r="F963">
        <v>866779145</v>
      </c>
      <c r="G963">
        <v>654655201</v>
      </c>
      <c r="H963">
        <v>813728689</v>
      </c>
      <c r="I963">
        <v>740601548</v>
      </c>
      <c r="J963">
        <v>774241113</v>
      </c>
      <c r="K963">
        <v>692902623</v>
      </c>
      <c r="L963">
        <v>529747076</v>
      </c>
      <c r="M963">
        <v>513023771</v>
      </c>
      <c r="N963">
        <v>605169295</v>
      </c>
      <c r="P963">
        <v>186</v>
      </c>
      <c r="Q963" t="s">
        <v>2178</v>
      </c>
    </row>
    <row r="964" spans="1:17" x14ac:dyDescent="0.3">
      <c r="A964" t="s">
        <v>17</v>
      </c>
      <c r="B964" t="str">
        <f>"601588"</f>
        <v>601588</v>
      </c>
      <c r="C964" t="s">
        <v>2179</v>
      </c>
      <c r="D964" t="s">
        <v>104</v>
      </c>
      <c r="F964">
        <v>13147129100</v>
      </c>
      <c r="G964">
        <v>8386079490</v>
      </c>
      <c r="H964">
        <v>14831236517</v>
      </c>
      <c r="I964">
        <v>20529541745</v>
      </c>
      <c r="J964">
        <v>14779217971</v>
      </c>
      <c r="K964">
        <v>17796988956</v>
      </c>
      <c r="L964">
        <v>5586542713</v>
      </c>
      <c r="M964">
        <v>4098861449</v>
      </c>
      <c r="N964">
        <v>4880085247</v>
      </c>
      <c r="O964">
        <v>4099042360</v>
      </c>
      <c r="P964">
        <v>536</v>
      </c>
      <c r="Q964" t="s">
        <v>2180</v>
      </c>
    </row>
    <row r="965" spans="1:17" x14ac:dyDescent="0.3">
      <c r="A965" t="s">
        <v>17</v>
      </c>
      <c r="B965" t="str">
        <f>"601595"</f>
        <v>601595</v>
      </c>
      <c r="C965" t="s">
        <v>2181</v>
      </c>
      <c r="D965" t="s">
        <v>113</v>
      </c>
      <c r="F965">
        <v>1512646388</v>
      </c>
      <c r="G965">
        <v>353415814</v>
      </c>
      <c r="H965">
        <v>2007652704</v>
      </c>
      <c r="I965">
        <v>2005927824</v>
      </c>
      <c r="J965">
        <v>1921574613</v>
      </c>
      <c r="K965">
        <v>1639994749</v>
      </c>
      <c r="L965">
        <v>1329812570</v>
      </c>
      <c r="P965">
        <v>158</v>
      </c>
      <c r="Q965" t="s">
        <v>2182</v>
      </c>
    </row>
    <row r="966" spans="1:17" x14ac:dyDescent="0.3">
      <c r="A966" t="s">
        <v>17</v>
      </c>
      <c r="B966" t="str">
        <f>"601598"</f>
        <v>601598</v>
      </c>
      <c r="C966" t="s">
        <v>2183</v>
      </c>
      <c r="D966" t="s">
        <v>287</v>
      </c>
      <c r="F966">
        <v>95424237907</v>
      </c>
      <c r="G966">
        <v>62199526484</v>
      </c>
      <c r="H966">
        <v>57793259800</v>
      </c>
      <c r="I966">
        <v>55027971227</v>
      </c>
      <c r="J966">
        <v>55531749996</v>
      </c>
      <c r="P966">
        <v>316</v>
      </c>
      <c r="Q966" t="s">
        <v>2184</v>
      </c>
    </row>
    <row r="967" spans="1:17" x14ac:dyDescent="0.3">
      <c r="A967" t="s">
        <v>17</v>
      </c>
      <c r="B967" t="str">
        <f>"601599"</f>
        <v>601599</v>
      </c>
      <c r="C967" t="s">
        <v>2185</v>
      </c>
      <c r="D967" t="s">
        <v>366</v>
      </c>
      <c r="F967">
        <v>1967573055</v>
      </c>
      <c r="G967">
        <v>2029528241</v>
      </c>
      <c r="H967">
        <v>2707368076</v>
      </c>
      <c r="I967">
        <v>3949056493</v>
      </c>
      <c r="J967">
        <v>2728092156</v>
      </c>
      <c r="K967">
        <v>2184230364</v>
      </c>
      <c r="L967">
        <v>1845453417</v>
      </c>
      <c r="M967">
        <v>1774945115</v>
      </c>
      <c r="N967">
        <v>1505446001</v>
      </c>
      <c r="O967">
        <v>1251965010</v>
      </c>
      <c r="P967">
        <v>60</v>
      </c>
      <c r="Q967" t="s">
        <v>2186</v>
      </c>
    </row>
    <row r="968" spans="1:17" x14ac:dyDescent="0.3">
      <c r="A968" t="s">
        <v>17</v>
      </c>
      <c r="B968" t="str">
        <f>"601600"</f>
        <v>601600</v>
      </c>
      <c r="C968" t="s">
        <v>2187</v>
      </c>
      <c r="D968" t="s">
        <v>504</v>
      </c>
      <c r="F968">
        <v>178608102000</v>
      </c>
      <c r="G968">
        <v>124107525000</v>
      </c>
      <c r="H968">
        <v>134229525000</v>
      </c>
      <c r="I968">
        <v>112401561000</v>
      </c>
      <c r="J968">
        <v>126113381000</v>
      </c>
      <c r="K968">
        <v>80350650000</v>
      </c>
      <c r="L968">
        <v>103486571000</v>
      </c>
      <c r="M968">
        <v>122018470000</v>
      </c>
      <c r="N968">
        <v>140458269000</v>
      </c>
      <c r="O968">
        <v>134859613000</v>
      </c>
      <c r="P968">
        <v>744</v>
      </c>
      <c r="Q968" t="s">
        <v>2188</v>
      </c>
    </row>
    <row r="969" spans="1:17" x14ac:dyDescent="0.3">
      <c r="A969" t="s">
        <v>17</v>
      </c>
      <c r="B969" t="str">
        <f>"601601"</f>
        <v>601601</v>
      </c>
      <c r="C969" t="s">
        <v>2189</v>
      </c>
      <c r="D969" t="s">
        <v>660</v>
      </c>
      <c r="P969">
        <v>2648</v>
      </c>
      <c r="Q969" t="s">
        <v>2190</v>
      </c>
    </row>
    <row r="970" spans="1:17" x14ac:dyDescent="0.3">
      <c r="A970" t="s">
        <v>17</v>
      </c>
      <c r="B970" t="str">
        <f>"601606"</f>
        <v>601606</v>
      </c>
      <c r="C970" t="s">
        <v>2191</v>
      </c>
      <c r="D970" t="s">
        <v>428</v>
      </c>
      <c r="F970">
        <v>887262603</v>
      </c>
      <c r="G970">
        <v>673307034</v>
      </c>
      <c r="H970">
        <v>920647202</v>
      </c>
      <c r="I970">
        <v>722817395</v>
      </c>
      <c r="J970">
        <v>808137506</v>
      </c>
      <c r="P970">
        <v>180</v>
      </c>
      <c r="Q970" t="s">
        <v>2192</v>
      </c>
    </row>
    <row r="971" spans="1:17" x14ac:dyDescent="0.3">
      <c r="A971" t="s">
        <v>17</v>
      </c>
      <c r="B971" t="str">
        <f>"601607"</f>
        <v>601607</v>
      </c>
      <c r="C971" t="s">
        <v>1714</v>
      </c>
      <c r="D971" t="s">
        <v>125</v>
      </c>
      <c r="F971">
        <v>175432061156</v>
      </c>
      <c r="G971">
        <v>155081229269</v>
      </c>
      <c r="H971">
        <v>151271632307</v>
      </c>
      <c r="I971">
        <v>131934642877</v>
      </c>
      <c r="J971">
        <v>109515829212</v>
      </c>
      <c r="K971">
        <v>98881493919</v>
      </c>
      <c r="L971">
        <v>85992658962</v>
      </c>
      <c r="M971">
        <v>72033534410</v>
      </c>
      <c r="N971">
        <v>63871331373</v>
      </c>
      <c r="O971">
        <v>53999730760</v>
      </c>
      <c r="P971">
        <v>1369</v>
      </c>
      <c r="Q971" t="s">
        <v>2193</v>
      </c>
    </row>
    <row r="972" spans="1:17" x14ac:dyDescent="0.3">
      <c r="A972" t="s">
        <v>17</v>
      </c>
      <c r="B972" t="str">
        <f>"601608"</f>
        <v>601608</v>
      </c>
      <c r="C972" t="s">
        <v>2194</v>
      </c>
      <c r="D972" t="s">
        <v>395</v>
      </c>
      <c r="F972">
        <v>6160996064</v>
      </c>
      <c r="G972">
        <v>4786027558</v>
      </c>
      <c r="H972">
        <v>4221718203</v>
      </c>
      <c r="I972">
        <v>4324310309</v>
      </c>
      <c r="J972">
        <v>4130158610</v>
      </c>
      <c r="K972">
        <v>2492247569</v>
      </c>
      <c r="L972">
        <v>2851801965</v>
      </c>
      <c r="M972">
        <v>3944578562</v>
      </c>
      <c r="N972">
        <v>3956309069</v>
      </c>
      <c r="O972">
        <v>5459407454</v>
      </c>
      <c r="P972">
        <v>178</v>
      </c>
      <c r="Q972" t="s">
        <v>2195</v>
      </c>
    </row>
    <row r="973" spans="1:17" x14ac:dyDescent="0.3">
      <c r="A973" t="s">
        <v>17</v>
      </c>
      <c r="B973" t="str">
        <f>"601609"</f>
        <v>601609</v>
      </c>
      <c r="C973" t="s">
        <v>2196</v>
      </c>
      <c r="D973" t="s">
        <v>263</v>
      </c>
      <c r="F973">
        <v>62194539237</v>
      </c>
      <c r="G973">
        <v>33814437091</v>
      </c>
      <c r="H973">
        <v>32647736889</v>
      </c>
      <c r="P973">
        <v>106</v>
      </c>
      <c r="Q973" t="s">
        <v>2197</v>
      </c>
    </row>
    <row r="974" spans="1:17" x14ac:dyDescent="0.3">
      <c r="A974" t="s">
        <v>17</v>
      </c>
      <c r="B974" t="str">
        <f>"601611"</f>
        <v>601611</v>
      </c>
      <c r="C974" t="s">
        <v>2198</v>
      </c>
      <c r="D974" t="s">
        <v>101</v>
      </c>
      <c r="F974">
        <v>52850063837</v>
      </c>
      <c r="G974">
        <v>45335988931</v>
      </c>
      <c r="H974">
        <v>34846476073</v>
      </c>
      <c r="I974">
        <v>27828808345</v>
      </c>
      <c r="J974">
        <v>23450095363</v>
      </c>
      <c r="K974">
        <v>21318477168</v>
      </c>
      <c r="L974">
        <v>20992308933</v>
      </c>
      <c r="P974">
        <v>345</v>
      </c>
      <c r="Q974" t="s">
        <v>2199</v>
      </c>
    </row>
    <row r="975" spans="1:17" x14ac:dyDescent="0.3">
      <c r="A975" t="s">
        <v>17</v>
      </c>
      <c r="B975" t="str">
        <f>"601615"</f>
        <v>601615</v>
      </c>
      <c r="C975" t="s">
        <v>2200</v>
      </c>
      <c r="D975" t="s">
        <v>895</v>
      </c>
      <c r="F975">
        <v>17191679317</v>
      </c>
      <c r="G975">
        <v>19499798392</v>
      </c>
      <c r="H975">
        <v>6814335470</v>
      </c>
      <c r="I975">
        <v>4239733236</v>
      </c>
      <c r="J975">
        <v>3726014242</v>
      </c>
      <c r="P975">
        <v>1068</v>
      </c>
      <c r="Q975" t="s">
        <v>2201</v>
      </c>
    </row>
    <row r="976" spans="1:17" x14ac:dyDescent="0.3">
      <c r="A976" t="s">
        <v>17</v>
      </c>
      <c r="B976" t="str">
        <f>"601616"</f>
        <v>601616</v>
      </c>
      <c r="C976" t="s">
        <v>2202</v>
      </c>
      <c r="D976" t="s">
        <v>657</v>
      </c>
      <c r="F976">
        <v>851563877</v>
      </c>
      <c r="G976">
        <v>989660207</v>
      </c>
      <c r="H976">
        <v>545656366</v>
      </c>
      <c r="I976">
        <v>571437390</v>
      </c>
      <c r="J976">
        <v>622909246</v>
      </c>
      <c r="K976">
        <v>717409027</v>
      </c>
      <c r="L976">
        <v>778428705</v>
      </c>
      <c r="M976">
        <v>612381102</v>
      </c>
      <c r="N976">
        <v>720266744</v>
      </c>
      <c r="O976">
        <v>672108999</v>
      </c>
      <c r="P976">
        <v>72</v>
      </c>
      <c r="Q976" t="s">
        <v>2203</v>
      </c>
    </row>
    <row r="977" spans="1:17" x14ac:dyDescent="0.3">
      <c r="A977" t="s">
        <v>17</v>
      </c>
      <c r="B977" t="str">
        <f>"601618"</f>
        <v>601618</v>
      </c>
      <c r="C977" t="s">
        <v>2204</v>
      </c>
      <c r="D977" t="s">
        <v>1986</v>
      </c>
      <c r="F977">
        <v>329376612000</v>
      </c>
      <c r="G977">
        <v>262476451000</v>
      </c>
      <c r="H977">
        <v>211511953000</v>
      </c>
      <c r="I977">
        <v>180035056000</v>
      </c>
      <c r="J977">
        <v>148316539000</v>
      </c>
      <c r="K977">
        <v>138542481000</v>
      </c>
      <c r="L977">
        <v>124137206000</v>
      </c>
      <c r="M977">
        <v>138451454000</v>
      </c>
      <c r="N977">
        <v>131939339000</v>
      </c>
      <c r="O977">
        <v>141534277000</v>
      </c>
      <c r="P977">
        <v>584</v>
      </c>
      <c r="Q977" t="s">
        <v>2205</v>
      </c>
    </row>
    <row r="978" spans="1:17" x14ac:dyDescent="0.3">
      <c r="A978" t="s">
        <v>17</v>
      </c>
      <c r="B978" t="str">
        <f>"601619"</f>
        <v>601619</v>
      </c>
      <c r="C978" t="s">
        <v>2206</v>
      </c>
      <c r="D978" t="s">
        <v>383</v>
      </c>
      <c r="F978">
        <v>484025022</v>
      </c>
      <c r="G978">
        <v>531207202</v>
      </c>
      <c r="H978">
        <v>478046687</v>
      </c>
      <c r="I978">
        <v>575893727</v>
      </c>
      <c r="J978">
        <v>209942482</v>
      </c>
      <c r="K978">
        <v>303045319</v>
      </c>
      <c r="P978">
        <v>184</v>
      </c>
      <c r="Q978" t="s">
        <v>2207</v>
      </c>
    </row>
    <row r="979" spans="1:17" x14ac:dyDescent="0.3">
      <c r="A979" t="s">
        <v>17</v>
      </c>
      <c r="B979" t="str">
        <f>"601628"</f>
        <v>601628</v>
      </c>
      <c r="C979" t="s">
        <v>2208</v>
      </c>
      <c r="D979" t="s">
        <v>660</v>
      </c>
      <c r="P979">
        <v>1729</v>
      </c>
      <c r="Q979" t="s">
        <v>2209</v>
      </c>
    </row>
    <row r="980" spans="1:17" x14ac:dyDescent="0.3">
      <c r="A980" t="s">
        <v>17</v>
      </c>
      <c r="B980" t="str">
        <f>"601633"</f>
        <v>601633</v>
      </c>
      <c r="C980" t="s">
        <v>2210</v>
      </c>
      <c r="D980" t="s">
        <v>247</v>
      </c>
      <c r="F980">
        <v>112483232323</v>
      </c>
      <c r="G980">
        <v>77750009113</v>
      </c>
      <c r="H980">
        <v>88341701350</v>
      </c>
      <c r="I980">
        <v>99040652490</v>
      </c>
      <c r="J980">
        <v>89106171451</v>
      </c>
      <c r="K980">
        <v>71424297327</v>
      </c>
      <c r="L980">
        <v>63574422314</v>
      </c>
      <c r="M980">
        <v>50463193147</v>
      </c>
      <c r="N980">
        <v>43828364917</v>
      </c>
      <c r="O980">
        <v>29689644069</v>
      </c>
      <c r="P980">
        <v>2066</v>
      </c>
      <c r="Q980" t="s">
        <v>2211</v>
      </c>
    </row>
    <row r="981" spans="1:17" x14ac:dyDescent="0.3">
      <c r="A981" t="s">
        <v>17</v>
      </c>
      <c r="B981" t="str">
        <f>"601636"</f>
        <v>601636</v>
      </c>
      <c r="C981" t="s">
        <v>2212</v>
      </c>
      <c r="D981" t="s">
        <v>666</v>
      </c>
      <c r="F981">
        <v>8977032982</v>
      </c>
      <c r="G981">
        <v>5194589633</v>
      </c>
      <c r="H981">
        <v>4426356997</v>
      </c>
      <c r="I981">
        <v>4346449852</v>
      </c>
      <c r="J981">
        <v>4218585100</v>
      </c>
      <c r="K981">
        <v>3622728755</v>
      </c>
      <c r="L981">
        <v>2600368792</v>
      </c>
      <c r="M981">
        <v>2296505429</v>
      </c>
      <c r="N981">
        <v>2367495450</v>
      </c>
      <c r="O981">
        <v>1448682996</v>
      </c>
      <c r="P981">
        <v>1517</v>
      </c>
      <c r="Q981" t="s">
        <v>2213</v>
      </c>
    </row>
    <row r="982" spans="1:17" x14ac:dyDescent="0.3">
      <c r="A982" t="s">
        <v>17</v>
      </c>
      <c r="B982" t="str">
        <f>"601658"</f>
        <v>601658</v>
      </c>
      <c r="C982" t="s">
        <v>2214</v>
      </c>
      <c r="D982" t="s">
        <v>2103</v>
      </c>
      <c r="P982">
        <v>1193</v>
      </c>
      <c r="Q982" t="s">
        <v>2215</v>
      </c>
    </row>
    <row r="983" spans="1:17" x14ac:dyDescent="0.3">
      <c r="A983" t="s">
        <v>17</v>
      </c>
      <c r="B983" t="str">
        <f>"601665"</f>
        <v>601665</v>
      </c>
      <c r="C983" t="s">
        <v>2216</v>
      </c>
      <c r="D983" t="s">
        <v>1838</v>
      </c>
      <c r="P983">
        <v>52</v>
      </c>
      <c r="Q983" t="s">
        <v>2217</v>
      </c>
    </row>
    <row r="984" spans="1:17" x14ac:dyDescent="0.3">
      <c r="A984" t="s">
        <v>17</v>
      </c>
      <c r="B984" t="str">
        <f>"601666"</f>
        <v>601666</v>
      </c>
      <c r="C984" t="s">
        <v>2218</v>
      </c>
      <c r="D984" t="s">
        <v>298</v>
      </c>
      <c r="F984">
        <v>21965254991</v>
      </c>
      <c r="G984">
        <v>17055415112</v>
      </c>
      <c r="H984">
        <v>14019453490</v>
      </c>
      <c r="I984">
        <v>13653833306</v>
      </c>
      <c r="J984">
        <v>15996782111</v>
      </c>
      <c r="K984">
        <v>8689829488</v>
      </c>
      <c r="L984">
        <v>5695965545</v>
      </c>
      <c r="M984">
        <v>7837282285</v>
      </c>
      <c r="N984">
        <v>6987107359</v>
      </c>
      <c r="O984">
        <v>12841879845</v>
      </c>
      <c r="P984">
        <v>401</v>
      </c>
      <c r="Q984" t="s">
        <v>2219</v>
      </c>
    </row>
    <row r="985" spans="1:17" x14ac:dyDescent="0.3">
      <c r="A985" t="s">
        <v>17</v>
      </c>
      <c r="B985" t="str">
        <f>"601668"</f>
        <v>601668</v>
      </c>
      <c r="C985" t="s">
        <v>2220</v>
      </c>
      <c r="D985" t="s">
        <v>398</v>
      </c>
      <c r="F985">
        <v>1478268673000</v>
      </c>
      <c r="G985">
        <v>1219644889000</v>
      </c>
      <c r="H985">
        <v>1098481470000</v>
      </c>
      <c r="I985">
        <v>842794968000</v>
      </c>
      <c r="J985">
        <v>745502890000</v>
      </c>
      <c r="K985">
        <v>657209069000</v>
      </c>
      <c r="L985">
        <v>562656575000</v>
      </c>
      <c r="M985">
        <v>532709605000</v>
      </c>
      <c r="N985">
        <v>464518965000</v>
      </c>
      <c r="O985">
        <v>388574251000</v>
      </c>
      <c r="P985">
        <v>10290</v>
      </c>
      <c r="Q985" t="s">
        <v>2221</v>
      </c>
    </row>
    <row r="986" spans="1:17" x14ac:dyDescent="0.3">
      <c r="A986" t="s">
        <v>17</v>
      </c>
      <c r="B986" t="str">
        <f>"601669"</f>
        <v>601669</v>
      </c>
      <c r="C986" t="s">
        <v>2222</v>
      </c>
      <c r="D986" t="s">
        <v>101</v>
      </c>
      <c r="F986">
        <v>284846807109</v>
      </c>
      <c r="G986">
        <v>264148438790</v>
      </c>
      <c r="H986">
        <v>232504125996</v>
      </c>
      <c r="I986">
        <v>176514526869</v>
      </c>
      <c r="J986">
        <v>161812335303</v>
      </c>
      <c r="K986">
        <v>144991619586</v>
      </c>
      <c r="L986">
        <v>123688441501</v>
      </c>
      <c r="M986">
        <v>103071262054</v>
      </c>
      <c r="N986">
        <v>91091986187</v>
      </c>
      <c r="O986">
        <v>75522093379</v>
      </c>
      <c r="P986">
        <v>752</v>
      </c>
      <c r="Q986" t="s">
        <v>2223</v>
      </c>
    </row>
    <row r="987" spans="1:17" x14ac:dyDescent="0.3">
      <c r="A987" t="s">
        <v>17</v>
      </c>
      <c r="B987" t="str">
        <f>"601677"</f>
        <v>601677</v>
      </c>
      <c r="C987" t="s">
        <v>2224</v>
      </c>
      <c r="D987" t="s">
        <v>504</v>
      </c>
      <c r="F987">
        <v>13872289296</v>
      </c>
      <c r="G987">
        <v>7157237779</v>
      </c>
      <c r="H987">
        <v>6865048920</v>
      </c>
      <c r="I987">
        <v>6109496875</v>
      </c>
      <c r="J987">
        <v>4867900899</v>
      </c>
      <c r="K987">
        <v>3473751581</v>
      </c>
      <c r="L987">
        <v>3512418190</v>
      </c>
      <c r="M987">
        <v>2759593385</v>
      </c>
      <c r="N987">
        <v>4481301930</v>
      </c>
      <c r="O987">
        <v>4400210728</v>
      </c>
      <c r="P987">
        <v>370</v>
      </c>
      <c r="Q987" t="s">
        <v>2225</v>
      </c>
    </row>
    <row r="988" spans="1:17" x14ac:dyDescent="0.3">
      <c r="A988" t="s">
        <v>17</v>
      </c>
      <c r="B988" t="str">
        <f>"601678"</f>
        <v>601678</v>
      </c>
      <c r="C988" t="s">
        <v>2226</v>
      </c>
      <c r="D988" t="s">
        <v>175</v>
      </c>
      <c r="F988">
        <v>5633523789</v>
      </c>
      <c r="G988">
        <v>3715941406</v>
      </c>
      <c r="H988">
        <v>3871280479</v>
      </c>
      <c r="I988">
        <v>4301016643</v>
      </c>
      <c r="J988">
        <v>3985632443</v>
      </c>
      <c r="K988">
        <v>3153146855</v>
      </c>
      <c r="L988">
        <v>3031010723</v>
      </c>
      <c r="M988">
        <v>3418999593</v>
      </c>
      <c r="N988">
        <v>2346336476</v>
      </c>
      <c r="O988">
        <v>3071469878</v>
      </c>
      <c r="P988">
        <v>353</v>
      </c>
      <c r="Q988" t="s">
        <v>2227</v>
      </c>
    </row>
    <row r="989" spans="1:17" x14ac:dyDescent="0.3">
      <c r="A989" t="s">
        <v>17</v>
      </c>
      <c r="B989" t="str">
        <f>"601686"</f>
        <v>601686</v>
      </c>
      <c r="C989" t="s">
        <v>2228</v>
      </c>
      <c r="D989" t="s">
        <v>2229</v>
      </c>
      <c r="F989">
        <v>55351906553</v>
      </c>
      <c r="G989">
        <v>0</v>
      </c>
      <c r="H989">
        <v>0</v>
      </c>
      <c r="P989">
        <v>57</v>
      </c>
      <c r="Q989" t="s">
        <v>2230</v>
      </c>
    </row>
    <row r="990" spans="1:17" x14ac:dyDescent="0.3">
      <c r="A990" t="s">
        <v>17</v>
      </c>
      <c r="B990" t="str">
        <f>"601688"</f>
        <v>601688</v>
      </c>
      <c r="C990" t="s">
        <v>2231</v>
      </c>
      <c r="D990" t="s">
        <v>80</v>
      </c>
      <c r="P990">
        <v>6874</v>
      </c>
      <c r="Q990" t="s">
        <v>2232</v>
      </c>
    </row>
    <row r="991" spans="1:17" x14ac:dyDescent="0.3">
      <c r="A991" t="s">
        <v>17</v>
      </c>
      <c r="B991" t="str">
        <f>"601689"</f>
        <v>601689</v>
      </c>
      <c r="C991" t="s">
        <v>2233</v>
      </c>
      <c r="D991" t="s">
        <v>348</v>
      </c>
      <c r="F991">
        <v>8196914760</v>
      </c>
      <c r="G991">
        <v>4524594432</v>
      </c>
      <c r="H991">
        <v>4364736130</v>
      </c>
      <c r="I991">
        <v>4396333883</v>
      </c>
      <c r="J991">
        <v>2697923622</v>
      </c>
      <c r="K991">
        <v>2093480969</v>
      </c>
      <c r="L991">
        <v>1591488292</v>
      </c>
      <c r="M991">
        <v>1605194419</v>
      </c>
      <c r="P991">
        <v>664</v>
      </c>
      <c r="Q991" t="s">
        <v>2234</v>
      </c>
    </row>
    <row r="992" spans="1:17" x14ac:dyDescent="0.3">
      <c r="A992" t="s">
        <v>17</v>
      </c>
      <c r="B992" t="str">
        <f>"601696"</f>
        <v>601696</v>
      </c>
      <c r="C992" t="s">
        <v>2235</v>
      </c>
      <c r="D992" t="s">
        <v>80</v>
      </c>
      <c r="P992">
        <v>516</v>
      </c>
      <c r="Q992" t="s">
        <v>2236</v>
      </c>
    </row>
    <row r="993" spans="1:17" x14ac:dyDescent="0.3">
      <c r="A993" t="s">
        <v>17</v>
      </c>
      <c r="B993" t="str">
        <f>"601698"</f>
        <v>601698</v>
      </c>
      <c r="C993" t="s">
        <v>2237</v>
      </c>
      <c r="D993" t="s">
        <v>284</v>
      </c>
      <c r="F993">
        <v>1441296993</v>
      </c>
      <c r="G993">
        <v>1598341579</v>
      </c>
      <c r="H993">
        <v>1653437132</v>
      </c>
      <c r="I993">
        <v>1825295222</v>
      </c>
      <c r="P993">
        <v>316</v>
      </c>
      <c r="Q993" t="s">
        <v>2238</v>
      </c>
    </row>
    <row r="994" spans="1:17" x14ac:dyDescent="0.3">
      <c r="A994" t="s">
        <v>17</v>
      </c>
      <c r="B994" t="str">
        <f>"601699"</f>
        <v>601699</v>
      </c>
      <c r="C994" t="s">
        <v>2239</v>
      </c>
      <c r="D994" t="s">
        <v>298</v>
      </c>
      <c r="F994">
        <v>22772472700</v>
      </c>
      <c r="G994">
        <v>16935842629</v>
      </c>
      <c r="H994">
        <v>20042589130</v>
      </c>
      <c r="I994">
        <v>17278470902</v>
      </c>
      <c r="J994">
        <v>17616927904</v>
      </c>
      <c r="K994">
        <v>8222791322</v>
      </c>
      <c r="L994">
        <v>8090018089</v>
      </c>
      <c r="M994">
        <v>11506297836</v>
      </c>
      <c r="N994">
        <v>14497924326</v>
      </c>
      <c r="O994">
        <v>16690643711</v>
      </c>
      <c r="P994">
        <v>791</v>
      </c>
      <c r="Q994" t="s">
        <v>2240</v>
      </c>
    </row>
    <row r="995" spans="1:17" x14ac:dyDescent="0.3">
      <c r="A995" t="s">
        <v>17</v>
      </c>
      <c r="B995" t="str">
        <f>"601700"</f>
        <v>601700</v>
      </c>
      <c r="C995" t="s">
        <v>2241</v>
      </c>
      <c r="D995" t="s">
        <v>1164</v>
      </c>
      <c r="F995">
        <v>1953985485</v>
      </c>
      <c r="G995">
        <v>1538220028</v>
      </c>
      <c r="H995">
        <v>1999640375</v>
      </c>
      <c r="I995">
        <v>2075078524</v>
      </c>
      <c r="J995">
        <v>1896419894</v>
      </c>
      <c r="K995">
        <v>2448454994</v>
      </c>
      <c r="L995">
        <v>1726502349</v>
      </c>
      <c r="M995">
        <v>1720314281</v>
      </c>
      <c r="N995">
        <v>1273772348</v>
      </c>
      <c r="O995">
        <v>1403022738</v>
      </c>
      <c r="P995">
        <v>126</v>
      </c>
      <c r="Q995" t="s">
        <v>2242</v>
      </c>
    </row>
    <row r="996" spans="1:17" x14ac:dyDescent="0.3">
      <c r="A996" t="s">
        <v>17</v>
      </c>
      <c r="B996" t="str">
        <f>"601702"</f>
        <v>601702</v>
      </c>
      <c r="C996" t="s">
        <v>2243</v>
      </c>
      <c r="D996" t="s">
        <v>504</v>
      </c>
      <c r="F996">
        <v>3882952589</v>
      </c>
      <c r="G996">
        <v>2764272185</v>
      </c>
      <c r="H996">
        <v>2466416039</v>
      </c>
      <c r="P996">
        <v>116</v>
      </c>
      <c r="Q996" t="s">
        <v>2244</v>
      </c>
    </row>
    <row r="997" spans="1:17" x14ac:dyDescent="0.3">
      <c r="A997" t="s">
        <v>17</v>
      </c>
      <c r="B997" t="str">
        <f>"601717"</f>
        <v>601717</v>
      </c>
      <c r="C997" t="s">
        <v>2245</v>
      </c>
      <c r="D997" t="s">
        <v>395</v>
      </c>
      <c r="F997">
        <v>19791928196</v>
      </c>
      <c r="G997">
        <v>16280250980</v>
      </c>
      <c r="H997">
        <v>18357664378</v>
      </c>
      <c r="I997">
        <v>17668445130</v>
      </c>
      <c r="J997">
        <v>4745349116</v>
      </c>
      <c r="K997">
        <v>2476184062</v>
      </c>
      <c r="L997">
        <v>2266181735</v>
      </c>
      <c r="M997">
        <v>2238591839</v>
      </c>
      <c r="N997">
        <v>2744119826</v>
      </c>
      <c r="O997">
        <v>3121600814</v>
      </c>
      <c r="P997">
        <v>318</v>
      </c>
      <c r="Q997" t="s">
        <v>2246</v>
      </c>
    </row>
    <row r="998" spans="1:17" x14ac:dyDescent="0.3">
      <c r="A998" t="s">
        <v>17</v>
      </c>
      <c r="B998" t="str">
        <f>"601718"</f>
        <v>601718</v>
      </c>
      <c r="C998" t="s">
        <v>2247</v>
      </c>
      <c r="D998" t="s">
        <v>255</v>
      </c>
      <c r="F998">
        <v>12722459322</v>
      </c>
      <c r="G998">
        <v>9287006811</v>
      </c>
      <c r="H998">
        <v>15246618945</v>
      </c>
      <c r="I998">
        <v>17040636321</v>
      </c>
      <c r="J998">
        <v>18500162289</v>
      </c>
      <c r="K998">
        <v>17240840477</v>
      </c>
      <c r="L998">
        <v>13594098265</v>
      </c>
      <c r="M998">
        <v>13510533971</v>
      </c>
      <c r="N998">
        <v>20814760442</v>
      </c>
      <c r="O998">
        <v>17597709426</v>
      </c>
      <c r="P998">
        <v>180</v>
      </c>
      <c r="Q998" t="s">
        <v>2248</v>
      </c>
    </row>
    <row r="999" spans="1:17" x14ac:dyDescent="0.3">
      <c r="A999" t="s">
        <v>17</v>
      </c>
      <c r="B999" t="str">
        <f>"601727"</f>
        <v>601727</v>
      </c>
      <c r="C999" t="s">
        <v>2249</v>
      </c>
      <c r="D999" t="s">
        <v>973</v>
      </c>
      <c r="F999">
        <v>89164703000</v>
      </c>
      <c r="G999">
        <v>82136519000</v>
      </c>
      <c r="H999">
        <v>69500112000</v>
      </c>
      <c r="I999">
        <v>63564493000</v>
      </c>
      <c r="J999">
        <v>58675046000</v>
      </c>
      <c r="K999">
        <v>56801302000</v>
      </c>
      <c r="L999">
        <v>56519639000</v>
      </c>
      <c r="M999">
        <v>55483974000</v>
      </c>
      <c r="N999">
        <v>58567375000</v>
      </c>
      <c r="O999">
        <v>47097314000</v>
      </c>
      <c r="P999">
        <v>551</v>
      </c>
      <c r="Q999" t="s">
        <v>2250</v>
      </c>
    </row>
    <row r="1000" spans="1:17" x14ac:dyDescent="0.3">
      <c r="A1000" t="s">
        <v>17</v>
      </c>
      <c r="B1000" t="str">
        <f>"601728"</f>
        <v>601728</v>
      </c>
      <c r="C1000" t="s">
        <v>2251</v>
      </c>
      <c r="D1000" t="s">
        <v>107</v>
      </c>
      <c r="F1000">
        <v>335954547726</v>
      </c>
      <c r="G1000">
        <v>298965816119</v>
      </c>
      <c r="P1000">
        <v>144</v>
      </c>
      <c r="Q1000" t="s">
        <v>2252</v>
      </c>
    </row>
    <row r="1001" spans="1:17" x14ac:dyDescent="0.3">
      <c r="A1001" t="s">
        <v>17</v>
      </c>
      <c r="B1001" t="str">
        <f>"601766"</f>
        <v>601766</v>
      </c>
      <c r="C1001" t="s">
        <v>2253</v>
      </c>
      <c r="D1001" t="s">
        <v>1012</v>
      </c>
      <c r="F1001">
        <v>130069380000</v>
      </c>
      <c r="G1001">
        <v>141880951000</v>
      </c>
      <c r="H1001">
        <v>149834811000</v>
      </c>
      <c r="I1001">
        <v>159105052000</v>
      </c>
      <c r="J1001">
        <v>135770555000</v>
      </c>
      <c r="K1001">
        <v>151846695000</v>
      </c>
      <c r="L1001">
        <v>147333255000</v>
      </c>
      <c r="M1001">
        <v>95640220443</v>
      </c>
      <c r="N1001">
        <v>60684444000</v>
      </c>
      <c r="O1001">
        <v>51202419000</v>
      </c>
      <c r="P1001">
        <v>1205</v>
      </c>
      <c r="Q1001" t="s">
        <v>2254</v>
      </c>
    </row>
    <row r="1002" spans="1:17" x14ac:dyDescent="0.3">
      <c r="A1002" t="s">
        <v>17</v>
      </c>
      <c r="B1002" t="str">
        <f>"601777"</f>
        <v>601777</v>
      </c>
      <c r="C1002" t="s">
        <v>2255</v>
      </c>
      <c r="D1002" t="s">
        <v>1654</v>
      </c>
      <c r="F1002">
        <v>2447858253</v>
      </c>
      <c r="G1002">
        <v>2306990401</v>
      </c>
      <c r="H1002">
        <v>7750398529</v>
      </c>
      <c r="I1002">
        <v>8540808791</v>
      </c>
      <c r="J1002">
        <v>7782725221</v>
      </c>
      <c r="K1002">
        <v>7825771635</v>
      </c>
      <c r="L1002">
        <v>7034815646</v>
      </c>
      <c r="M1002">
        <v>6137126652</v>
      </c>
      <c r="N1002">
        <v>6038589733</v>
      </c>
      <c r="O1002">
        <v>5141375258</v>
      </c>
      <c r="P1002">
        <v>154</v>
      </c>
      <c r="Q1002" t="s">
        <v>2256</v>
      </c>
    </row>
    <row r="1003" spans="1:17" x14ac:dyDescent="0.3">
      <c r="A1003" t="s">
        <v>17</v>
      </c>
      <c r="B1003" t="str">
        <f>"601778"</f>
        <v>601778</v>
      </c>
      <c r="C1003" t="s">
        <v>2257</v>
      </c>
      <c r="D1003" t="s">
        <v>86</v>
      </c>
      <c r="F1003">
        <v>2149983122</v>
      </c>
      <c r="G1003">
        <v>3071352411</v>
      </c>
      <c r="H1003">
        <v>3603361620</v>
      </c>
      <c r="P1003">
        <v>221</v>
      </c>
      <c r="Q1003" t="s">
        <v>2258</v>
      </c>
    </row>
    <row r="1004" spans="1:17" x14ac:dyDescent="0.3">
      <c r="A1004" t="s">
        <v>17</v>
      </c>
      <c r="B1004" t="str">
        <f>"601788"</f>
        <v>601788</v>
      </c>
      <c r="C1004" t="s">
        <v>2259</v>
      </c>
      <c r="D1004" t="s">
        <v>80</v>
      </c>
      <c r="P1004">
        <v>1149</v>
      </c>
      <c r="Q1004" t="s">
        <v>2260</v>
      </c>
    </row>
    <row r="1005" spans="1:17" x14ac:dyDescent="0.3">
      <c r="A1005" t="s">
        <v>17</v>
      </c>
      <c r="B1005" t="str">
        <f>"601789"</f>
        <v>601789</v>
      </c>
      <c r="C1005" t="s">
        <v>2261</v>
      </c>
      <c r="D1005" t="s">
        <v>398</v>
      </c>
      <c r="F1005">
        <v>15341559205</v>
      </c>
      <c r="G1005">
        <v>12613008984</v>
      </c>
      <c r="H1005">
        <v>11595874431</v>
      </c>
      <c r="I1005">
        <v>9102515769</v>
      </c>
      <c r="J1005">
        <v>10950286558</v>
      </c>
      <c r="K1005">
        <v>9365807422</v>
      </c>
      <c r="L1005">
        <v>8790182629</v>
      </c>
      <c r="M1005">
        <v>8871644992</v>
      </c>
      <c r="N1005">
        <v>8610856852</v>
      </c>
      <c r="O1005">
        <v>6850266893</v>
      </c>
      <c r="P1005">
        <v>147</v>
      </c>
      <c r="Q1005" t="s">
        <v>2262</v>
      </c>
    </row>
    <row r="1006" spans="1:17" x14ac:dyDescent="0.3">
      <c r="A1006" t="s">
        <v>17</v>
      </c>
      <c r="B1006" t="str">
        <f>"601798"</f>
        <v>601798</v>
      </c>
      <c r="C1006" t="s">
        <v>2263</v>
      </c>
      <c r="D1006" t="s">
        <v>395</v>
      </c>
      <c r="F1006">
        <v>636624271</v>
      </c>
      <c r="G1006">
        <v>802955310</v>
      </c>
      <c r="H1006">
        <v>1036053708</v>
      </c>
      <c r="I1006">
        <v>660102225</v>
      </c>
      <c r="J1006">
        <v>473255747</v>
      </c>
      <c r="K1006">
        <v>415873946</v>
      </c>
      <c r="L1006">
        <v>444751898</v>
      </c>
      <c r="M1006">
        <v>561521533</v>
      </c>
      <c r="N1006">
        <v>568457238</v>
      </c>
      <c r="O1006">
        <v>520142100</v>
      </c>
      <c r="P1006">
        <v>77</v>
      </c>
      <c r="Q1006" t="s">
        <v>2264</v>
      </c>
    </row>
    <row r="1007" spans="1:17" x14ac:dyDescent="0.3">
      <c r="A1007" t="s">
        <v>17</v>
      </c>
      <c r="B1007" t="str">
        <f>"601799"</f>
        <v>601799</v>
      </c>
      <c r="C1007" t="s">
        <v>2265</v>
      </c>
      <c r="D1007" t="s">
        <v>1415</v>
      </c>
      <c r="F1007">
        <v>5871868596</v>
      </c>
      <c r="G1007">
        <v>5449339996</v>
      </c>
      <c r="H1007">
        <v>3856014094</v>
      </c>
      <c r="I1007">
        <v>4203298404</v>
      </c>
      <c r="J1007">
        <v>2891581614</v>
      </c>
      <c r="K1007">
        <v>1843901511</v>
      </c>
      <c r="L1007">
        <v>1465785031</v>
      </c>
      <c r="M1007">
        <v>1470910252</v>
      </c>
      <c r="N1007">
        <v>1126754361</v>
      </c>
      <c r="O1007">
        <v>741528086</v>
      </c>
      <c r="P1007">
        <v>1014</v>
      </c>
      <c r="Q1007" t="s">
        <v>2266</v>
      </c>
    </row>
    <row r="1008" spans="1:17" x14ac:dyDescent="0.3">
      <c r="A1008" t="s">
        <v>17</v>
      </c>
      <c r="B1008" t="str">
        <f>"601800"</f>
        <v>601800</v>
      </c>
      <c r="C1008" t="s">
        <v>2267</v>
      </c>
      <c r="D1008" t="s">
        <v>101</v>
      </c>
      <c r="F1008">
        <v>463505283956</v>
      </c>
      <c r="G1008">
        <v>356027531036</v>
      </c>
      <c r="H1008">
        <v>324216233540</v>
      </c>
      <c r="I1008">
        <v>301549204877</v>
      </c>
      <c r="J1008">
        <v>334493936529</v>
      </c>
      <c r="K1008">
        <v>307659902725</v>
      </c>
      <c r="L1008">
        <v>284256119536</v>
      </c>
      <c r="M1008">
        <v>262709875123</v>
      </c>
      <c r="N1008">
        <v>212339814765</v>
      </c>
      <c r="O1008">
        <v>210390505959</v>
      </c>
      <c r="P1008">
        <v>899</v>
      </c>
      <c r="Q1008" t="s">
        <v>2268</v>
      </c>
    </row>
    <row r="1009" spans="1:17" x14ac:dyDescent="0.3">
      <c r="A1009" t="s">
        <v>17</v>
      </c>
      <c r="B1009" t="str">
        <f>"601801"</f>
        <v>601801</v>
      </c>
      <c r="C1009" t="s">
        <v>2269</v>
      </c>
      <c r="D1009" t="s">
        <v>525</v>
      </c>
      <c r="F1009">
        <v>7150877304</v>
      </c>
      <c r="G1009">
        <v>5826382993</v>
      </c>
      <c r="H1009">
        <v>6513140151</v>
      </c>
      <c r="I1009">
        <v>6243316264</v>
      </c>
      <c r="J1009">
        <v>5088067154</v>
      </c>
      <c r="K1009">
        <v>4794208817</v>
      </c>
      <c r="L1009">
        <v>4379223669</v>
      </c>
      <c r="M1009">
        <v>3521967484</v>
      </c>
      <c r="N1009">
        <v>2563148106</v>
      </c>
      <c r="O1009">
        <v>1950322517</v>
      </c>
      <c r="P1009">
        <v>267</v>
      </c>
      <c r="Q1009" t="s">
        <v>2270</v>
      </c>
    </row>
    <row r="1010" spans="1:17" x14ac:dyDescent="0.3">
      <c r="A1010" t="s">
        <v>17</v>
      </c>
      <c r="B1010" t="str">
        <f>"601808"</f>
        <v>601808</v>
      </c>
      <c r="C1010" t="s">
        <v>2271</v>
      </c>
      <c r="D1010" t="s">
        <v>1758</v>
      </c>
      <c r="F1010">
        <v>17435383124</v>
      </c>
      <c r="G1010">
        <v>16754130899</v>
      </c>
      <c r="H1010">
        <v>17037305438</v>
      </c>
      <c r="I1010">
        <v>11006945570</v>
      </c>
      <c r="J1010">
        <v>10765099460</v>
      </c>
      <c r="K1010">
        <v>11076649407</v>
      </c>
      <c r="L1010">
        <v>18858021892</v>
      </c>
      <c r="M1010">
        <v>22724062451</v>
      </c>
      <c r="N1010">
        <v>16667444716</v>
      </c>
      <c r="O1010">
        <v>15846794377</v>
      </c>
      <c r="P1010">
        <v>411</v>
      </c>
      <c r="Q1010" t="s">
        <v>2272</v>
      </c>
    </row>
    <row r="1011" spans="1:17" x14ac:dyDescent="0.3">
      <c r="A1011" t="s">
        <v>17</v>
      </c>
      <c r="B1011" t="str">
        <f>"601811"</f>
        <v>601811</v>
      </c>
      <c r="C1011" t="s">
        <v>2273</v>
      </c>
      <c r="D1011" t="s">
        <v>1536</v>
      </c>
      <c r="F1011">
        <v>7539494302</v>
      </c>
      <c r="G1011">
        <v>6464948690</v>
      </c>
      <c r="H1011">
        <v>6114101296</v>
      </c>
      <c r="I1011">
        <v>5685681464</v>
      </c>
      <c r="J1011">
        <v>5114671181</v>
      </c>
      <c r="K1011">
        <v>4124198633</v>
      </c>
      <c r="L1011">
        <v>3770364274</v>
      </c>
      <c r="P1011">
        <v>276</v>
      </c>
      <c r="Q1011" t="s">
        <v>2274</v>
      </c>
    </row>
    <row r="1012" spans="1:17" x14ac:dyDescent="0.3">
      <c r="A1012" t="s">
        <v>17</v>
      </c>
      <c r="B1012" t="str">
        <f>"601816"</f>
        <v>601816</v>
      </c>
      <c r="C1012" t="s">
        <v>2275</v>
      </c>
      <c r="D1012" t="s">
        <v>301</v>
      </c>
      <c r="F1012">
        <v>20820648295</v>
      </c>
      <c r="G1012">
        <v>14357843421</v>
      </c>
      <c r="H1012">
        <v>21730230669</v>
      </c>
      <c r="P1012">
        <v>977</v>
      </c>
      <c r="Q1012" t="s">
        <v>2276</v>
      </c>
    </row>
    <row r="1013" spans="1:17" x14ac:dyDescent="0.3">
      <c r="A1013" t="s">
        <v>17</v>
      </c>
      <c r="B1013" t="str">
        <f>"601818"</f>
        <v>601818</v>
      </c>
      <c r="C1013" t="s">
        <v>2277</v>
      </c>
      <c r="D1013" t="s">
        <v>19</v>
      </c>
      <c r="P1013">
        <v>15856</v>
      </c>
      <c r="Q1013" t="s">
        <v>2278</v>
      </c>
    </row>
    <row r="1014" spans="1:17" x14ac:dyDescent="0.3">
      <c r="A1014" t="s">
        <v>17</v>
      </c>
      <c r="B1014" t="str">
        <f>"601825"</f>
        <v>601825</v>
      </c>
      <c r="C1014" t="s">
        <v>2279</v>
      </c>
      <c r="D1014" t="s">
        <v>1827</v>
      </c>
      <c r="P1014">
        <v>57</v>
      </c>
      <c r="Q1014" t="s">
        <v>2280</v>
      </c>
    </row>
    <row r="1015" spans="1:17" x14ac:dyDescent="0.3">
      <c r="A1015" t="s">
        <v>17</v>
      </c>
      <c r="B1015" t="str">
        <f>"601827"</f>
        <v>601827</v>
      </c>
      <c r="C1015" t="s">
        <v>2281</v>
      </c>
      <c r="D1015" t="s">
        <v>499</v>
      </c>
      <c r="F1015">
        <v>4565028354</v>
      </c>
      <c r="G1015">
        <v>3579669446</v>
      </c>
      <c r="H1015">
        <v>3097623527</v>
      </c>
      <c r="P1015">
        <v>143</v>
      </c>
      <c r="Q1015" t="s">
        <v>2282</v>
      </c>
    </row>
    <row r="1016" spans="1:17" x14ac:dyDescent="0.3">
      <c r="A1016" t="s">
        <v>17</v>
      </c>
      <c r="B1016" t="str">
        <f>"601828"</f>
        <v>601828</v>
      </c>
      <c r="C1016" t="s">
        <v>2283</v>
      </c>
      <c r="D1016" t="s">
        <v>271</v>
      </c>
      <c r="F1016">
        <v>11758194710</v>
      </c>
      <c r="G1016">
        <v>9080577893</v>
      </c>
      <c r="H1016">
        <v>11572800904</v>
      </c>
      <c r="I1016">
        <v>9562716592</v>
      </c>
      <c r="J1016">
        <v>8669626355</v>
      </c>
      <c r="K1016">
        <v>6147054558</v>
      </c>
      <c r="P1016">
        <v>351</v>
      </c>
      <c r="Q1016" t="s">
        <v>2284</v>
      </c>
    </row>
    <row r="1017" spans="1:17" x14ac:dyDescent="0.3">
      <c r="A1017" t="s">
        <v>17</v>
      </c>
      <c r="B1017" t="str">
        <f>"601838"</f>
        <v>601838</v>
      </c>
      <c r="C1017" t="s">
        <v>2285</v>
      </c>
      <c r="D1017" t="s">
        <v>1838</v>
      </c>
      <c r="P1017">
        <v>1326</v>
      </c>
      <c r="Q1017" t="s">
        <v>2286</v>
      </c>
    </row>
    <row r="1018" spans="1:17" x14ac:dyDescent="0.3">
      <c r="A1018" t="s">
        <v>17</v>
      </c>
      <c r="B1018" t="str">
        <f>"601857"</f>
        <v>601857</v>
      </c>
      <c r="C1018" t="s">
        <v>2287</v>
      </c>
      <c r="D1018" t="s">
        <v>74</v>
      </c>
      <c r="F1018">
        <v>2185778000000</v>
      </c>
      <c r="G1018">
        <v>1587335000000</v>
      </c>
      <c r="H1018">
        <v>2057566000000</v>
      </c>
      <c r="I1018">
        <v>1987593000000</v>
      </c>
      <c r="J1018">
        <v>1688806000000</v>
      </c>
      <c r="K1018">
        <v>1341231000000</v>
      </c>
      <c r="L1018">
        <v>1508443000000</v>
      </c>
      <c r="M1018">
        <v>2039046000000</v>
      </c>
      <c r="N1018">
        <v>1955933000000</v>
      </c>
      <c r="O1018">
        <v>1849556000000</v>
      </c>
      <c r="P1018">
        <v>1280</v>
      </c>
      <c r="Q1018" t="s">
        <v>2288</v>
      </c>
    </row>
    <row r="1019" spans="1:17" x14ac:dyDescent="0.3">
      <c r="A1019" t="s">
        <v>17</v>
      </c>
      <c r="B1019" t="str">
        <f>"601858"</f>
        <v>601858</v>
      </c>
      <c r="C1019" t="s">
        <v>2289</v>
      </c>
      <c r="D1019" t="s">
        <v>525</v>
      </c>
      <c r="F1019">
        <v>1586268784</v>
      </c>
      <c r="G1019">
        <v>1461157275</v>
      </c>
      <c r="H1019">
        <v>1351699997</v>
      </c>
      <c r="I1019">
        <v>1277659269</v>
      </c>
      <c r="J1019">
        <v>1150907507</v>
      </c>
      <c r="K1019">
        <v>974639781</v>
      </c>
      <c r="L1019">
        <v>0</v>
      </c>
      <c r="P1019">
        <v>178</v>
      </c>
      <c r="Q1019" t="s">
        <v>2290</v>
      </c>
    </row>
    <row r="1020" spans="1:17" x14ac:dyDescent="0.3">
      <c r="A1020" t="s">
        <v>17</v>
      </c>
      <c r="B1020" t="str">
        <f>"601860"</f>
        <v>601860</v>
      </c>
      <c r="C1020" t="s">
        <v>2291</v>
      </c>
      <c r="D1020" t="s">
        <v>1827</v>
      </c>
      <c r="P1020">
        <v>332</v>
      </c>
      <c r="Q1020" t="s">
        <v>2292</v>
      </c>
    </row>
    <row r="1021" spans="1:17" x14ac:dyDescent="0.3">
      <c r="A1021" t="s">
        <v>17</v>
      </c>
      <c r="B1021" t="str">
        <f>"601865"</f>
        <v>601865</v>
      </c>
      <c r="C1021" t="s">
        <v>2293</v>
      </c>
      <c r="D1021" t="s">
        <v>478</v>
      </c>
      <c r="F1021">
        <v>3591585178</v>
      </c>
      <c r="G1021">
        <v>4794393649</v>
      </c>
      <c r="H1021">
        <v>2930594615</v>
      </c>
      <c r="I1021">
        <v>0</v>
      </c>
      <c r="J1021">
        <v>0</v>
      </c>
      <c r="P1021">
        <v>925</v>
      </c>
      <c r="Q1021" t="s">
        <v>2294</v>
      </c>
    </row>
    <row r="1022" spans="1:17" x14ac:dyDescent="0.3">
      <c r="A1022" t="s">
        <v>17</v>
      </c>
      <c r="B1022" t="str">
        <f>"601866"</f>
        <v>601866</v>
      </c>
      <c r="C1022" t="s">
        <v>2295</v>
      </c>
      <c r="D1022" t="s">
        <v>69</v>
      </c>
      <c r="F1022">
        <v>26275136247</v>
      </c>
      <c r="G1022">
        <v>12886205410</v>
      </c>
      <c r="H1022">
        <v>10989458613</v>
      </c>
      <c r="I1022">
        <v>11843428545</v>
      </c>
      <c r="J1022">
        <v>11933602110</v>
      </c>
      <c r="K1022">
        <v>18863439558</v>
      </c>
      <c r="L1022">
        <v>25706785893</v>
      </c>
      <c r="M1022">
        <v>30247880291</v>
      </c>
      <c r="N1022">
        <v>25586134519</v>
      </c>
      <c r="O1022">
        <v>24729429524</v>
      </c>
      <c r="P1022">
        <v>336</v>
      </c>
      <c r="Q1022" t="s">
        <v>2296</v>
      </c>
    </row>
    <row r="1023" spans="1:17" x14ac:dyDescent="0.3">
      <c r="A1023" t="s">
        <v>17</v>
      </c>
      <c r="B1023" t="str">
        <f>"601868"</f>
        <v>601868</v>
      </c>
      <c r="C1023" t="s">
        <v>2297</v>
      </c>
      <c r="D1023" t="s">
        <v>101</v>
      </c>
      <c r="F1023">
        <v>189271605786</v>
      </c>
      <c r="P1023">
        <v>152</v>
      </c>
      <c r="Q1023" t="s">
        <v>2298</v>
      </c>
    </row>
    <row r="1024" spans="1:17" x14ac:dyDescent="0.3">
      <c r="A1024" t="s">
        <v>17</v>
      </c>
      <c r="B1024" t="str">
        <f>"601869"</f>
        <v>601869</v>
      </c>
      <c r="C1024" t="s">
        <v>2299</v>
      </c>
      <c r="D1024" t="s">
        <v>250</v>
      </c>
      <c r="F1024">
        <v>5576183103</v>
      </c>
      <c r="G1024">
        <v>4191622441</v>
      </c>
      <c r="H1024">
        <v>4754491188</v>
      </c>
      <c r="I1024">
        <v>5280994537</v>
      </c>
      <c r="J1024">
        <v>4845806506</v>
      </c>
      <c r="P1024">
        <v>403</v>
      </c>
      <c r="Q1024" t="s">
        <v>2300</v>
      </c>
    </row>
    <row r="1025" spans="1:17" x14ac:dyDescent="0.3">
      <c r="A1025" t="s">
        <v>17</v>
      </c>
      <c r="B1025" t="str">
        <f>"601872"</f>
        <v>601872</v>
      </c>
      <c r="C1025" t="s">
        <v>2301</v>
      </c>
      <c r="D1025" t="s">
        <v>69</v>
      </c>
      <c r="F1025">
        <v>13250271910</v>
      </c>
      <c r="G1025">
        <v>14180682303</v>
      </c>
      <c r="H1025">
        <v>9839290014</v>
      </c>
      <c r="I1025">
        <v>7191260543</v>
      </c>
      <c r="J1025">
        <v>4614584371</v>
      </c>
      <c r="K1025">
        <v>4701026070</v>
      </c>
      <c r="L1025">
        <v>4150028607</v>
      </c>
      <c r="M1025">
        <v>1878422839</v>
      </c>
      <c r="N1025">
        <v>1966968851</v>
      </c>
      <c r="O1025">
        <v>2250956443</v>
      </c>
      <c r="P1025">
        <v>574</v>
      </c>
      <c r="Q1025" t="s">
        <v>2302</v>
      </c>
    </row>
    <row r="1026" spans="1:17" x14ac:dyDescent="0.3">
      <c r="A1026" t="s">
        <v>17</v>
      </c>
      <c r="B1026" t="str">
        <f>"601877"</f>
        <v>601877</v>
      </c>
      <c r="C1026" t="s">
        <v>2303</v>
      </c>
      <c r="D1026" t="s">
        <v>657</v>
      </c>
      <c r="F1026">
        <v>26474651328</v>
      </c>
      <c r="G1026">
        <v>21659351763</v>
      </c>
      <c r="H1026">
        <v>22898547109</v>
      </c>
      <c r="I1026">
        <v>19275786014</v>
      </c>
      <c r="J1026">
        <v>15126417461</v>
      </c>
      <c r="K1026">
        <v>9307783908</v>
      </c>
      <c r="L1026">
        <v>8465180687</v>
      </c>
      <c r="M1026">
        <v>9940722338</v>
      </c>
      <c r="N1026">
        <v>8167610640</v>
      </c>
      <c r="O1026">
        <v>8361764493</v>
      </c>
      <c r="P1026">
        <v>34820</v>
      </c>
      <c r="Q1026" t="s">
        <v>2304</v>
      </c>
    </row>
    <row r="1027" spans="1:17" x14ac:dyDescent="0.3">
      <c r="A1027" t="s">
        <v>17</v>
      </c>
      <c r="B1027" t="str">
        <f>"601878"</f>
        <v>601878</v>
      </c>
      <c r="C1027" t="s">
        <v>2305</v>
      </c>
      <c r="D1027" t="s">
        <v>80</v>
      </c>
      <c r="P1027">
        <v>842</v>
      </c>
      <c r="Q1027" t="s">
        <v>2306</v>
      </c>
    </row>
    <row r="1028" spans="1:17" x14ac:dyDescent="0.3">
      <c r="A1028" t="s">
        <v>17</v>
      </c>
      <c r="B1028" t="str">
        <f>"601880"</f>
        <v>601880</v>
      </c>
      <c r="C1028" t="s">
        <v>2307</v>
      </c>
      <c r="D1028" t="s">
        <v>51</v>
      </c>
      <c r="F1028">
        <v>7885796765</v>
      </c>
      <c r="G1028">
        <v>4490803934</v>
      </c>
      <c r="H1028">
        <v>4642313243</v>
      </c>
      <c r="I1028">
        <v>5567673631</v>
      </c>
      <c r="J1028">
        <v>6748819177</v>
      </c>
      <c r="K1028">
        <v>10652609350</v>
      </c>
      <c r="L1028">
        <v>7182389765</v>
      </c>
      <c r="M1028">
        <v>5748659821</v>
      </c>
      <c r="N1028">
        <v>5756076131</v>
      </c>
      <c r="O1028">
        <v>2978289772</v>
      </c>
      <c r="P1028">
        <v>189</v>
      </c>
      <c r="Q1028" t="s">
        <v>2308</v>
      </c>
    </row>
    <row r="1029" spans="1:17" x14ac:dyDescent="0.3">
      <c r="A1029" t="s">
        <v>17</v>
      </c>
      <c r="B1029" t="str">
        <f>"601881"</f>
        <v>601881</v>
      </c>
      <c r="C1029" t="s">
        <v>2309</v>
      </c>
      <c r="D1029" t="s">
        <v>80</v>
      </c>
      <c r="P1029">
        <v>1598</v>
      </c>
      <c r="Q1029" t="s">
        <v>2310</v>
      </c>
    </row>
    <row r="1030" spans="1:17" x14ac:dyDescent="0.3">
      <c r="A1030" t="s">
        <v>17</v>
      </c>
      <c r="B1030" t="str">
        <f>"601882"</f>
        <v>601882</v>
      </c>
      <c r="C1030" t="s">
        <v>2311</v>
      </c>
      <c r="D1030" t="s">
        <v>2312</v>
      </c>
      <c r="F1030">
        <v>1968667877</v>
      </c>
      <c r="G1030">
        <v>1183964840</v>
      </c>
      <c r="H1030">
        <v>979763546</v>
      </c>
      <c r="I1030">
        <v>1269008513</v>
      </c>
      <c r="J1030">
        <v>928407610</v>
      </c>
      <c r="K1030">
        <v>763809474</v>
      </c>
      <c r="L1030">
        <v>761418604</v>
      </c>
      <c r="P1030">
        <v>188</v>
      </c>
      <c r="Q1030" t="s">
        <v>2313</v>
      </c>
    </row>
    <row r="1031" spans="1:17" x14ac:dyDescent="0.3">
      <c r="A1031" t="s">
        <v>17</v>
      </c>
      <c r="B1031" t="str">
        <f>"601886"</f>
        <v>601886</v>
      </c>
      <c r="C1031" t="s">
        <v>2314</v>
      </c>
      <c r="D1031" t="s">
        <v>450</v>
      </c>
      <c r="F1031">
        <v>13494029558</v>
      </c>
      <c r="G1031">
        <v>12842651711</v>
      </c>
      <c r="H1031">
        <v>11689447555</v>
      </c>
      <c r="I1031">
        <v>11652128344</v>
      </c>
      <c r="J1031">
        <v>10984651858</v>
      </c>
      <c r="K1031">
        <v>10403790121</v>
      </c>
      <c r="L1031">
        <v>10977239128</v>
      </c>
      <c r="M1031">
        <v>10490201336</v>
      </c>
      <c r="N1031">
        <v>7698195718</v>
      </c>
      <c r="O1031">
        <v>4500041207</v>
      </c>
      <c r="P1031">
        <v>177</v>
      </c>
      <c r="Q1031" t="s">
        <v>2315</v>
      </c>
    </row>
    <row r="1032" spans="1:17" x14ac:dyDescent="0.3">
      <c r="A1032" t="s">
        <v>17</v>
      </c>
      <c r="B1032" t="str">
        <f>"601888"</f>
        <v>601888</v>
      </c>
      <c r="C1032" t="s">
        <v>2316</v>
      </c>
      <c r="D1032" t="s">
        <v>2317</v>
      </c>
      <c r="F1032">
        <v>51598843358</v>
      </c>
      <c r="G1032">
        <v>36765404994</v>
      </c>
      <c r="H1032">
        <v>36068741815</v>
      </c>
      <c r="I1032">
        <v>38332500612</v>
      </c>
      <c r="J1032">
        <v>24454634769</v>
      </c>
      <c r="K1032">
        <v>20047027194</v>
      </c>
      <c r="L1032">
        <v>20601886022</v>
      </c>
      <c r="M1032">
        <v>18126595746</v>
      </c>
      <c r="N1032">
        <v>16743782794</v>
      </c>
      <c r="O1032">
        <v>15514150071</v>
      </c>
      <c r="P1032">
        <v>6129</v>
      </c>
      <c r="Q1032" t="s">
        <v>2318</v>
      </c>
    </row>
    <row r="1033" spans="1:17" x14ac:dyDescent="0.3">
      <c r="A1033" t="s">
        <v>17</v>
      </c>
      <c r="B1033" t="str">
        <f>"601890"</f>
        <v>601890</v>
      </c>
      <c r="C1033" t="s">
        <v>2319</v>
      </c>
      <c r="D1033" t="s">
        <v>167</v>
      </c>
      <c r="F1033">
        <v>1036685775</v>
      </c>
      <c r="G1033">
        <v>949584313</v>
      </c>
      <c r="H1033">
        <v>935465361</v>
      </c>
      <c r="I1033">
        <v>686763326</v>
      </c>
      <c r="J1033">
        <v>821255340</v>
      </c>
      <c r="K1033">
        <v>994841424</v>
      </c>
      <c r="L1033">
        <v>1125393512</v>
      </c>
      <c r="M1033">
        <v>1240380635</v>
      </c>
      <c r="N1033">
        <v>1072004341</v>
      </c>
      <c r="O1033">
        <v>1466903376</v>
      </c>
      <c r="P1033">
        <v>144</v>
      </c>
      <c r="Q1033" t="s">
        <v>2320</v>
      </c>
    </row>
    <row r="1034" spans="1:17" x14ac:dyDescent="0.3">
      <c r="A1034" t="s">
        <v>17</v>
      </c>
      <c r="B1034" t="str">
        <f>"601898"</f>
        <v>601898</v>
      </c>
      <c r="C1034" t="s">
        <v>2321</v>
      </c>
      <c r="D1034" t="s">
        <v>292</v>
      </c>
      <c r="F1034">
        <v>180529144000</v>
      </c>
      <c r="G1034">
        <v>113707093000</v>
      </c>
      <c r="H1034">
        <v>106446377000</v>
      </c>
      <c r="I1034">
        <v>88514290000</v>
      </c>
      <c r="J1034">
        <v>68487170000</v>
      </c>
      <c r="K1034">
        <v>47337941000</v>
      </c>
      <c r="L1034">
        <v>49709541000</v>
      </c>
      <c r="M1034">
        <v>58790331000</v>
      </c>
      <c r="N1034">
        <v>66394011000</v>
      </c>
      <c r="O1034">
        <v>73029787000</v>
      </c>
      <c r="P1034">
        <v>446</v>
      </c>
      <c r="Q1034" t="s">
        <v>2322</v>
      </c>
    </row>
    <row r="1035" spans="1:17" x14ac:dyDescent="0.3">
      <c r="A1035" t="s">
        <v>17</v>
      </c>
      <c r="B1035" t="str">
        <f>"601899"</f>
        <v>601899</v>
      </c>
      <c r="C1035" t="s">
        <v>2323</v>
      </c>
      <c r="D1035" t="s">
        <v>263</v>
      </c>
      <c r="F1035">
        <v>174563915662</v>
      </c>
      <c r="G1035">
        <v>134523524872</v>
      </c>
      <c r="H1035">
        <v>105507625980</v>
      </c>
      <c r="I1035">
        <v>81766892953</v>
      </c>
      <c r="J1035">
        <v>63298356999</v>
      </c>
      <c r="K1035">
        <v>61237476381</v>
      </c>
      <c r="L1035">
        <v>67673091553</v>
      </c>
      <c r="M1035">
        <v>43048422754</v>
      </c>
      <c r="N1035">
        <v>40862721654</v>
      </c>
      <c r="O1035">
        <v>35206055884</v>
      </c>
      <c r="P1035">
        <v>2402</v>
      </c>
      <c r="Q1035" t="s">
        <v>2324</v>
      </c>
    </row>
    <row r="1036" spans="1:17" x14ac:dyDescent="0.3">
      <c r="A1036" t="s">
        <v>17</v>
      </c>
      <c r="B1036" t="str">
        <f>"601900"</f>
        <v>601900</v>
      </c>
      <c r="C1036" t="s">
        <v>2325</v>
      </c>
      <c r="D1036" t="s">
        <v>1536</v>
      </c>
      <c r="F1036">
        <v>4504943856</v>
      </c>
      <c r="G1036">
        <v>4019335270</v>
      </c>
      <c r="H1036">
        <v>3809877459</v>
      </c>
      <c r="I1036">
        <v>3694582638</v>
      </c>
      <c r="J1036">
        <v>3533065802</v>
      </c>
      <c r="K1036">
        <v>3574102778</v>
      </c>
      <c r="L1036">
        <v>2946829086</v>
      </c>
      <c r="M1036">
        <v>2693891902</v>
      </c>
      <c r="P1036">
        <v>244</v>
      </c>
      <c r="Q1036" t="s">
        <v>2326</v>
      </c>
    </row>
    <row r="1037" spans="1:17" x14ac:dyDescent="0.3">
      <c r="A1037" t="s">
        <v>17</v>
      </c>
      <c r="B1037" t="str">
        <f>"601901"</f>
        <v>601901</v>
      </c>
      <c r="C1037" t="s">
        <v>2327</v>
      </c>
      <c r="D1037" t="s">
        <v>80</v>
      </c>
      <c r="P1037">
        <v>931</v>
      </c>
      <c r="Q1037" t="s">
        <v>2328</v>
      </c>
    </row>
    <row r="1038" spans="1:17" x14ac:dyDescent="0.3">
      <c r="A1038" t="s">
        <v>17</v>
      </c>
      <c r="B1038" t="str">
        <f>"601908"</f>
        <v>601908</v>
      </c>
      <c r="C1038" t="s">
        <v>2329</v>
      </c>
      <c r="D1038" t="s">
        <v>86</v>
      </c>
      <c r="F1038">
        <v>1433951229</v>
      </c>
      <c r="G1038">
        <v>1165352612</v>
      </c>
      <c r="H1038">
        <v>987579171</v>
      </c>
      <c r="I1038">
        <v>775739326</v>
      </c>
      <c r="J1038">
        <v>688431368</v>
      </c>
      <c r="K1038">
        <v>914724185</v>
      </c>
      <c r="L1038">
        <v>223200511</v>
      </c>
      <c r="M1038">
        <v>229790511</v>
      </c>
      <c r="N1038">
        <v>213993541</v>
      </c>
      <c r="O1038">
        <v>306943381</v>
      </c>
      <c r="P1038">
        <v>318</v>
      </c>
      <c r="Q1038" t="s">
        <v>2330</v>
      </c>
    </row>
    <row r="1039" spans="1:17" x14ac:dyDescent="0.3">
      <c r="A1039" t="s">
        <v>17</v>
      </c>
      <c r="B1039" t="str">
        <f>"601916"</f>
        <v>601916</v>
      </c>
      <c r="C1039" t="s">
        <v>2331</v>
      </c>
      <c r="D1039" t="s">
        <v>19</v>
      </c>
      <c r="P1039">
        <v>537</v>
      </c>
      <c r="Q1039" t="s">
        <v>2332</v>
      </c>
    </row>
    <row r="1040" spans="1:17" x14ac:dyDescent="0.3">
      <c r="A1040" t="s">
        <v>17</v>
      </c>
      <c r="B1040" t="str">
        <f>"601918"</f>
        <v>601918</v>
      </c>
      <c r="C1040" t="s">
        <v>2333</v>
      </c>
      <c r="D1040" t="s">
        <v>292</v>
      </c>
      <c r="F1040">
        <v>10019577072</v>
      </c>
      <c r="G1040">
        <v>6555773036</v>
      </c>
      <c r="H1040">
        <v>8304446495</v>
      </c>
      <c r="I1040">
        <v>7904564713</v>
      </c>
      <c r="J1040">
        <v>5743508951</v>
      </c>
      <c r="K1040">
        <v>3827776006</v>
      </c>
      <c r="L1040">
        <v>3602169756</v>
      </c>
      <c r="M1040">
        <v>4244724151</v>
      </c>
      <c r="N1040">
        <v>5797937262</v>
      </c>
      <c r="O1040">
        <v>6932620212</v>
      </c>
      <c r="P1040">
        <v>237</v>
      </c>
      <c r="Q1040" t="s">
        <v>2334</v>
      </c>
    </row>
    <row r="1041" spans="1:17" x14ac:dyDescent="0.3">
      <c r="A1041" t="s">
        <v>17</v>
      </c>
      <c r="B1041" t="str">
        <f>"601919"</f>
        <v>601919</v>
      </c>
      <c r="C1041" t="s">
        <v>2335</v>
      </c>
      <c r="D1041" t="s">
        <v>69</v>
      </c>
      <c r="F1041">
        <v>228441407863</v>
      </c>
      <c r="G1041">
        <v>117770135784</v>
      </c>
      <c r="H1041">
        <v>109943633320</v>
      </c>
      <c r="I1041">
        <v>80680202099</v>
      </c>
      <c r="J1041">
        <v>67155891942</v>
      </c>
      <c r="K1041">
        <v>42133348867</v>
      </c>
      <c r="L1041">
        <v>44067265221</v>
      </c>
      <c r="M1041">
        <v>47411787079</v>
      </c>
      <c r="N1041">
        <v>68131107178</v>
      </c>
      <c r="O1041">
        <v>77931815894</v>
      </c>
      <c r="P1041">
        <v>1359</v>
      </c>
      <c r="Q1041" t="s">
        <v>2336</v>
      </c>
    </row>
    <row r="1042" spans="1:17" x14ac:dyDescent="0.3">
      <c r="A1042" t="s">
        <v>17</v>
      </c>
      <c r="B1042" t="str">
        <f>"601921"</f>
        <v>601921</v>
      </c>
      <c r="C1042" t="s">
        <v>2337</v>
      </c>
      <c r="D1042" t="s">
        <v>1536</v>
      </c>
      <c r="F1042">
        <v>7395517098</v>
      </c>
      <c r="G1042">
        <v>5980169461</v>
      </c>
      <c r="P1042">
        <v>28</v>
      </c>
      <c r="Q1042" t="s">
        <v>2338</v>
      </c>
    </row>
    <row r="1043" spans="1:17" x14ac:dyDescent="0.3">
      <c r="A1043" t="s">
        <v>17</v>
      </c>
      <c r="B1043" t="str">
        <f>"601928"</f>
        <v>601928</v>
      </c>
      <c r="C1043" t="s">
        <v>2339</v>
      </c>
      <c r="D1043" t="s">
        <v>1536</v>
      </c>
      <c r="F1043">
        <v>9752582580</v>
      </c>
      <c r="G1043">
        <v>8998936109</v>
      </c>
      <c r="H1043">
        <v>8526673957</v>
      </c>
      <c r="I1043">
        <v>8408844283</v>
      </c>
      <c r="J1043">
        <v>7882052986</v>
      </c>
      <c r="K1043">
        <v>7333895235</v>
      </c>
      <c r="L1043">
        <v>7141349796</v>
      </c>
      <c r="M1043">
        <v>6027626979</v>
      </c>
      <c r="N1043">
        <v>5511703616</v>
      </c>
      <c r="O1043">
        <v>5187117159</v>
      </c>
      <c r="P1043">
        <v>551</v>
      </c>
      <c r="Q1043" t="s">
        <v>2340</v>
      </c>
    </row>
    <row r="1044" spans="1:17" x14ac:dyDescent="0.3">
      <c r="A1044" t="s">
        <v>17</v>
      </c>
      <c r="B1044" t="str">
        <f>"601929"</f>
        <v>601929</v>
      </c>
      <c r="C1044" t="s">
        <v>2341</v>
      </c>
      <c r="D1044" t="s">
        <v>95</v>
      </c>
      <c r="F1044">
        <v>1228646420</v>
      </c>
      <c r="G1044">
        <v>1095112823</v>
      </c>
      <c r="H1044">
        <v>1064721729</v>
      </c>
      <c r="I1044">
        <v>1161772148</v>
      </c>
      <c r="J1044">
        <v>1053124926</v>
      </c>
      <c r="K1044">
        <v>1258920788</v>
      </c>
      <c r="L1044">
        <v>1289033968</v>
      </c>
      <c r="M1044">
        <v>1258341079</v>
      </c>
      <c r="N1044">
        <v>1199050083</v>
      </c>
      <c r="O1044">
        <v>1073780559</v>
      </c>
      <c r="P1044">
        <v>159</v>
      </c>
      <c r="Q1044" t="s">
        <v>2342</v>
      </c>
    </row>
    <row r="1045" spans="1:17" x14ac:dyDescent="0.3">
      <c r="A1045" t="s">
        <v>17</v>
      </c>
      <c r="B1045" t="str">
        <f>"601933"</f>
        <v>601933</v>
      </c>
      <c r="C1045" t="s">
        <v>2343</v>
      </c>
      <c r="D1045" t="s">
        <v>798</v>
      </c>
      <c r="F1045">
        <v>78452667089</v>
      </c>
      <c r="G1045">
        <v>80905733778</v>
      </c>
      <c r="H1045">
        <v>71729707075</v>
      </c>
      <c r="I1045">
        <v>58901865698</v>
      </c>
      <c r="J1045">
        <v>48984827375</v>
      </c>
      <c r="K1045">
        <v>41562773882</v>
      </c>
      <c r="L1045">
        <v>35293554815</v>
      </c>
      <c r="M1045">
        <v>30283348961</v>
      </c>
      <c r="N1045">
        <v>23301773686</v>
      </c>
      <c r="O1045">
        <v>20698675288</v>
      </c>
      <c r="P1045">
        <v>2444</v>
      </c>
      <c r="Q1045" t="s">
        <v>2344</v>
      </c>
    </row>
    <row r="1046" spans="1:17" x14ac:dyDescent="0.3">
      <c r="A1046" t="s">
        <v>17</v>
      </c>
      <c r="B1046" t="str">
        <f>"601939"</f>
        <v>601939</v>
      </c>
      <c r="C1046" t="s">
        <v>2345</v>
      </c>
      <c r="D1046" t="s">
        <v>2103</v>
      </c>
      <c r="P1046">
        <v>19332</v>
      </c>
      <c r="Q1046" t="s">
        <v>2346</v>
      </c>
    </row>
    <row r="1047" spans="1:17" x14ac:dyDescent="0.3">
      <c r="A1047" t="s">
        <v>17</v>
      </c>
      <c r="B1047" t="str">
        <f>"601949"</f>
        <v>601949</v>
      </c>
      <c r="C1047" t="s">
        <v>2347</v>
      </c>
      <c r="D1047" t="s">
        <v>525</v>
      </c>
      <c r="F1047">
        <v>3799842540</v>
      </c>
      <c r="G1047">
        <v>3444506160</v>
      </c>
      <c r="H1047">
        <v>3845180369</v>
      </c>
      <c r="I1047">
        <v>3512397071</v>
      </c>
      <c r="J1047">
        <v>3229083275</v>
      </c>
      <c r="K1047">
        <v>2491238210</v>
      </c>
      <c r="P1047">
        <v>160</v>
      </c>
      <c r="Q1047" t="s">
        <v>2348</v>
      </c>
    </row>
    <row r="1048" spans="1:17" x14ac:dyDescent="0.3">
      <c r="A1048" t="s">
        <v>17</v>
      </c>
      <c r="B1048" t="str">
        <f>"601952"</f>
        <v>601952</v>
      </c>
      <c r="C1048" t="s">
        <v>2349</v>
      </c>
      <c r="D1048" t="s">
        <v>1210</v>
      </c>
      <c r="F1048">
        <v>8242246701</v>
      </c>
      <c r="G1048">
        <v>6579544344</v>
      </c>
      <c r="H1048">
        <v>5670271174</v>
      </c>
      <c r="I1048">
        <v>3546500156</v>
      </c>
      <c r="J1048">
        <v>2836486873</v>
      </c>
      <c r="K1048">
        <v>3122649647</v>
      </c>
      <c r="P1048">
        <v>313</v>
      </c>
      <c r="Q1048" t="s">
        <v>2350</v>
      </c>
    </row>
    <row r="1049" spans="1:17" x14ac:dyDescent="0.3">
      <c r="A1049" t="s">
        <v>17</v>
      </c>
      <c r="B1049" t="str">
        <f>"601956"</f>
        <v>601956</v>
      </c>
      <c r="C1049" t="s">
        <v>2351</v>
      </c>
      <c r="D1049" t="s">
        <v>1253</v>
      </c>
      <c r="F1049">
        <v>5122100580</v>
      </c>
      <c r="G1049">
        <v>3356412069</v>
      </c>
      <c r="P1049">
        <v>23</v>
      </c>
      <c r="Q1049" t="s">
        <v>2352</v>
      </c>
    </row>
    <row r="1050" spans="1:17" x14ac:dyDescent="0.3">
      <c r="A1050" t="s">
        <v>17</v>
      </c>
      <c r="B1050" t="str">
        <f>"601958"</f>
        <v>601958</v>
      </c>
      <c r="C1050" t="s">
        <v>2353</v>
      </c>
      <c r="D1050" t="s">
        <v>2354</v>
      </c>
      <c r="F1050">
        <v>4701001540</v>
      </c>
      <c r="G1050">
        <v>5456244314</v>
      </c>
      <c r="H1050">
        <v>6539710610</v>
      </c>
      <c r="I1050">
        <v>5288230766</v>
      </c>
      <c r="J1050">
        <v>7674297183</v>
      </c>
      <c r="K1050">
        <v>6971356848</v>
      </c>
      <c r="L1050">
        <v>8254222094</v>
      </c>
      <c r="M1050">
        <v>5687886533</v>
      </c>
      <c r="N1050">
        <v>6696940716</v>
      </c>
      <c r="O1050">
        <v>6370311836</v>
      </c>
      <c r="P1050">
        <v>244</v>
      </c>
      <c r="Q1050" t="s">
        <v>2355</v>
      </c>
    </row>
    <row r="1051" spans="1:17" x14ac:dyDescent="0.3">
      <c r="A1051" t="s">
        <v>17</v>
      </c>
      <c r="B1051" t="str">
        <f>"601963"</f>
        <v>601963</v>
      </c>
      <c r="C1051" t="s">
        <v>2356</v>
      </c>
      <c r="D1051" t="s">
        <v>1838</v>
      </c>
      <c r="P1051">
        <v>149</v>
      </c>
      <c r="Q1051" t="s">
        <v>2357</v>
      </c>
    </row>
    <row r="1052" spans="1:17" x14ac:dyDescent="0.3">
      <c r="A1052" t="s">
        <v>17</v>
      </c>
      <c r="B1052" t="str">
        <f>"601965"</f>
        <v>601965</v>
      </c>
      <c r="C1052" t="s">
        <v>2358</v>
      </c>
      <c r="D1052" t="s">
        <v>2359</v>
      </c>
      <c r="F1052">
        <v>1768624909</v>
      </c>
      <c r="G1052">
        <v>1679793096</v>
      </c>
      <c r="H1052">
        <v>1270336508</v>
      </c>
      <c r="I1052">
        <v>1330532277</v>
      </c>
      <c r="J1052">
        <v>1241086766</v>
      </c>
      <c r="K1052">
        <v>958578440</v>
      </c>
      <c r="L1052">
        <v>641162997</v>
      </c>
      <c r="M1052">
        <v>639084775</v>
      </c>
      <c r="N1052">
        <v>580407860</v>
      </c>
      <c r="O1052">
        <v>667734935</v>
      </c>
      <c r="P1052">
        <v>307</v>
      </c>
      <c r="Q1052" t="s">
        <v>2360</v>
      </c>
    </row>
    <row r="1053" spans="1:17" x14ac:dyDescent="0.3">
      <c r="A1053" t="s">
        <v>17</v>
      </c>
      <c r="B1053" t="str">
        <f>"601966"</f>
        <v>601966</v>
      </c>
      <c r="C1053" t="s">
        <v>2361</v>
      </c>
      <c r="D1053" t="s">
        <v>422</v>
      </c>
      <c r="F1053">
        <v>12385427022</v>
      </c>
      <c r="G1053">
        <v>11701729317</v>
      </c>
      <c r="H1053">
        <v>11425589540</v>
      </c>
      <c r="I1053">
        <v>9143150813</v>
      </c>
      <c r="J1053">
        <v>8426528321</v>
      </c>
      <c r="K1053">
        <v>7209807302</v>
      </c>
      <c r="L1053">
        <v>5894766074</v>
      </c>
      <c r="P1053">
        <v>927</v>
      </c>
      <c r="Q1053" t="s">
        <v>2362</v>
      </c>
    </row>
    <row r="1054" spans="1:17" x14ac:dyDescent="0.3">
      <c r="A1054" t="s">
        <v>17</v>
      </c>
      <c r="B1054" t="str">
        <f>"601968"</f>
        <v>601968</v>
      </c>
      <c r="C1054" t="s">
        <v>2363</v>
      </c>
      <c r="D1054" t="s">
        <v>2364</v>
      </c>
      <c r="F1054">
        <v>5093438847</v>
      </c>
      <c r="G1054">
        <v>4506872426</v>
      </c>
      <c r="H1054">
        <v>4225603567</v>
      </c>
      <c r="I1054">
        <v>3700188371</v>
      </c>
      <c r="J1054">
        <v>3518293513</v>
      </c>
      <c r="K1054">
        <v>3025277973</v>
      </c>
      <c r="L1054">
        <v>2784355609</v>
      </c>
      <c r="M1054">
        <v>2618312303</v>
      </c>
      <c r="P1054">
        <v>108</v>
      </c>
      <c r="Q1054" t="s">
        <v>2365</v>
      </c>
    </row>
    <row r="1055" spans="1:17" x14ac:dyDescent="0.3">
      <c r="A1055" t="s">
        <v>17</v>
      </c>
      <c r="B1055" t="str">
        <f>"601969"</f>
        <v>601969</v>
      </c>
      <c r="C1055" t="s">
        <v>2366</v>
      </c>
      <c r="D1055" t="s">
        <v>2367</v>
      </c>
      <c r="F1055">
        <v>2401723410</v>
      </c>
      <c r="G1055">
        <v>2172788180</v>
      </c>
      <c r="H1055">
        <v>3266105970</v>
      </c>
      <c r="I1055">
        <v>1452109116</v>
      </c>
      <c r="J1055">
        <v>2187518519</v>
      </c>
      <c r="K1055">
        <v>1207551910</v>
      </c>
      <c r="L1055">
        <v>1104958755</v>
      </c>
      <c r="M1055">
        <v>1892442006</v>
      </c>
      <c r="N1055">
        <v>2455745733</v>
      </c>
      <c r="P1055">
        <v>154</v>
      </c>
      <c r="Q1055" t="s">
        <v>2368</v>
      </c>
    </row>
    <row r="1056" spans="1:17" x14ac:dyDescent="0.3">
      <c r="A1056" t="s">
        <v>17</v>
      </c>
      <c r="B1056" t="str">
        <f>"601975"</f>
        <v>601975</v>
      </c>
      <c r="C1056" t="s">
        <v>2369</v>
      </c>
      <c r="D1056" t="s">
        <v>69</v>
      </c>
      <c r="F1056">
        <v>2799934235</v>
      </c>
      <c r="G1056">
        <v>3065944715</v>
      </c>
      <c r="H1056">
        <v>2689660717</v>
      </c>
      <c r="I1056">
        <v>2488689000</v>
      </c>
      <c r="N1056">
        <v>5724031751</v>
      </c>
      <c r="O1056">
        <v>4341079841</v>
      </c>
      <c r="P1056">
        <v>270</v>
      </c>
      <c r="Q1056" t="s">
        <v>2370</v>
      </c>
    </row>
    <row r="1057" spans="1:17" x14ac:dyDescent="0.3">
      <c r="A1057" t="s">
        <v>17</v>
      </c>
      <c r="B1057" t="str">
        <f>"601985"</f>
        <v>601985</v>
      </c>
      <c r="C1057" t="s">
        <v>2371</v>
      </c>
      <c r="D1057" t="s">
        <v>2372</v>
      </c>
      <c r="F1057">
        <v>49721629329</v>
      </c>
      <c r="G1057">
        <v>40301384234</v>
      </c>
      <c r="H1057">
        <v>38233784264</v>
      </c>
      <c r="I1057">
        <v>31725493796</v>
      </c>
      <c r="J1057">
        <v>29319420170</v>
      </c>
      <c r="K1057">
        <v>25166807459</v>
      </c>
      <c r="L1057">
        <v>22380245147</v>
      </c>
      <c r="M1057">
        <v>15333397621</v>
      </c>
      <c r="P1057">
        <v>998</v>
      </c>
      <c r="Q1057" t="s">
        <v>2373</v>
      </c>
    </row>
    <row r="1058" spans="1:17" x14ac:dyDescent="0.3">
      <c r="A1058" t="s">
        <v>17</v>
      </c>
      <c r="B1058" t="str">
        <f>"601988"</f>
        <v>601988</v>
      </c>
      <c r="C1058" t="s">
        <v>2374</v>
      </c>
      <c r="D1058" t="s">
        <v>2103</v>
      </c>
      <c r="P1058">
        <v>4259</v>
      </c>
      <c r="Q1058" t="s">
        <v>2375</v>
      </c>
    </row>
    <row r="1059" spans="1:17" x14ac:dyDescent="0.3">
      <c r="A1059" t="s">
        <v>17</v>
      </c>
      <c r="B1059" t="str">
        <f>"601989"</f>
        <v>601989</v>
      </c>
      <c r="C1059" t="s">
        <v>2376</v>
      </c>
      <c r="D1059" t="s">
        <v>167</v>
      </c>
      <c r="F1059">
        <v>26068988786</v>
      </c>
      <c r="G1059">
        <v>27250468142</v>
      </c>
      <c r="H1059">
        <v>23592543166</v>
      </c>
      <c r="I1059">
        <v>32230466274</v>
      </c>
      <c r="J1059">
        <v>29013884880</v>
      </c>
      <c r="K1059">
        <v>26063813770</v>
      </c>
      <c r="L1059">
        <v>37142808498</v>
      </c>
      <c r="M1059">
        <v>35037056353</v>
      </c>
      <c r="N1059">
        <v>25805712148</v>
      </c>
      <c r="O1059">
        <v>23697025912</v>
      </c>
      <c r="P1059">
        <v>669</v>
      </c>
      <c r="Q1059" t="s">
        <v>2377</v>
      </c>
    </row>
    <row r="1060" spans="1:17" x14ac:dyDescent="0.3">
      <c r="A1060" t="s">
        <v>17</v>
      </c>
      <c r="B1060" t="str">
        <f>"601990"</f>
        <v>601990</v>
      </c>
      <c r="C1060" t="s">
        <v>2378</v>
      </c>
      <c r="D1060" t="s">
        <v>80</v>
      </c>
      <c r="P1060">
        <v>722</v>
      </c>
      <c r="Q1060" t="s">
        <v>2379</v>
      </c>
    </row>
    <row r="1061" spans="1:17" x14ac:dyDescent="0.3">
      <c r="A1061" t="s">
        <v>17</v>
      </c>
      <c r="B1061" t="str">
        <f>"601991"</f>
        <v>601991</v>
      </c>
      <c r="C1061" t="s">
        <v>2380</v>
      </c>
      <c r="D1061" t="s">
        <v>41</v>
      </c>
      <c r="F1061">
        <v>82186351000</v>
      </c>
      <c r="G1061">
        <v>76841905000</v>
      </c>
      <c r="H1061">
        <v>77395149000</v>
      </c>
      <c r="I1061">
        <v>77376216000</v>
      </c>
      <c r="J1061">
        <v>56006298000</v>
      </c>
      <c r="K1061">
        <v>51675248000</v>
      </c>
      <c r="L1061">
        <v>62476977000</v>
      </c>
      <c r="M1061">
        <v>66689106000</v>
      </c>
      <c r="N1061">
        <v>68428685000</v>
      </c>
      <c r="O1061">
        <v>64836101000</v>
      </c>
      <c r="P1061">
        <v>283</v>
      </c>
      <c r="Q1061" t="s">
        <v>2381</v>
      </c>
    </row>
    <row r="1062" spans="1:17" x14ac:dyDescent="0.3">
      <c r="A1062" t="s">
        <v>17</v>
      </c>
      <c r="B1062" t="str">
        <f>"601992"</f>
        <v>601992</v>
      </c>
      <c r="C1062" t="s">
        <v>2382</v>
      </c>
      <c r="D1062" t="s">
        <v>731</v>
      </c>
      <c r="F1062">
        <v>84155959761</v>
      </c>
      <c r="G1062">
        <v>72984199827</v>
      </c>
      <c r="H1062">
        <v>60330094606</v>
      </c>
      <c r="I1062">
        <v>57506311943</v>
      </c>
      <c r="J1062">
        <v>40516672558</v>
      </c>
      <c r="K1062">
        <v>31656165614</v>
      </c>
      <c r="L1062">
        <v>26874194164</v>
      </c>
      <c r="M1062">
        <v>28210018185</v>
      </c>
      <c r="N1062">
        <v>29996223462</v>
      </c>
      <c r="O1062">
        <v>22844864063</v>
      </c>
      <c r="P1062">
        <v>368</v>
      </c>
      <c r="Q1062" t="s">
        <v>2383</v>
      </c>
    </row>
    <row r="1063" spans="1:17" x14ac:dyDescent="0.3">
      <c r="A1063" t="s">
        <v>17</v>
      </c>
      <c r="B1063" t="str">
        <f>"601995"</f>
        <v>601995</v>
      </c>
      <c r="C1063" t="s">
        <v>2384</v>
      </c>
      <c r="D1063" t="s">
        <v>80</v>
      </c>
      <c r="P1063">
        <v>986</v>
      </c>
      <c r="Q1063" t="s">
        <v>2385</v>
      </c>
    </row>
    <row r="1064" spans="1:17" x14ac:dyDescent="0.3">
      <c r="A1064" t="s">
        <v>17</v>
      </c>
      <c r="B1064" t="str">
        <f>"601996"</f>
        <v>601996</v>
      </c>
      <c r="C1064" t="s">
        <v>2386</v>
      </c>
      <c r="D1064" t="s">
        <v>178</v>
      </c>
      <c r="F1064">
        <v>1676509092</v>
      </c>
      <c r="G1064">
        <v>1128127267</v>
      </c>
      <c r="H1064">
        <v>1256392628</v>
      </c>
      <c r="I1064">
        <v>1129635850</v>
      </c>
      <c r="J1064">
        <v>1012888342</v>
      </c>
      <c r="K1064">
        <v>911574337</v>
      </c>
      <c r="L1064">
        <v>852675111</v>
      </c>
      <c r="M1064">
        <v>817028848</v>
      </c>
      <c r="N1064">
        <v>598732285</v>
      </c>
      <c r="O1064">
        <v>614041650</v>
      </c>
      <c r="P1064">
        <v>143</v>
      </c>
      <c r="Q1064" t="s">
        <v>2387</v>
      </c>
    </row>
    <row r="1065" spans="1:17" x14ac:dyDescent="0.3">
      <c r="A1065" t="s">
        <v>17</v>
      </c>
      <c r="B1065" t="str">
        <f>"601997"</f>
        <v>601997</v>
      </c>
      <c r="C1065" t="s">
        <v>2388</v>
      </c>
      <c r="D1065" t="s">
        <v>1838</v>
      </c>
      <c r="P1065">
        <v>2050</v>
      </c>
      <c r="Q1065" t="s">
        <v>2389</v>
      </c>
    </row>
    <row r="1066" spans="1:17" x14ac:dyDescent="0.3">
      <c r="A1066" t="s">
        <v>17</v>
      </c>
      <c r="B1066" t="str">
        <f>"601998"</f>
        <v>601998</v>
      </c>
      <c r="C1066" t="s">
        <v>2390</v>
      </c>
      <c r="D1066" t="s">
        <v>19</v>
      </c>
      <c r="P1066">
        <v>1903</v>
      </c>
      <c r="Q1066" t="s">
        <v>2391</v>
      </c>
    </row>
    <row r="1067" spans="1:17" x14ac:dyDescent="0.3">
      <c r="A1067" t="s">
        <v>17</v>
      </c>
      <c r="B1067" t="str">
        <f>"601999"</f>
        <v>601999</v>
      </c>
      <c r="C1067" t="s">
        <v>2392</v>
      </c>
      <c r="D1067" t="s">
        <v>525</v>
      </c>
      <c r="F1067">
        <v>1616036684</v>
      </c>
      <c r="G1067">
        <v>1139399841</v>
      </c>
      <c r="H1067">
        <v>1372250609</v>
      </c>
      <c r="I1067">
        <v>1136537490</v>
      </c>
      <c r="J1067">
        <v>906751790</v>
      </c>
      <c r="K1067">
        <v>927105991</v>
      </c>
      <c r="L1067">
        <v>951368455</v>
      </c>
      <c r="M1067">
        <v>974590407</v>
      </c>
      <c r="N1067">
        <v>744979272</v>
      </c>
      <c r="O1067">
        <v>1030672846</v>
      </c>
      <c r="P1067">
        <v>82</v>
      </c>
      <c r="Q1067" t="s">
        <v>2393</v>
      </c>
    </row>
    <row r="1068" spans="1:17" x14ac:dyDescent="0.3">
      <c r="A1068" t="s">
        <v>17</v>
      </c>
      <c r="B1068" t="str">
        <f>"603000"</f>
        <v>603000</v>
      </c>
      <c r="C1068" t="s">
        <v>2394</v>
      </c>
      <c r="D1068" t="s">
        <v>522</v>
      </c>
      <c r="F1068">
        <v>1377766267</v>
      </c>
      <c r="G1068">
        <v>1233622120</v>
      </c>
      <c r="H1068">
        <v>1574772971</v>
      </c>
      <c r="I1068">
        <v>1113782516</v>
      </c>
      <c r="J1068">
        <v>1032021195</v>
      </c>
      <c r="K1068">
        <v>810422202</v>
      </c>
      <c r="L1068">
        <v>1027329013</v>
      </c>
      <c r="M1068">
        <v>1008578218</v>
      </c>
      <c r="N1068">
        <v>587139738</v>
      </c>
      <c r="O1068">
        <v>311618115</v>
      </c>
      <c r="P1068">
        <v>323</v>
      </c>
      <c r="Q1068" t="s">
        <v>2395</v>
      </c>
    </row>
    <row r="1069" spans="1:17" x14ac:dyDescent="0.3">
      <c r="A1069" t="s">
        <v>17</v>
      </c>
      <c r="B1069" t="str">
        <f>"603001"</f>
        <v>603001</v>
      </c>
      <c r="C1069" t="s">
        <v>2396</v>
      </c>
      <c r="D1069" t="s">
        <v>330</v>
      </c>
      <c r="F1069">
        <v>1924452109</v>
      </c>
      <c r="G1069">
        <v>1681077149</v>
      </c>
      <c r="H1069">
        <v>2094601793</v>
      </c>
      <c r="I1069">
        <v>2414896070</v>
      </c>
      <c r="J1069">
        <v>2497309500</v>
      </c>
      <c r="K1069">
        <v>2616257669</v>
      </c>
      <c r="L1069">
        <v>2667855005</v>
      </c>
      <c r="M1069">
        <v>2279625298</v>
      </c>
      <c r="N1069">
        <v>2559493208</v>
      </c>
      <c r="O1069">
        <v>2373986437</v>
      </c>
      <c r="P1069">
        <v>148</v>
      </c>
      <c r="Q1069" t="s">
        <v>2397</v>
      </c>
    </row>
    <row r="1070" spans="1:17" x14ac:dyDescent="0.3">
      <c r="A1070" t="s">
        <v>17</v>
      </c>
      <c r="B1070" t="str">
        <f>"603002"</f>
        <v>603002</v>
      </c>
      <c r="C1070" t="s">
        <v>2398</v>
      </c>
      <c r="D1070" t="s">
        <v>2399</v>
      </c>
      <c r="F1070">
        <v>2875569453</v>
      </c>
      <c r="G1070">
        <v>1312553357</v>
      </c>
      <c r="H1070">
        <v>1383380838</v>
      </c>
      <c r="I1070">
        <v>1388802734</v>
      </c>
      <c r="J1070">
        <v>844828380</v>
      </c>
      <c r="K1070">
        <v>807213193</v>
      </c>
      <c r="L1070">
        <v>893206577</v>
      </c>
      <c r="M1070">
        <v>953211014</v>
      </c>
      <c r="N1070">
        <v>950169083</v>
      </c>
      <c r="O1070">
        <v>1128875494</v>
      </c>
      <c r="P1070">
        <v>117</v>
      </c>
      <c r="Q1070" t="s">
        <v>2400</v>
      </c>
    </row>
    <row r="1071" spans="1:17" x14ac:dyDescent="0.3">
      <c r="A1071" t="s">
        <v>17</v>
      </c>
      <c r="B1071" t="str">
        <f>"603003"</f>
        <v>603003</v>
      </c>
      <c r="C1071" t="s">
        <v>2401</v>
      </c>
      <c r="D1071" t="s">
        <v>316</v>
      </c>
      <c r="F1071">
        <v>5582120113</v>
      </c>
      <c r="G1071">
        <v>8723327274</v>
      </c>
      <c r="H1071">
        <v>16398203029</v>
      </c>
      <c r="I1071">
        <v>17387149530</v>
      </c>
      <c r="J1071">
        <v>16154059761</v>
      </c>
      <c r="K1071">
        <v>12989651581</v>
      </c>
      <c r="L1071">
        <v>8016455762</v>
      </c>
      <c r="M1071">
        <v>3427936070</v>
      </c>
      <c r="N1071">
        <v>3404842434</v>
      </c>
      <c r="O1071">
        <v>5803746486</v>
      </c>
      <c r="P1071">
        <v>88</v>
      </c>
      <c r="Q1071" t="s">
        <v>2402</v>
      </c>
    </row>
    <row r="1072" spans="1:17" x14ac:dyDescent="0.3">
      <c r="A1072" t="s">
        <v>17</v>
      </c>
      <c r="B1072" t="str">
        <f>"603005"</f>
        <v>603005</v>
      </c>
      <c r="C1072" t="s">
        <v>2403</v>
      </c>
      <c r="D1072" t="s">
        <v>1180</v>
      </c>
      <c r="F1072">
        <v>1125306500</v>
      </c>
      <c r="G1072">
        <v>761818978</v>
      </c>
      <c r="H1072">
        <v>346080946</v>
      </c>
      <c r="I1072">
        <v>460364534</v>
      </c>
      <c r="J1072">
        <v>476966299</v>
      </c>
      <c r="K1072">
        <v>352498540</v>
      </c>
      <c r="L1072">
        <v>483689205</v>
      </c>
      <c r="M1072">
        <v>412376297</v>
      </c>
      <c r="P1072">
        <v>3661</v>
      </c>
      <c r="Q1072" t="s">
        <v>2404</v>
      </c>
    </row>
    <row r="1073" spans="1:17" x14ac:dyDescent="0.3">
      <c r="A1073" t="s">
        <v>17</v>
      </c>
      <c r="B1073" t="str">
        <f>"603006"</f>
        <v>603006</v>
      </c>
      <c r="C1073" t="s">
        <v>2405</v>
      </c>
      <c r="D1073" t="s">
        <v>985</v>
      </c>
      <c r="F1073">
        <v>788592951</v>
      </c>
      <c r="G1073">
        <v>514708349</v>
      </c>
      <c r="H1073">
        <v>516043299</v>
      </c>
      <c r="I1073">
        <v>656340329</v>
      </c>
      <c r="J1073">
        <v>613233678</v>
      </c>
      <c r="K1073">
        <v>674832650</v>
      </c>
      <c r="L1073">
        <v>418782740</v>
      </c>
      <c r="M1073">
        <v>410082481</v>
      </c>
      <c r="N1073">
        <v>318810209</v>
      </c>
      <c r="P1073">
        <v>106</v>
      </c>
      <c r="Q1073" t="s">
        <v>2406</v>
      </c>
    </row>
    <row r="1074" spans="1:17" x14ac:dyDescent="0.3">
      <c r="A1074" t="s">
        <v>17</v>
      </c>
      <c r="B1074" t="str">
        <f>"603007"</f>
        <v>603007</v>
      </c>
      <c r="C1074" t="s">
        <v>2407</v>
      </c>
      <c r="D1074" t="s">
        <v>2408</v>
      </c>
      <c r="F1074">
        <v>567382285</v>
      </c>
      <c r="G1074">
        <v>488762254</v>
      </c>
      <c r="H1074">
        <v>686880204</v>
      </c>
      <c r="I1074">
        <v>488342199</v>
      </c>
      <c r="J1074">
        <v>237686471</v>
      </c>
      <c r="K1074">
        <v>162641814</v>
      </c>
      <c r="L1074">
        <v>283363760</v>
      </c>
      <c r="P1074">
        <v>81</v>
      </c>
      <c r="Q1074" t="s">
        <v>2409</v>
      </c>
    </row>
    <row r="1075" spans="1:17" x14ac:dyDescent="0.3">
      <c r="A1075" t="s">
        <v>17</v>
      </c>
      <c r="B1075" t="str">
        <f>"603008"</f>
        <v>603008</v>
      </c>
      <c r="C1075" t="s">
        <v>2410</v>
      </c>
      <c r="D1075" t="s">
        <v>757</v>
      </c>
      <c r="F1075">
        <v>5538632707</v>
      </c>
      <c r="G1075">
        <v>3480762807</v>
      </c>
      <c r="H1075">
        <v>3434999773</v>
      </c>
      <c r="I1075">
        <v>3094428852</v>
      </c>
      <c r="J1075">
        <v>2005710054</v>
      </c>
      <c r="K1075">
        <v>1430753560</v>
      </c>
      <c r="L1075">
        <v>1137721845</v>
      </c>
      <c r="M1075">
        <v>839454676</v>
      </c>
      <c r="N1075">
        <v>699669983</v>
      </c>
      <c r="O1075">
        <v>669882060</v>
      </c>
      <c r="P1075">
        <v>300</v>
      </c>
      <c r="Q1075" t="s">
        <v>2411</v>
      </c>
    </row>
    <row r="1076" spans="1:17" x14ac:dyDescent="0.3">
      <c r="A1076" t="s">
        <v>17</v>
      </c>
      <c r="B1076" t="str">
        <f>"603009"</f>
        <v>603009</v>
      </c>
      <c r="C1076" t="s">
        <v>2412</v>
      </c>
      <c r="D1076" t="s">
        <v>348</v>
      </c>
      <c r="F1076">
        <v>1033750952</v>
      </c>
      <c r="G1076">
        <v>739322965</v>
      </c>
      <c r="H1076">
        <v>802953181</v>
      </c>
      <c r="I1076">
        <v>955337929</v>
      </c>
      <c r="J1076">
        <v>650558709</v>
      </c>
      <c r="K1076">
        <v>657721021</v>
      </c>
      <c r="L1076">
        <v>576572267</v>
      </c>
      <c r="M1076">
        <v>532276334</v>
      </c>
      <c r="N1076">
        <v>457955811</v>
      </c>
      <c r="P1076">
        <v>84</v>
      </c>
      <c r="Q1076" t="s">
        <v>2413</v>
      </c>
    </row>
    <row r="1077" spans="1:17" x14ac:dyDescent="0.3">
      <c r="A1077" t="s">
        <v>17</v>
      </c>
      <c r="B1077" t="str">
        <f>"603010"</f>
        <v>603010</v>
      </c>
      <c r="C1077" t="s">
        <v>2414</v>
      </c>
      <c r="D1077" t="s">
        <v>1192</v>
      </c>
      <c r="F1077">
        <v>2543653580</v>
      </c>
      <c r="G1077">
        <v>1134314302</v>
      </c>
      <c r="H1077">
        <v>1226454106</v>
      </c>
      <c r="I1077">
        <v>960511234</v>
      </c>
      <c r="J1077">
        <v>1056086139</v>
      </c>
      <c r="K1077">
        <v>801268597</v>
      </c>
      <c r="L1077">
        <v>505202823</v>
      </c>
      <c r="M1077">
        <v>452052906</v>
      </c>
      <c r="N1077">
        <v>379317444</v>
      </c>
      <c r="P1077">
        <v>279</v>
      </c>
      <c r="Q1077" t="s">
        <v>2415</v>
      </c>
    </row>
    <row r="1078" spans="1:17" x14ac:dyDescent="0.3">
      <c r="A1078" t="s">
        <v>17</v>
      </c>
      <c r="B1078" t="str">
        <f>"603011"</f>
        <v>603011</v>
      </c>
      <c r="C1078" t="s">
        <v>2416</v>
      </c>
      <c r="D1078" t="s">
        <v>741</v>
      </c>
      <c r="F1078">
        <v>881676233</v>
      </c>
      <c r="G1078">
        <v>677834044</v>
      </c>
      <c r="H1078">
        <v>561815866</v>
      </c>
      <c r="I1078">
        <v>549308068</v>
      </c>
      <c r="J1078">
        <v>533622259</v>
      </c>
      <c r="K1078">
        <v>533482443</v>
      </c>
      <c r="L1078">
        <v>413707456</v>
      </c>
      <c r="M1078">
        <v>421608113</v>
      </c>
      <c r="N1078">
        <v>283121564</v>
      </c>
      <c r="P1078">
        <v>82</v>
      </c>
      <c r="Q1078" t="s">
        <v>2417</v>
      </c>
    </row>
    <row r="1079" spans="1:17" x14ac:dyDescent="0.3">
      <c r="A1079" t="s">
        <v>17</v>
      </c>
      <c r="B1079" t="str">
        <f>"603012"</f>
        <v>603012</v>
      </c>
      <c r="C1079" t="s">
        <v>2418</v>
      </c>
      <c r="D1079" t="s">
        <v>395</v>
      </c>
      <c r="F1079">
        <v>1728395618</v>
      </c>
      <c r="G1079">
        <v>1324328822</v>
      </c>
      <c r="H1079">
        <v>1521451455</v>
      </c>
      <c r="I1079">
        <v>742262049</v>
      </c>
      <c r="J1079">
        <v>662348896</v>
      </c>
      <c r="K1079">
        <v>453763316</v>
      </c>
      <c r="L1079">
        <v>328329502</v>
      </c>
      <c r="M1079">
        <v>688851217</v>
      </c>
      <c r="P1079">
        <v>135</v>
      </c>
      <c r="Q1079" t="s">
        <v>2419</v>
      </c>
    </row>
    <row r="1080" spans="1:17" x14ac:dyDescent="0.3">
      <c r="A1080" t="s">
        <v>17</v>
      </c>
      <c r="B1080" t="str">
        <f>"603013"</f>
        <v>603013</v>
      </c>
      <c r="C1080" t="s">
        <v>2420</v>
      </c>
      <c r="D1080" t="s">
        <v>348</v>
      </c>
      <c r="F1080">
        <v>5347257204</v>
      </c>
      <c r="G1080">
        <v>6030527376</v>
      </c>
      <c r="H1080">
        <v>5320130271</v>
      </c>
      <c r="I1080">
        <v>5290728334</v>
      </c>
      <c r="J1080">
        <v>4788833590</v>
      </c>
      <c r="P1080">
        <v>236</v>
      </c>
      <c r="Q1080" t="s">
        <v>2421</v>
      </c>
    </row>
    <row r="1081" spans="1:17" x14ac:dyDescent="0.3">
      <c r="A1081" t="s">
        <v>17</v>
      </c>
      <c r="B1081" t="str">
        <f>"603015"</f>
        <v>603015</v>
      </c>
      <c r="C1081" t="s">
        <v>2422</v>
      </c>
      <c r="D1081" t="s">
        <v>2423</v>
      </c>
      <c r="F1081">
        <v>608029653</v>
      </c>
      <c r="G1081">
        <v>417359293</v>
      </c>
      <c r="H1081">
        <v>470050963</v>
      </c>
      <c r="I1081">
        <v>619515811</v>
      </c>
      <c r="J1081">
        <v>449178293</v>
      </c>
      <c r="K1081">
        <v>326206349</v>
      </c>
      <c r="L1081">
        <v>284330633</v>
      </c>
      <c r="M1081">
        <v>303779384</v>
      </c>
      <c r="P1081">
        <v>91</v>
      </c>
      <c r="Q1081" t="s">
        <v>2424</v>
      </c>
    </row>
    <row r="1082" spans="1:17" x14ac:dyDescent="0.3">
      <c r="A1082" t="s">
        <v>17</v>
      </c>
      <c r="B1082" t="str">
        <f>"603016"</f>
        <v>603016</v>
      </c>
      <c r="C1082" t="s">
        <v>2425</v>
      </c>
      <c r="D1082" t="s">
        <v>657</v>
      </c>
      <c r="F1082">
        <v>319261386</v>
      </c>
      <c r="G1082">
        <v>282110777</v>
      </c>
      <c r="H1082">
        <v>287526242</v>
      </c>
      <c r="I1082">
        <v>250353701</v>
      </c>
      <c r="J1082">
        <v>260129466</v>
      </c>
      <c r="K1082">
        <v>266971897</v>
      </c>
      <c r="L1082">
        <v>276248410</v>
      </c>
      <c r="P1082">
        <v>93</v>
      </c>
      <c r="Q1082" t="s">
        <v>2426</v>
      </c>
    </row>
    <row r="1083" spans="1:17" x14ac:dyDescent="0.3">
      <c r="A1083" t="s">
        <v>17</v>
      </c>
      <c r="B1083" t="str">
        <f>"603017"</f>
        <v>603017</v>
      </c>
      <c r="C1083" t="s">
        <v>2427</v>
      </c>
      <c r="D1083" t="s">
        <v>1272</v>
      </c>
      <c r="F1083">
        <v>1204641500</v>
      </c>
      <c r="G1083">
        <v>1187150126</v>
      </c>
      <c r="H1083">
        <v>1376387905</v>
      </c>
      <c r="I1083">
        <v>1046178223</v>
      </c>
      <c r="J1083">
        <v>848046638</v>
      </c>
      <c r="K1083">
        <v>534967673</v>
      </c>
      <c r="L1083">
        <v>345616152</v>
      </c>
      <c r="M1083">
        <v>413158648</v>
      </c>
      <c r="N1083">
        <v>231499909</v>
      </c>
      <c r="P1083">
        <v>121</v>
      </c>
      <c r="Q1083" t="s">
        <v>2428</v>
      </c>
    </row>
    <row r="1084" spans="1:17" x14ac:dyDescent="0.3">
      <c r="A1084" t="s">
        <v>17</v>
      </c>
      <c r="B1084" t="str">
        <f>"603018"</f>
        <v>603018</v>
      </c>
      <c r="C1084" t="s">
        <v>2429</v>
      </c>
      <c r="D1084" t="s">
        <v>1272</v>
      </c>
      <c r="F1084">
        <v>2969916599</v>
      </c>
      <c r="G1084">
        <v>2497017656</v>
      </c>
      <c r="H1084">
        <v>2261911263</v>
      </c>
      <c r="I1084">
        <v>2037140877</v>
      </c>
      <c r="J1084">
        <v>1391631916</v>
      </c>
      <c r="K1084">
        <v>1153076239</v>
      </c>
      <c r="L1084">
        <v>788536890</v>
      </c>
      <c r="M1084">
        <v>750160894</v>
      </c>
      <c r="N1084">
        <v>616339176</v>
      </c>
      <c r="P1084">
        <v>400</v>
      </c>
      <c r="Q1084" t="s">
        <v>2430</v>
      </c>
    </row>
    <row r="1085" spans="1:17" x14ac:dyDescent="0.3">
      <c r="A1085" t="s">
        <v>17</v>
      </c>
      <c r="B1085" t="str">
        <f>"603019"</f>
        <v>603019</v>
      </c>
      <c r="C1085" t="s">
        <v>2431</v>
      </c>
      <c r="D1085" t="s">
        <v>236</v>
      </c>
      <c r="F1085">
        <v>7465654218</v>
      </c>
      <c r="G1085">
        <v>7306415144</v>
      </c>
      <c r="H1085">
        <v>9029633320</v>
      </c>
      <c r="I1085">
        <v>6046190550</v>
      </c>
      <c r="J1085">
        <v>3896719347</v>
      </c>
      <c r="K1085">
        <v>2949301921</v>
      </c>
      <c r="L1085">
        <v>2663081213</v>
      </c>
      <c r="M1085">
        <v>1782063375</v>
      </c>
      <c r="N1085">
        <v>1412787786</v>
      </c>
      <c r="P1085">
        <v>1206</v>
      </c>
      <c r="Q1085" t="s">
        <v>2432</v>
      </c>
    </row>
    <row r="1086" spans="1:17" x14ac:dyDescent="0.3">
      <c r="A1086" t="s">
        <v>17</v>
      </c>
      <c r="B1086" t="str">
        <f>"603020"</f>
        <v>603020</v>
      </c>
      <c r="C1086" t="s">
        <v>2433</v>
      </c>
      <c r="D1086" t="s">
        <v>677</v>
      </c>
      <c r="F1086">
        <v>2794756378</v>
      </c>
      <c r="G1086">
        <v>2133168467</v>
      </c>
      <c r="H1086">
        <v>2097033328</v>
      </c>
      <c r="I1086">
        <v>2102204238</v>
      </c>
      <c r="J1086">
        <v>1939395900</v>
      </c>
      <c r="K1086">
        <v>1927505974</v>
      </c>
      <c r="L1086">
        <v>1573560939</v>
      </c>
      <c r="M1086">
        <v>1445167373</v>
      </c>
      <c r="P1086">
        <v>195</v>
      </c>
      <c r="Q1086" t="s">
        <v>2434</v>
      </c>
    </row>
    <row r="1087" spans="1:17" x14ac:dyDescent="0.3">
      <c r="A1087" t="s">
        <v>17</v>
      </c>
      <c r="B1087" t="str">
        <f>"603021"</f>
        <v>603021</v>
      </c>
      <c r="C1087" t="s">
        <v>2435</v>
      </c>
      <c r="D1087" t="s">
        <v>2436</v>
      </c>
      <c r="F1087">
        <v>457583586</v>
      </c>
      <c r="G1087">
        <v>449009549</v>
      </c>
      <c r="H1087">
        <v>443205394</v>
      </c>
      <c r="I1087">
        <v>484470694</v>
      </c>
      <c r="J1087">
        <v>400888736</v>
      </c>
      <c r="K1087">
        <v>319081350</v>
      </c>
      <c r="L1087">
        <v>405758910</v>
      </c>
      <c r="M1087">
        <v>386774315</v>
      </c>
      <c r="P1087">
        <v>59</v>
      </c>
      <c r="Q1087" t="s">
        <v>2437</v>
      </c>
    </row>
    <row r="1088" spans="1:17" x14ac:dyDescent="0.3">
      <c r="A1088" t="s">
        <v>17</v>
      </c>
      <c r="B1088" t="str">
        <f>"603022"</f>
        <v>603022</v>
      </c>
      <c r="C1088" t="s">
        <v>2438</v>
      </c>
      <c r="D1088" t="s">
        <v>2439</v>
      </c>
      <c r="F1088">
        <v>584284273</v>
      </c>
      <c r="G1088">
        <v>503940238</v>
      </c>
      <c r="H1088">
        <v>555010161</v>
      </c>
      <c r="I1088">
        <v>559693230</v>
      </c>
      <c r="J1088">
        <v>456131697</v>
      </c>
      <c r="K1088">
        <v>403435014</v>
      </c>
      <c r="L1088">
        <v>432628069</v>
      </c>
      <c r="M1088">
        <v>402723104</v>
      </c>
      <c r="P1088">
        <v>51</v>
      </c>
      <c r="Q1088" t="s">
        <v>2440</v>
      </c>
    </row>
    <row r="1089" spans="1:17" x14ac:dyDescent="0.3">
      <c r="A1089" t="s">
        <v>17</v>
      </c>
      <c r="B1089" t="str">
        <f>"603023"</f>
        <v>603023</v>
      </c>
      <c r="C1089" t="s">
        <v>2441</v>
      </c>
      <c r="D1089" t="s">
        <v>1415</v>
      </c>
      <c r="F1089">
        <v>67735311</v>
      </c>
      <c r="G1089">
        <v>88491980</v>
      </c>
      <c r="H1089">
        <v>94234430</v>
      </c>
      <c r="I1089">
        <v>126819348</v>
      </c>
      <c r="J1089">
        <v>128421051</v>
      </c>
      <c r="K1089">
        <v>166478136</v>
      </c>
      <c r="L1089">
        <v>131143378</v>
      </c>
      <c r="M1089">
        <v>171366002</v>
      </c>
      <c r="P1089">
        <v>150</v>
      </c>
      <c r="Q1089" t="s">
        <v>2442</v>
      </c>
    </row>
    <row r="1090" spans="1:17" x14ac:dyDescent="0.3">
      <c r="A1090" t="s">
        <v>17</v>
      </c>
      <c r="B1090" t="str">
        <f>"603025"</f>
        <v>603025</v>
      </c>
      <c r="C1090" t="s">
        <v>2443</v>
      </c>
      <c r="D1090" t="s">
        <v>2423</v>
      </c>
      <c r="F1090">
        <v>834276972</v>
      </c>
      <c r="G1090">
        <v>390347679</v>
      </c>
      <c r="H1090">
        <v>630567856</v>
      </c>
      <c r="I1090">
        <v>814894693</v>
      </c>
      <c r="J1090">
        <v>593195717</v>
      </c>
      <c r="K1090">
        <v>471420801</v>
      </c>
      <c r="L1090">
        <v>427101067</v>
      </c>
      <c r="M1090">
        <v>591623931</v>
      </c>
      <c r="P1090">
        <v>434</v>
      </c>
      <c r="Q1090" t="s">
        <v>2444</v>
      </c>
    </row>
    <row r="1091" spans="1:17" x14ac:dyDescent="0.3">
      <c r="A1091" t="s">
        <v>17</v>
      </c>
      <c r="B1091" t="str">
        <f>"603026"</f>
        <v>603026</v>
      </c>
      <c r="C1091" t="s">
        <v>2445</v>
      </c>
      <c r="D1091" t="s">
        <v>1786</v>
      </c>
      <c r="F1091">
        <v>3783359857</v>
      </c>
      <c r="G1091">
        <v>2372813838</v>
      </c>
      <c r="H1091">
        <v>2693463746</v>
      </c>
      <c r="I1091">
        <v>3217644660</v>
      </c>
      <c r="J1091">
        <v>3088039278</v>
      </c>
      <c r="K1091">
        <v>3134582974</v>
      </c>
      <c r="L1091">
        <v>2864841072</v>
      </c>
      <c r="M1091">
        <v>4827387373</v>
      </c>
      <c r="P1091">
        <v>420</v>
      </c>
      <c r="Q1091" t="s">
        <v>2446</v>
      </c>
    </row>
    <row r="1092" spans="1:17" x14ac:dyDescent="0.3">
      <c r="A1092" t="s">
        <v>17</v>
      </c>
      <c r="B1092" t="str">
        <f>"603027"</f>
        <v>603027</v>
      </c>
      <c r="C1092" t="s">
        <v>2447</v>
      </c>
      <c r="D1092" t="s">
        <v>433</v>
      </c>
      <c r="F1092">
        <v>1518233974</v>
      </c>
      <c r="G1092">
        <v>1391754069</v>
      </c>
      <c r="H1092">
        <v>1043321730</v>
      </c>
      <c r="I1092">
        <v>866921099</v>
      </c>
      <c r="J1092">
        <v>784605487</v>
      </c>
      <c r="K1092">
        <v>617725824</v>
      </c>
      <c r="L1092">
        <v>537399248</v>
      </c>
      <c r="P1092">
        <v>1883</v>
      </c>
      <c r="Q1092" t="s">
        <v>2448</v>
      </c>
    </row>
    <row r="1093" spans="1:17" x14ac:dyDescent="0.3">
      <c r="A1093" t="s">
        <v>17</v>
      </c>
      <c r="B1093" t="str">
        <f>"603028"</f>
        <v>603028</v>
      </c>
      <c r="C1093" t="s">
        <v>2449</v>
      </c>
      <c r="D1093" t="s">
        <v>274</v>
      </c>
      <c r="F1093">
        <v>565035461</v>
      </c>
      <c r="G1093">
        <v>534266906</v>
      </c>
      <c r="H1093">
        <v>505308985</v>
      </c>
      <c r="I1093">
        <v>519780468</v>
      </c>
      <c r="J1093">
        <v>469547435</v>
      </c>
      <c r="K1093">
        <v>423382565</v>
      </c>
      <c r="L1093">
        <v>478896036</v>
      </c>
      <c r="P1093">
        <v>52</v>
      </c>
      <c r="Q1093" t="s">
        <v>2450</v>
      </c>
    </row>
    <row r="1094" spans="1:17" x14ac:dyDescent="0.3">
      <c r="A1094" t="s">
        <v>17</v>
      </c>
      <c r="B1094" t="str">
        <f>"603029"</f>
        <v>603029</v>
      </c>
      <c r="C1094" t="s">
        <v>2451</v>
      </c>
      <c r="D1094" t="s">
        <v>741</v>
      </c>
      <c r="F1094">
        <v>456084675</v>
      </c>
      <c r="G1094">
        <v>376412975</v>
      </c>
      <c r="H1094">
        <v>316557672</v>
      </c>
      <c r="I1094">
        <v>152688512</v>
      </c>
      <c r="J1094">
        <v>111334721</v>
      </c>
      <c r="K1094">
        <v>122398751</v>
      </c>
      <c r="L1094">
        <v>146767182</v>
      </c>
      <c r="P1094">
        <v>62</v>
      </c>
      <c r="Q1094" t="s">
        <v>2452</v>
      </c>
    </row>
    <row r="1095" spans="1:17" x14ac:dyDescent="0.3">
      <c r="A1095" t="s">
        <v>17</v>
      </c>
      <c r="B1095" t="str">
        <f>"603030"</f>
        <v>603030</v>
      </c>
      <c r="C1095" t="s">
        <v>2453</v>
      </c>
      <c r="D1095" t="s">
        <v>450</v>
      </c>
      <c r="F1095">
        <v>3232167417</v>
      </c>
      <c r="G1095">
        <v>3214664365</v>
      </c>
      <c r="H1095">
        <v>3647460230</v>
      </c>
      <c r="I1095">
        <v>3665191409</v>
      </c>
      <c r="J1095">
        <v>2805600810</v>
      </c>
      <c r="K1095">
        <v>1082202722</v>
      </c>
      <c r="L1095">
        <v>858609692</v>
      </c>
      <c r="M1095">
        <v>933499624</v>
      </c>
      <c r="P1095">
        <v>126</v>
      </c>
      <c r="Q1095" t="s">
        <v>2454</v>
      </c>
    </row>
    <row r="1096" spans="1:17" x14ac:dyDescent="0.3">
      <c r="A1096" t="s">
        <v>17</v>
      </c>
      <c r="B1096" t="str">
        <f>"603031"</f>
        <v>603031</v>
      </c>
      <c r="C1096" t="s">
        <v>2455</v>
      </c>
      <c r="D1096" t="s">
        <v>798</v>
      </c>
      <c r="F1096">
        <v>1619952892</v>
      </c>
      <c r="G1096">
        <v>1639813357</v>
      </c>
      <c r="H1096">
        <v>1637179831</v>
      </c>
      <c r="I1096">
        <v>1565507202</v>
      </c>
      <c r="J1096">
        <v>1456846298</v>
      </c>
      <c r="K1096">
        <v>1267805267</v>
      </c>
      <c r="L1096">
        <v>1235135565</v>
      </c>
      <c r="P1096">
        <v>70</v>
      </c>
      <c r="Q1096" t="s">
        <v>2456</v>
      </c>
    </row>
    <row r="1097" spans="1:17" x14ac:dyDescent="0.3">
      <c r="A1097" t="s">
        <v>17</v>
      </c>
      <c r="B1097" t="str">
        <f>"603032"</f>
        <v>603032</v>
      </c>
      <c r="C1097" t="s">
        <v>2457</v>
      </c>
      <c r="D1097" t="s">
        <v>1133</v>
      </c>
      <c r="F1097">
        <v>155953259</v>
      </c>
      <c r="G1097">
        <v>33559876</v>
      </c>
      <c r="H1097">
        <v>72732575</v>
      </c>
      <c r="I1097">
        <v>103361222</v>
      </c>
      <c r="J1097">
        <v>151939644</v>
      </c>
      <c r="K1097">
        <v>196087471</v>
      </c>
      <c r="L1097">
        <v>246787934</v>
      </c>
      <c r="P1097">
        <v>73</v>
      </c>
      <c r="Q1097" t="s">
        <v>2458</v>
      </c>
    </row>
    <row r="1098" spans="1:17" x14ac:dyDescent="0.3">
      <c r="A1098" t="s">
        <v>17</v>
      </c>
      <c r="B1098" t="str">
        <f>"603033"</f>
        <v>603033</v>
      </c>
      <c r="C1098" t="s">
        <v>2459</v>
      </c>
      <c r="D1098" t="s">
        <v>2460</v>
      </c>
      <c r="F1098">
        <v>1919713862</v>
      </c>
      <c r="G1098">
        <v>1008102760</v>
      </c>
      <c r="H1098">
        <v>893855949</v>
      </c>
      <c r="I1098">
        <v>536008005</v>
      </c>
      <c r="J1098">
        <v>419737590</v>
      </c>
      <c r="K1098">
        <v>542453039</v>
      </c>
      <c r="P1098">
        <v>99</v>
      </c>
      <c r="Q1098" t="s">
        <v>2461</v>
      </c>
    </row>
    <row r="1099" spans="1:17" x14ac:dyDescent="0.3">
      <c r="A1099" t="s">
        <v>17</v>
      </c>
      <c r="B1099" t="str">
        <f>"603035"</f>
        <v>603035</v>
      </c>
      <c r="C1099" t="s">
        <v>2462</v>
      </c>
      <c r="D1099" t="s">
        <v>191</v>
      </c>
      <c r="F1099">
        <v>1969662843</v>
      </c>
      <c r="G1099">
        <v>1459214206</v>
      </c>
      <c r="H1099">
        <v>1279696210</v>
      </c>
      <c r="I1099">
        <v>1174856820</v>
      </c>
      <c r="J1099">
        <v>1006193860</v>
      </c>
      <c r="K1099">
        <v>923402010</v>
      </c>
      <c r="L1099">
        <v>0</v>
      </c>
      <c r="P1099">
        <v>244</v>
      </c>
      <c r="Q1099" t="s">
        <v>2463</v>
      </c>
    </row>
    <row r="1100" spans="1:17" x14ac:dyDescent="0.3">
      <c r="A1100" t="s">
        <v>17</v>
      </c>
      <c r="B1100" t="str">
        <f>"603036"</f>
        <v>603036</v>
      </c>
      <c r="C1100" t="s">
        <v>2464</v>
      </c>
      <c r="D1100" t="s">
        <v>395</v>
      </c>
      <c r="F1100">
        <v>219867931</v>
      </c>
      <c r="G1100">
        <v>169071246</v>
      </c>
      <c r="H1100">
        <v>207231657</v>
      </c>
      <c r="I1100">
        <v>151343260</v>
      </c>
      <c r="J1100">
        <v>138041176</v>
      </c>
      <c r="K1100">
        <v>162690470</v>
      </c>
      <c r="P1100">
        <v>61</v>
      </c>
      <c r="Q1100" t="s">
        <v>2465</v>
      </c>
    </row>
    <row r="1101" spans="1:17" x14ac:dyDescent="0.3">
      <c r="A1101" t="s">
        <v>17</v>
      </c>
      <c r="B1101" t="str">
        <f>"603037"</f>
        <v>603037</v>
      </c>
      <c r="C1101" t="s">
        <v>2466</v>
      </c>
      <c r="D1101" t="s">
        <v>348</v>
      </c>
      <c r="F1101">
        <v>335269769</v>
      </c>
      <c r="G1101">
        <v>394195862</v>
      </c>
      <c r="H1101">
        <v>430291568</v>
      </c>
      <c r="I1101">
        <v>462617505</v>
      </c>
      <c r="J1101">
        <v>343452730</v>
      </c>
      <c r="K1101">
        <v>222137165</v>
      </c>
      <c r="P1101">
        <v>230</v>
      </c>
      <c r="Q1101" t="s">
        <v>2467</v>
      </c>
    </row>
    <row r="1102" spans="1:17" x14ac:dyDescent="0.3">
      <c r="A1102" t="s">
        <v>17</v>
      </c>
      <c r="B1102" t="str">
        <f>"603038"</f>
        <v>603038</v>
      </c>
      <c r="C1102" t="s">
        <v>2468</v>
      </c>
      <c r="D1102" t="s">
        <v>722</v>
      </c>
      <c r="F1102">
        <v>619606927</v>
      </c>
      <c r="G1102">
        <v>631765025</v>
      </c>
      <c r="H1102">
        <v>613184329</v>
      </c>
      <c r="I1102">
        <v>510074320</v>
      </c>
      <c r="J1102">
        <v>474662985</v>
      </c>
      <c r="K1102">
        <v>506387781</v>
      </c>
      <c r="L1102">
        <v>372796373</v>
      </c>
      <c r="P1102">
        <v>70</v>
      </c>
      <c r="Q1102" t="s">
        <v>2469</v>
      </c>
    </row>
    <row r="1103" spans="1:17" x14ac:dyDescent="0.3">
      <c r="A1103" t="s">
        <v>17</v>
      </c>
      <c r="B1103" t="str">
        <f>"603039"</f>
        <v>603039</v>
      </c>
      <c r="C1103" t="s">
        <v>2470</v>
      </c>
      <c r="D1103" t="s">
        <v>1189</v>
      </c>
      <c r="F1103">
        <v>1402997919</v>
      </c>
      <c r="G1103">
        <v>1000274169</v>
      </c>
      <c r="H1103">
        <v>888284779</v>
      </c>
      <c r="I1103">
        <v>744999212</v>
      </c>
      <c r="J1103">
        <v>546439482</v>
      </c>
      <c r="K1103">
        <v>360940231</v>
      </c>
      <c r="L1103">
        <v>252433187</v>
      </c>
      <c r="P1103">
        <v>609</v>
      </c>
      <c r="Q1103" t="s">
        <v>2471</v>
      </c>
    </row>
    <row r="1104" spans="1:17" x14ac:dyDescent="0.3">
      <c r="A1104" t="s">
        <v>17</v>
      </c>
      <c r="B1104" t="str">
        <f>"603040"</f>
        <v>603040</v>
      </c>
      <c r="C1104" t="s">
        <v>2472</v>
      </c>
      <c r="D1104" t="s">
        <v>348</v>
      </c>
      <c r="F1104">
        <v>351678049</v>
      </c>
      <c r="G1104">
        <v>252047032</v>
      </c>
      <c r="H1104">
        <v>233245644</v>
      </c>
      <c r="I1104">
        <v>223547136</v>
      </c>
      <c r="J1104">
        <v>184362592</v>
      </c>
      <c r="K1104">
        <v>104507803</v>
      </c>
      <c r="L1104">
        <v>94019778</v>
      </c>
      <c r="P1104">
        <v>619</v>
      </c>
      <c r="Q1104" t="s">
        <v>2473</v>
      </c>
    </row>
    <row r="1105" spans="1:17" x14ac:dyDescent="0.3">
      <c r="A1105" t="s">
        <v>17</v>
      </c>
      <c r="B1105" t="str">
        <f>"603041"</f>
        <v>603041</v>
      </c>
      <c r="C1105" t="s">
        <v>2474</v>
      </c>
      <c r="D1105" t="s">
        <v>528</v>
      </c>
      <c r="F1105">
        <v>272417316</v>
      </c>
      <c r="G1105">
        <v>204078648</v>
      </c>
      <c r="H1105">
        <v>219196546</v>
      </c>
      <c r="I1105">
        <v>195606473</v>
      </c>
      <c r="J1105">
        <v>150265008</v>
      </c>
      <c r="K1105">
        <v>162921183</v>
      </c>
      <c r="P1105">
        <v>98</v>
      </c>
      <c r="Q1105" t="s">
        <v>2475</v>
      </c>
    </row>
    <row r="1106" spans="1:17" x14ac:dyDescent="0.3">
      <c r="A1106" t="s">
        <v>17</v>
      </c>
      <c r="B1106" t="str">
        <f>"603042"</f>
        <v>603042</v>
      </c>
      <c r="C1106" t="s">
        <v>2476</v>
      </c>
      <c r="D1106" t="s">
        <v>250</v>
      </c>
      <c r="F1106">
        <v>714558572</v>
      </c>
      <c r="G1106">
        <v>833251096</v>
      </c>
      <c r="H1106">
        <v>1024637839</v>
      </c>
      <c r="I1106">
        <v>828357501</v>
      </c>
      <c r="J1106">
        <v>710832412</v>
      </c>
      <c r="K1106">
        <v>743684104</v>
      </c>
      <c r="P1106">
        <v>122</v>
      </c>
      <c r="Q1106" t="s">
        <v>2477</v>
      </c>
    </row>
    <row r="1107" spans="1:17" x14ac:dyDescent="0.3">
      <c r="A1107" t="s">
        <v>17</v>
      </c>
      <c r="B1107" t="str">
        <f>"603043"</f>
        <v>603043</v>
      </c>
      <c r="C1107" t="s">
        <v>2478</v>
      </c>
      <c r="D1107" t="s">
        <v>2479</v>
      </c>
      <c r="F1107">
        <v>3305028919</v>
      </c>
      <c r="G1107">
        <v>2778400165</v>
      </c>
      <c r="H1107">
        <v>2518356045</v>
      </c>
      <c r="I1107">
        <v>2239772182</v>
      </c>
      <c r="J1107">
        <v>1897158317</v>
      </c>
      <c r="K1107">
        <v>1593171707</v>
      </c>
      <c r="P1107">
        <v>1509</v>
      </c>
      <c r="Q1107" t="s">
        <v>2480</v>
      </c>
    </row>
    <row r="1108" spans="1:17" x14ac:dyDescent="0.3">
      <c r="A1108" t="s">
        <v>17</v>
      </c>
      <c r="B1108" t="str">
        <f>"603045"</f>
        <v>603045</v>
      </c>
      <c r="C1108" t="s">
        <v>2481</v>
      </c>
      <c r="D1108" t="s">
        <v>581</v>
      </c>
      <c r="F1108">
        <v>2367518304</v>
      </c>
      <c r="G1108">
        <v>1454517424</v>
      </c>
      <c r="H1108">
        <v>1097210659</v>
      </c>
      <c r="I1108">
        <v>1008434180</v>
      </c>
      <c r="J1108">
        <v>1018272048</v>
      </c>
      <c r="P1108">
        <v>54</v>
      </c>
      <c r="Q1108" t="s">
        <v>2482</v>
      </c>
    </row>
    <row r="1109" spans="1:17" x14ac:dyDescent="0.3">
      <c r="A1109" t="s">
        <v>17</v>
      </c>
      <c r="B1109" t="str">
        <f>"603048"</f>
        <v>603048</v>
      </c>
      <c r="C1109" t="s">
        <v>2483</v>
      </c>
      <c r="D1109" t="s">
        <v>985</v>
      </c>
      <c r="F1109">
        <v>354458439</v>
      </c>
      <c r="G1109">
        <v>268462609</v>
      </c>
      <c r="P1109">
        <v>16</v>
      </c>
      <c r="Q1109" t="s">
        <v>2484</v>
      </c>
    </row>
    <row r="1110" spans="1:17" x14ac:dyDescent="0.3">
      <c r="A1110" t="s">
        <v>17</v>
      </c>
      <c r="B1110" t="str">
        <f>"603050"</f>
        <v>603050</v>
      </c>
      <c r="C1110" t="s">
        <v>2485</v>
      </c>
      <c r="D1110" t="s">
        <v>610</v>
      </c>
      <c r="F1110">
        <v>1214182759</v>
      </c>
      <c r="G1110">
        <v>885923462</v>
      </c>
      <c r="H1110">
        <v>774612574</v>
      </c>
      <c r="I1110">
        <v>658846873</v>
      </c>
      <c r="J1110">
        <v>615901675</v>
      </c>
      <c r="K1110">
        <v>548538713</v>
      </c>
      <c r="P1110">
        <v>124</v>
      </c>
      <c r="Q1110" t="s">
        <v>2486</v>
      </c>
    </row>
    <row r="1111" spans="1:17" x14ac:dyDescent="0.3">
      <c r="A1111" t="s">
        <v>17</v>
      </c>
      <c r="B1111" t="str">
        <f>"603053"</f>
        <v>603053</v>
      </c>
      <c r="C1111" t="s">
        <v>2487</v>
      </c>
      <c r="D1111" t="s">
        <v>749</v>
      </c>
      <c r="F1111">
        <v>3893271508</v>
      </c>
      <c r="G1111">
        <v>3514037277</v>
      </c>
      <c r="H1111">
        <v>3939823575</v>
      </c>
      <c r="I1111">
        <v>508421500</v>
      </c>
      <c r="P1111">
        <v>118</v>
      </c>
      <c r="Q1111" t="s">
        <v>2488</v>
      </c>
    </row>
    <row r="1112" spans="1:17" x14ac:dyDescent="0.3">
      <c r="A1112" t="s">
        <v>17</v>
      </c>
      <c r="B1112" t="str">
        <f>"603055"</f>
        <v>603055</v>
      </c>
      <c r="C1112" t="s">
        <v>2489</v>
      </c>
      <c r="D1112" t="s">
        <v>366</v>
      </c>
      <c r="F1112">
        <v>3856360521</v>
      </c>
      <c r="G1112">
        <v>1331900236</v>
      </c>
      <c r="H1112">
        <v>1838534031</v>
      </c>
      <c r="I1112">
        <v>1848250301</v>
      </c>
      <c r="J1112">
        <v>1617908822</v>
      </c>
      <c r="K1112">
        <v>1395519932</v>
      </c>
      <c r="P1112">
        <v>145</v>
      </c>
      <c r="Q1112" t="s">
        <v>2490</v>
      </c>
    </row>
    <row r="1113" spans="1:17" x14ac:dyDescent="0.3">
      <c r="A1113" t="s">
        <v>17</v>
      </c>
      <c r="B1113" t="str">
        <f>"603056"</f>
        <v>603056</v>
      </c>
      <c r="C1113" t="s">
        <v>2491</v>
      </c>
      <c r="D1113" t="s">
        <v>2492</v>
      </c>
      <c r="F1113">
        <v>24094090469</v>
      </c>
      <c r="G1113">
        <v>19885129551</v>
      </c>
      <c r="H1113">
        <v>19614777158</v>
      </c>
      <c r="I1113">
        <v>17256462351</v>
      </c>
      <c r="J1113">
        <v>15622917797</v>
      </c>
      <c r="P1113">
        <v>412</v>
      </c>
      <c r="Q1113" t="s">
        <v>2493</v>
      </c>
    </row>
    <row r="1114" spans="1:17" x14ac:dyDescent="0.3">
      <c r="A1114" t="s">
        <v>17</v>
      </c>
      <c r="B1114" t="str">
        <f>"603058"</f>
        <v>603058</v>
      </c>
      <c r="C1114" t="s">
        <v>2494</v>
      </c>
      <c r="D1114" t="s">
        <v>2156</v>
      </c>
      <c r="F1114">
        <v>338519429</v>
      </c>
      <c r="G1114">
        <v>243715846</v>
      </c>
      <c r="H1114">
        <v>149413840</v>
      </c>
      <c r="I1114">
        <v>260531440</v>
      </c>
      <c r="J1114">
        <v>171956438</v>
      </c>
      <c r="K1114">
        <v>264554194</v>
      </c>
      <c r="L1114">
        <v>0</v>
      </c>
      <c r="P1114">
        <v>121</v>
      </c>
      <c r="Q1114" t="s">
        <v>2495</v>
      </c>
    </row>
    <row r="1115" spans="1:17" x14ac:dyDescent="0.3">
      <c r="A1115" t="s">
        <v>17</v>
      </c>
      <c r="B1115" t="str">
        <f>"603059"</f>
        <v>603059</v>
      </c>
      <c r="C1115" t="s">
        <v>2496</v>
      </c>
      <c r="D1115" t="s">
        <v>569</v>
      </c>
      <c r="F1115">
        <v>800971394</v>
      </c>
      <c r="G1115">
        <v>593564898</v>
      </c>
      <c r="H1115">
        <v>598704881</v>
      </c>
      <c r="I1115">
        <v>525435743</v>
      </c>
      <c r="J1115">
        <v>482239464</v>
      </c>
      <c r="P1115">
        <v>99</v>
      </c>
      <c r="Q1115" t="s">
        <v>2497</v>
      </c>
    </row>
    <row r="1116" spans="1:17" x14ac:dyDescent="0.3">
      <c r="A1116" t="s">
        <v>17</v>
      </c>
      <c r="B1116" t="str">
        <f>"603060"</f>
        <v>603060</v>
      </c>
      <c r="C1116" t="s">
        <v>2498</v>
      </c>
      <c r="D1116" t="s">
        <v>2499</v>
      </c>
      <c r="F1116">
        <v>1291848475</v>
      </c>
      <c r="G1116">
        <v>882470389</v>
      </c>
      <c r="H1116">
        <v>704470601</v>
      </c>
      <c r="I1116">
        <v>659665561</v>
      </c>
      <c r="J1116">
        <v>554516124</v>
      </c>
      <c r="K1116">
        <v>498709588</v>
      </c>
      <c r="L1116">
        <v>454338256</v>
      </c>
      <c r="P1116">
        <v>507</v>
      </c>
      <c r="Q1116" t="s">
        <v>2500</v>
      </c>
    </row>
    <row r="1117" spans="1:17" x14ac:dyDescent="0.3">
      <c r="A1117" t="s">
        <v>17</v>
      </c>
      <c r="B1117" t="str">
        <f>"603063"</f>
        <v>603063</v>
      </c>
      <c r="C1117" t="s">
        <v>2501</v>
      </c>
      <c r="D1117" t="s">
        <v>950</v>
      </c>
      <c r="F1117">
        <v>1421883721</v>
      </c>
      <c r="G1117">
        <v>1198314954</v>
      </c>
      <c r="H1117">
        <v>896687631</v>
      </c>
      <c r="I1117">
        <v>425411492</v>
      </c>
      <c r="J1117">
        <v>521055967</v>
      </c>
      <c r="K1117">
        <v>526017465</v>
      </c>
      <c r="P1117">
        <v>212</v>
      </c>
      <c r="Q1117" t="s">
        <v>2502</v>
      </c>
    </row>
    <row r="1118" spans="1:17" x14ac:dyDescent="0.3">
      <c r="A1118" t="s">
        <v>17</v>
      </c>
      <c r="B1118" t="str">
        <f>"603066"</f>
        <v>603066</v>
      </c>
      <c r="C1118" t="s">
        <v>2503</v>
      </c>
      <c r="D1118" t="s">
        <v>537</v>
      </c>
      <c r="F1118">
        <v>462924640</v>
      </c>
      <c r="G1118">
        <v>489867490</v>
      </c>
      <c r="H1118">
        <v>351463886</v>
      </c>
      <c r="I1118">
        <v>511195045</v>
      </c>
      <c r="J1118">
        <v>431905853</v>
      </c>
      <c r="K1118">
        <v>417406387</v>
      </c>
      <c r="L1118">
        <v>375785144</v>
      </c>
      <c r="M1118">
        <v>297948390</v>
      </c>
      <c r="P1118">
        <v>116</v>
      </c>
      <c r="Q1118" t="s">
        <v>2504</v>
      </c>
    </row>
    <row r="1119" spans="1:17" x14ac:dyDescent="0.3">
      <c r="A1119" t="s">
        <v>17</v>
      </c>
      <c r="B1119" t="str">
        <f>"603067"</f>
        <v>603067</v>
      </c>
      <c r="C1119" t="s">
        <v>2505</v>
      </c>
      <c r="D1119" t="s">
        <v>736</v>
      </c>
      <c r="F1119">
        <v>2124064106</v>
      </c>
      <c r="G1119">
        <v>591227807</v>
      </c>
      <c r="H1119">
        <v>753778237</v>
      </c>
      <c r="I1119">
        <v>639973011</v>
      </c>
      <c r="J1119">
        <v>836797345</v>
      </c>
      <c r="K1119">
        <v>704082362</v>
      </c>
      <c r="L1119">
        <v>594618526</v>
      </c>
      <c r="P1119">
        <v>136</v>
      </c>
      <c r="Q1119" t="s">
        <v>2506</v>
      </c>
    </row>
    <row r="1120" spans="1:17" x14ac:dyDescent="0.3">
      <c r="A1120" t="s">
        <v>17</v>
      </c>
      <c r="B1120" t="str">
        <f>"603068"</f>
        <v>603068</v>
      </c>
      <c r="C1120" t="s">
        <v>2507</v>
      </c>
      <c r="D1120" t="s">
        <v>401</v>
      </c>
      <c r="F1120">
        <v>829241615</v>
      </c>
      <c r="G1120">
        <v>681781707</v>
      </c>
      <c r="H1120">
        <v>614753279</v>
      </c>
      <c r="I1120">
        <v>371041452</v>
      </c>
      <c r="P1120">
        <v>345</v>
      </c>
      <c r="Q1120" t="s">
        <v>2508</v>
      </c>
    </row>
    <row r="1121" spans="1:17" x14ac:dyDescent="0.3">
      <c r="A1121" t="s">
        <v>17</v>
      </c>
      <c r="B1121" t="str">
        <f>"603069"</f>
        <v>603069</v>
      </c>
      <c r="C1121" t="s">
        <v>2509</v>
      </c>
      <c r="D1121" t="s">
        <v>1133</v>
      </c>
      <c r="F1121">
        <v>607859983</v>
      </c>
      <c r="G1121">
        <v>467628912</v>
      </c>
      <c r="H1121">
        <v>820346926</v>
      </c>
      <c r="I1121">
        <v>843702539</v>
      </c>
      <c r="J1121">
        <v>843960643</v>
      </c>
      <c r="K1121">
        <v>849215852</v>
      </c>
      <c r="L1121">
        <v>977592499</v>
      </c>
      <c r="P1121">
        <v>98</v>
      </c>
      <c r="Q1121" t="s">
        <v>2510</v>
      </c>
    </row>
    <row r="1122" spans="1:17" x14ac:dyDescent="0.3">
      <c r="A1122" t="s">
        <v>17</v>
      </c>
      <c r="B1122" t="str">
        <f>"603071"</f>
        <v>603071</v>
      </c>
      <c r="C1122" t="s">
        <v>2511</v>
      </c>
      <c r="D1122" t="s">
        <v>351</v>
      </c>
      <c r="F1122">
        <v>47843529421</v>
      </c>
      <c r="G1122">
        <v>25118800236</v>
      </c>
      <c r="P1122">
        <v>19</v>
      </c>
      <c r="Q1122" t="s">
        <v>2512</v>
      </c>
    </row>
    <row r="1123" spans="1:17" x14ac:dyDescent="0.3">
      <c r="A1123" t="s">
        <v>17</v>
      </c>
      <c r="B1123" t="str">
        <f>"603076"</f>
        <v>603076</v>
      </c>
      <c r="C1123" t="s">
        <v>2513</v>
      </c>
      <c r="D1123" t="s">
        <v>741</v>
      </c>
      <c r="F1123">
        <v>758277725</v>
      </c>
      <c r="G1123">
        <v>782794192</v>
      </c>
      <c r="H1123">
        <v>907753895</v>
      </c>
      <c r="I1123">
        <v>721194005</v>
      </c>
      <c r="J1123">
        <v>603314600</v>
      </c>
      <c r="K1123">
        <v>627936275</v>
      </c>
      <c r="P1123">
        <v>87</v>
      </c>
      <c r="Q1123" t="s">
        <v>2514</v>
      </c>
    </row>
    <row r="1124" spans="1:17" x14ac:dyDescent="0.3">
      <c r="A1124" t="s">
        <v>17</v>
      </c>
      <c r="B1124" t="str">
        <f>"603077"</f>
        <v>603077</v>
      </c>
      <c r="C1124" t="s">
        <v>2515</v>
      </c>
      <c r="D1124" t="s">
        <v>2516</v>
      </c>
      <c r="F1124">
        <v>4893736360</v>
      </c>
      <c r="G1124">
        <v>1957940210</v>
      </c>
      <c r="H1124">
        <v>2392340325</v>
      </c>
      <c r="I1124">
        <v>2897487008</v>
      </c>
      <c r="J1124">
        <v>1789603139</v>
      </c>
      <c r="K1124">
        <v>1883829379</v>
      </c>
      <c r="L1124">
        <v>1826869058</v>
      </c>
      <c r="M1124">
        <v>1413491397</v>
      </c>
      <c r="N1124">
        <v>802603271</v>
      </c>
      <c r="O1124">
        <v>1085727043</v>
      </c>
      <c r="P1124">
        <v>265</v>
      </c>
      <c r="Q1124" t="s">
        <v>2517</v>
      </c>
    </row>
    <row r="1125" spans="1:17" x14ac:dyDescent="0.3">
      <c r="A1125" t="s">
        <v>17</v>
      </c>
      <c r="B1125" t="str">
        <f>"603078"</f>
        <v>603078</v>
      </c>
      <c r="C1125" t="s">
        <v>2518</v>
      </c>
      <c r="D1125" t="s">
        <v>2399</v>
      </c>
      <c r="F1125">
        <v>408102041</v>
      </c>
      <c r="G1125">
        <v>309846458</v>
      </c>
      <c r="H1125">
        <v>217611052</v>
      </c>
      <c r="I1125">
        <v>222872631</v>
      </c>
      <c r="J1125">
        <v>206668664</v>
      </c>
      <c r="K1125">
        <v>175638687</v>
      </c>
      <c r="P1125">
        <v>226</v>
      </c>
      <c r="Q1125" t="s">
        <v>2519</v>
      </c>
    </row>
    <row r="1126" spans="1:17" x14ac:dyDescent="0.3">
      <c r="A1126" t="s">
        <v>17</v>
      </c>
      <c r="B1126" t="str">
        <f>"603079"</f>
        <v>603079</v>
      </c>
      <c r="C1126" t="s">
        <v>2520</v>
      </c>
      <c r="D1126" t="s">
        <v>496</v>
      </c>
      <c r="F1126">
        <v>576098667</v>
      </c>
      <c r="G1126">
        <v>621691847</v>
      </c>
      <c r="H1126">
        <v>378540543</v>
      </c>
      <c r="I1126">
        <v>374720552</v>
      </c>
      <c r="J1126">
        <v>357349765</v>
      </c>
      <c r="K1126">
        <v>386195980</v>
      </c>
      <c r="P1126">
        <v>239</v>
      </c>
      <c r="Q1126" t="s">
        <v>2521</v>
      </c>
    </row>
    <row r="1127" spans="1:17" x14ac:dyDescent="0.3">
      <c r="A1127" t="s">
        <v>17</v>
      </c>
      <c r="B1127" t="str">
        <f>"603080"</f>
        <v>603080</v>
      </c>
      <c r="C1127" t="s">
        <v>2522</v>
      </c>
      <c r="D1127" t="s">
        <v>749</v>
      </c>
      <c r="F1127">
        <v>556960582</v>
      </c>
      <c r="G1127">
        <v>443024318</v>
      </c>
      <c r="H1127">
        <v>347211931</v>
      </c>
      <c r="I1127">
        <v>329256755</v>
      </c>
      <c r="J1127">
        <v>248773125</v>
      </c>
      <c r="K1127">
        <v>219521835</v>
      </c>
      <c r="P1127">
        <v>93</v>
      </c>
      <c r="Q1127" t="s">
        <v>2523</v>
      </c>
    </row>
    <row r="1128" spans="1:17" x14ac:dyDescent="0.3">
      <c r="A1128" t="s">
        <v>17</v>
      </c>
      <c r="B1128" t="str">
        <f>"603081"</f>
        <v>603081</v>
      </c>
      <c r="C1128" t="s">
        <v>2524</v>
      </c>
      <c r="D1128" t="s">
        <v>450</v>
      </c>
      <c r="F1128">
        <v>1856259590</v>
      </c>
      <c r="G1128">
        <v>1546994243</v>
      </c>
      <c r="H1128">
        <v>1458189769</v>
      </c>
      <c r="I1128">
        <v>1235245450</v>
      </c>
      <c r="J1128">
        <v>1103911040</v>
      </c>
      <c r="K1128">
        <v>1074585989</v>
      </c>
      <c r="P1128">
        <v>144</v>
      </c>
      <c r="Q1128" t="s">
        <v>2525</v>
      </c>
    </row>
    <row r="1129" spans="1:17" x14ac:dyDescent="0.3">
      <c r="A1129" t="s">
        <v>17</v>
      </c>
      <c r="B1129" t="str">
        <f>"603083"</f>
        <v>603083</v>
      </c>
      <c r="C1129" t="s">
        <v>2526</v>
      </c>
      <c r="D1129" t="s">
        <v>786</v>
      </c>
      <c r="F1129">
        <v>1762732414</v>
      </c>
      <c r="G1129">
        <v>2154183751</v>
      </c>
      <c r="H1129">
        <v>2494004867</v>
      </c>
      <c r="I1129">
        <v>2187565375</v>
      </c>
      <c r="J1129">
        <v>1664584221</v>
      </c>
      <c r="K1129">
        <v>1607709638</v>
      </c>
      <c r="P1129">
        <v>272</v>
      </c>
      <c r="Q1129" t="s">
        <v>2527</v>
      </c>
    </row>
    <row r="1130" spans="1:17" x14ac:dyDescent="0.3">
      <c r="A1130" t="s">
        <v>17</v>
      </c>
      <c r="B1130" t="str">
        <f>"603085"</f>
        <v>603085</v>
      </c>
      <c r="C1130" t="s">
        <v>2528</v>
      </c>
      <c r="D1130" t="s">
        <v>191</v>
      </c>
      <c r="F1130">
        <v>1092006815</v>
      </c>
      <c r="G1130">
        <v>448251397</v>
      </c>
      <c r="H1130">
        <v>836294605</v>
      </c>
      <c r="I1130">
        <v>395123737</v>
      </c>
      <c r="J1130">
        <v>393925655</v>
      </c>
      <c r="K1130">
        <v>281047454</v>
      </c>
      <c r="L1130">
        <v>263526932</v>
      </c>
      <c r="M1130">
        <v>242623359</v>
      </c>
      <c r="P1130">
        <v>81</v>
      </c>
      <c r="Q1130" t="s">
        <v>2529</v>
      </c>
    </row>
    <row r="1131" spans="1:17" x14ac:dyDescent="0.3">
      <c r="A1131" t="s">
        <v>17</v>
      </c>
      <c r="B1131" t="str">
        <f>"603086"</f>
        <v>603086</v>
      </c>
      <c r="C1131" t="s">
        <v>2530</v>
      </c>
      <c r="D1131" t="s">
        <v>853</v>
      </c>
      <c r="F1131">
        <v>1346003200</v>
      </c>
      <c r="G1131">
        <v>1369678515</v>
      </c>
      <c r="H1131">
        <v>1143484949</v>
      </c>
      <c r="I1131">
        <v>906768754</v>
      </c>
      <c r="J1131">
        <v>657411131</v>
      </c>
      <c r="K1131">
        <v>488687943</v>
      </c>
      <c r="P1131">
        <v>124</v>
      </c>
      <c r="Q1131" t="s">
        <v>2531</v>
      </c>
    </row>
    <row r="1132" spans="1:17" x14ac:dyDescent="0.3">
      <c r="A1132" t="s">
        <v>17</v>
      </c>
      <c r="B1132" t="str">
        <f>"603087"</f>
        <v>603087</v>
      </c>
      <c r="C1132" t="s">
        <v>2532</v>
      </c>
      <c r="D1132" t="s">
        <v>1379</v>
      </c>
      <c r="F1132">
        <v>2585392744</v>
      </c>
      <c r="G1132">
        <v>2484324807</v>
      </c>
      <c r="H1132">
        <v>2194095769</v>
      </c>
      <c r="P1132">
        <v>677</v>
      </c>
      <c r="Q1132" t="s">
        <v>2533</v>
      </c>
    </row>
    <row r="1133" spans="1:17" x14ac:dyDescent="0.3">
      <c r="A1133" t="s">
        <v>17</v>
      </c>
      <c r="B1133" t="str">
        <f>"603088"</f>
        <v>603088</v>
      </c>
      <c r="C1133" t="s">
        <v>2534</v>
      </c>
      <c r="D1133" t="s">
        <v>2312</v>
      </c>
      <c r="F1133">
        <v>319788387</v>
      </c>
      <c r="G1133">
        <v>238134041</v>
      </c>
      <c r="H1133">
        <v>215292154</v>
      </c>
      <c r="I1133">
        <v>247766330</v>
      </c>
      <c r="J1133">
        <v>210157944</v>
      </c>
      <c r="K1133">
        <v>174023044</v>
      </c>
      <c r="L1133">
        <v>104787366</v>
      </c>
      <c r="M1133">
        <v>132227390</v>
      </c>
      <c r="N1133">
        <v>131635794</v>
      </c>
      <c r="P1133">
        <v>106</v>
      </c>
      <c r="Q1133" t="s">
        <v>2535</v>
      </c>
    </row>
    <row r="1134" spans="1:17" x14ac:dyDescent="0.3">
      <c r="A1134" t="s">
        <v>17</v>
      </c>
      <c r="B1134" t="str">
        <f>"603089"</f>
        <v>603089</v>
      </c>
      <c r="C1134" t="s">
        <v>2536</v>
      </c>
      <c r="D1134" t="s">
        <v>348</v>
      </c>
      <c r="F1134">
        <v>1101897382</v>
      </c>
      <c r="G1134">
        <v>732425808</v>
      </c>
      <c r="H1134">
        <v>931462398</v>
      </c>
      <c r="I1134">
        <v>666508109</v>
      </c>
      <c r="J1134">
        <v>632738790</v>
      </c>
      <c r="K1134">
        <v>474448894</v>
      </c>
      <c r="L1134">
        <v>0</v>
      </c>
      <c r="P1134">
        <v>111</v>
      </c>
      <c r="Q1134" t="s">
        <v>2537</v>
      </c>
    </row>
    <row r="1135" spans="1:17" x14ac:dyDescent="0.3">
      <c r="A1135" t="s">
        <v>17</v>
      </c>
      <c r="B1135" t="str">
        <f>"603090"</f>
        <v>603090</v>
      </c>
      <c r="C1135" t="s">
        <v>2538</v>
      </c>
      <c r="D1135" t="s">
        <v>560</v>
      </c>
      <c r="F1135">
        <v>329036041</v>
      </c>
      <c r="G1135">
        <v>261577775</v>
      </c>
      <c r="H1135">
        <v>318693071</v>
      </c>
      <c r="I1135">
        <v>346104228</v>
      </c>
      <c r="J1135">
        <v>213955997</v>
      </c>
      <c r="K1135">
        <v>166393483</v>
      </c>
      <c r="L1135">
        <v>169257588</v>
      </c>
      <c r="P1135">
        <v>51</v>
      </c>
      <c r="Q1135" t="s">
        <v>2539</v>
      </c>
    </row>
    <row r="1136" spans="1:17" x14ac:dyDescent="0.3">
      <c r="A1136" t="s">
        <v>17</v>
      </c>
      <c r="B1136" t="str">
        <f>"603093"</f>
        <v>603093</v>
      </c>
      <c r="C1136" t="s">
        <v>2540</v>
      </c>
      <c r="D1136" t="s">
        <v>1843</v>
      </c>
      <c r="P1136">
        <v>84</v>
      </c>
      <c r="Q1136" t="s">
        <v>2541</v>
      </c>
    </row>
    <row r="1137" spans="1:17" x14ac:dyDescent="0.3">
      <c r="A1137" t="s">
        <v>17</v>
      </c>
      <c r="B1137" t="str">
        <f>"603095"</f>
        <v>603095</v>
      </c>
      <c r="C1137" t="s">
        <v>2542</v>
      </c>
      <c r="D1137" t="s">
        <v>534</v>
      </c>
      <c r="F1137">
        <v>1044026233</v>
      </c>
      <c r="G1137">
        <v>488356795</v>
      </c>
      <c r="H1137">
        <v>720171734</v>
      </c>
      <c r="I1137">
        <v>642488148</v>
      </c>
      <c r="P1137">
        <v>64</v>
      </c>
      <c r="Q1137" t="s">
        <v>2543</v>
      </c>
    </row>
    <row r="1138" spans="1:17" x14ac:dyDescent="0.3">
      <c r="A1138" t="s">
        <v>17</v>
      </c>
      <c r="B1138" t="str">
        <f>"603096"</f>
        <v>603096</v>
      </c>
      <c r="C1138" t="s">
        <v>2544</v>
      </c>
      <c r="D1138" t="s">
        <v>525</v>
      </c>
      <c r="F1138">
        <v>630219413</v>
      </c>
      <c r="G1138">
        <v>569080516</v>
      </c>
      <c r="H1138">
        <v>676761899</v>
      </c>
      <c r="I1138">
        <v>568126983</v>
      </c>
      <c r="J1138">
        <v>637729913</v>
      </c>
      <c r="K1138">
        <v>605556975</v>
      </c>
      <c r="P1138">
        <v>222</v>
      </c>
      <c r="Q1138" t="s">
        <v>2545</v>
      </c>
    </row>
    <row r="1139" spans="1:17" x14ac:dyDescent="0.3">
      <c r="A1139" t="s">
        <v>17</v>
      </c>
      <c r="B1139" t="str">
        <f>"603098"</f>
        <v>603098</v>
      </c>
      <c r="C1139" t="s">
        <v>2546</v>
      </c>
      <c r="D1139" t="s">
        <v>978</v>
      </c>
      <c r="F1139">
        <v>1809040696</v>
      </c>
      <c r="G1139">
        <v>1686220290</v>
      </c>
      <c r="H1139">
        <v>2052987897</v>
      </c>
      <c r="I1139">
        <v>1490957547</v>
      </c>
      <c r="J1139">
        <v>1066415284</v>
      </c>
      <c r="K1139">
        <v>947727420</v>
      </c>
      <c r="P1139">
        <v>158</v>
      </c>
      <c r="Q1139" t="s">
        <v>2547</v>
      </c>
    </row>
    <row r="1140" spans="1:17" x14ac:dyDescent="0.3">
      <c r="A1140" t="s">
        <v>17</v>
      </c>
      <c r="B1140" t="str">
        <f>"603099"</f>
        <v>603099</v>
      </c>
      <c r="C1140" t="s">
        <v>2548</v>
      </c>
      <c r="D1140" t="s">
        <v>119</v>
      </c>
      <c r="F1140">
        <v>171158972</v>
      </c>
      <c r="G1140">
        <v>102111475</v>
      </c>
      <c r="H1140">
        <v>395041094</v>
      </c>
      <c r="I1140">
        <v>401266982</v>
      </c>
      <c r="J1140">
        <v>329041961</v>
      </c>
      <c r="K1140">
        <v>285403072</v>
      </c>
      <c r="L1140">
        <v>292546085</v>
      </c>
      <c r="M1140">
        <v>261520336</v>
      </c>
      <c r="N1140">
        <v>204341938</v>
      </c>
      <c r="P1140">
        <v>97</v>
      </c>
      <c r="Q1140" t="s">
        <v>2549</v>
      </c>
    </row>
    <row r="1141" spans="1:17" x14ac:dyDescent="0.3">
      <c r="A1141" t="s">
        <v>17</v>
      </c>
      <c r="B1141" t="str">
        <f>"603100"</f>
        <v>603100</v>
      </c>
      <c r="C1141" t="s">
        <v>2550</v>
      </c>
      <c r="D1141" t="s">
        <v>2551</v>
      </c>
      <c r="F1141">
        <v>3978685037</v>
      </c>
      <c r="G1141">
        <v>2823769986</v>
      </c>
      <c r="H1141">
        <v>2706520019</v>
      </c>
      <c r="I1141">
        <v>2331727331</v>
      </c>
      <c r="J1141">
        <v>2134313176</v>
      </c>
      <c r="K1141">
        <v>1775479240</v>
      </c>
      <c r="L1141">
        <v>1866924042</v>
      </c>
      <c r="M1141">
        <v>2140352636</v>
      </c>
      <c r="N1141">
        <v>1914496287</v>
      </c>
      <c r="P1141">
        <v>194</v>
      </c>
      <c r="Q1141" t="s">
        <v>2552</v>
      </c>
    </row>
    <row r="1142" spans="1:17" x14ac:dyDescent="0.3">
      <c r="A1142" t="s">
        <v>17</v>
      </c>
      <c r="B1142" t="str">
        <f>"603101"</f>
        <v>603101</v>
      </c>
      <c r="C1142" t="s">
        <v>2553</v>
      </c>
      <c r="D1142" t="s">
        <v>633</v>
      </c>
      <c r="F1142">
        <v>3725882569</v>
      </c>
      <c r="G1142">
        <v>2766113053</v>
      </c>
      <c r="H1142">
        <v>3505366774</v>
      </c>
      <c r="I1142">
        <v>2911764086</v>
      </c>
      <c r="J1142">
        <v>2468073914</v>
      </c>
      <c r="K1142">
        <v>2168917922</v>
      </c>
      <c r="L1142">
        <v>2346460929</v>
      </c>
      <c r="P1142">
        <v>69</v>
      </c>
      <c r="Q1142" t="s">
        <v>2554</v>
      </c>
    </row>
    <row r="1143" spans="1:17" x14ac:dyDescent="0.3">
      <c r="A1143" t="s">
        <v>17</v>
      </c>
      <c r="B1143" t="str">
        <f>"603102"</f>
        <v>603102</v>
      </c>
      <c r="C1143" t="s">
        <v>2555</v>
      </c>
      <c r="F1143">
        <v>510258692</v>
      </c>
      <c r="P1143">
        <v>13</v>
      </c>
      <c r="Q1143" t="s">
        <v>2556</v>
      </c>
    </row>
    <row r="1144" spans="1:17" x14ac:dyDescent="0.3">
      <c r="A1144" t="s">
        <v>17</v>
      </c>
      <c r="B1144" t="str">
        <f>"603103"</f>
        <v>603103</v>
      </c>
      <c r="C1144" t="s">
        <v>2557</v>
      </c>
      <c r="D1144" t="s">
        <v>2558</v>
      </c>
      <c r="F1144">
        <v>1842151880</v>
      </c>
      <c r="G1144">
        <v>560894967</v>
      </c>
      <c r="H1144">
        <v>2344073321</v>
      </c>
      <c r="I1144">
        <v>2522543975</v>
      </c>
      <c r="J1144">
        <v>2140633446</v>
      </c>
      <c r="K1144">
        <v>2079420991</v>
      </c>
      <c r="P1144">
        <v>240</v>
      </c>
      <c r="Q1144" t="s">
        <v>2559</v>
      </c>
    </row>
    <row r="1145" spans="1:17" x14ac:dyDescent="0.3">
      <c r="A1145" t="s">
        <v>17</v>
      </c>
      <c r="B1145" t="str">
        <f>"603105"</f>
        <v>603105</v>
      </c>
      <c r="C1145" t="s">
        <v>2560</v>
      </c>
      <c r="D1145" t="s">
        <v>86</v>
      </c>
      <c r="F1145">
        <v>298021282</v>
      </c>
      <c r="G1145">
        <v>294859214</v>
      </c>
      <c r="H1145">
        <v>228784506</v>
      </c>
      <c r="I1145">
        <v>223593382</v>
      </c>
      <c r="J1145">
        <v>295515352</v>
      </c>
      <c r="P1145">
        <v>144</v>
      </c>
      <c r="Q1145" t="s">
        <v>2561</v>
      </c>
    </row>
    <row r="1146" spans="1:17" x14ac:dyDescent="0.3">
      <c r="A1146" t="s">
        <v>17</v>
      </c>
      <c r="B1146" t="str">
        <f>"603106"</f>
        <v>603106</v>
      </c>
      <c r="C1146" t="s">
        <v>2562</v>
      </c>
      <c r="D1146" t="s">
        <v>236</v>
      </c>
      <c r="F1146">
        <v>407292715</v>
      </c>
      <c r="G1146">
        <v>476911390</v>
      </c>
      <c r="H1146">
        <v>422716727</v>
      </c>
      <c r="I1146">
        <v>532172617</v>
      </c>
      <c r="J1146">
        <v>872631483</v>
      </c>
      <c r="K1146">
        <v>658763848</v>
      </c>
      <c r="P1146">
        <v>2938</v>
      </c>
      <c r="Q1146" t="s">
        <v>2563</v>
      </c>
    </row>
    <row r="1147" spans="1:17" x14ac:dyDescent="0.3">
      <c r="A1147" t="s">
        <v>17</v>
      </c>
      <c r="B1147" t="str">
        <f>"603108"</f>
        <v>603108</v>
      </c>
      <c r="C1147" t="s">
        <v>2564</v>
      </c>
      <c r="D1147" t="s">
        <v>2565</v>
      </c>
      <c r="F1147">
        <v>6872156520</v>
      </c>
      <c r="G1147">
        <v>5336436444</v>
      </c>
      <c r="H1147">
        <v>5445165826</v>
      </c>
      <c r="I1147">
        <v>4706471921</v>
      </c>
      <c r="J1147">
        <v>3006997813</v>
      </c>
      <c r="K1147">
        <v>1556531184</v>
      </c>
      <c r="L1147">
        <v>1191477478</v>
      </c>
      <c r="M1147">
        <v>996111331</v>
      </c>
      <c r="P1147">
        <v>336</v>
      </c>
      <c r="Q1147" t="s">
        <v>2566</v>
      </c>
    </row>
    <row r="1148" spans="1:17" x14ac:dyDescent="0.3">
      <c r="A1148" t="s">
        <v>17</v>
      </c>
      <c r="B1148" t="str">
        <f>"603109"</f>
        <v>603109</v>
      </c>
      <c r="C1148" t="s">
        <v>2567</v>
      </c>
      <c r="D1148" t="s">
        <v>985</v>
      </c>
      <c r="F1148">
        <v>1671163256</v>
      </c>
      <c r="G1148">
        <v>995796716</v>
      </c>
      <c r="H1148">
        <v>821439729</v>
      </c>
      <c r="I1148">
        <v>903578158</v>
      </c>
      <c r="P1148">
        <v>80</v>
      </c>
      <c r="Q1148" t="s">
        <v>2568</v>
      </c>
    </row>
    <row r="1149" spans="1:17" x14ac:dyDescent="0.3">
      <c r="A1149" t="s">
        <v>17</v>
      </c>
      <c r="B1149" t="str">
        <f>"603110"</f>
        <v>603110</v>
      </c>
      <c r="C1149" t="s">
        <v>2569</v>
      </c>
      <c r="D1149" t="s">
        <v>2570</v>
      </c>
      <c r="F1149">
        <v>331109739</v>
      </c>
      <c r="G1149">
        <v>315135845</v>
      </c>
      <c r="H1149">
        <v>322097472</v>
      </c>
      <c r="I1149">
        <v>341659203</v>
      </c>
      <c r="J1149">
        <v>331102999</v>
      </c>
      <c r="K1149">
        <v>324930862</v>
      </c>
      <c r="P1149">
        <v>71</v>
      </c>
      <c r="Q1149" t="s">
        <v>2571</v>
      </c>
    </row>
    <row r="1150" spans="1:17" x14ac:dyDescent="0.3">
      <c r="A1150" t="s">
        <v>17</v>
      </c>
      <c r="B1150" t="str">
        <f>"603111"</f>
        <v>603111</v>
      </c>
      <c r="C1150" t="s">
        <v>2572</v>
      </c>
      <c r="D1150" t="s">
        <v>1012</v>
      </c>
      <c r="F1150">
        <v>2158453952</v>
      </c>
      <c r="G1150">
        <v>1671288881</v>
      </c>
      <c r="H1150">
        <v>1961634145</v>
      </c>
      <c r="I1150">
        <v>2000818221</v>
      </c>
      <c r="J1150">
        <v>1242466514</v>
      </c>
      <c r="K1150">
        <v>1332772772</v>
      </c>
      <c r="L1150">
        <v>893689464</v>
      </c>
      <c r="M1150">
        <v>930246226</v>
      </c>
      <c r="N1150">
        <v>644590408</v>
      </c>
      <c r="P1150">
        <v>440</v>
      </c>
      <c r="Q1150" t="s">
        <v>2573</v>
      </c>
    </row>
    <row r="1151" spans="1:17" x14ac:dyDescent="0.3">
      <c r="A1151" t="s">
        <v>17</v>
      </c>
      <c r="B1151" t="str">
        <f>"603112"</f>
        <v>603112</v>
      </c>
      <c r="C1151" t="s">
        <v>2574</v>
      </c>
      <c r="D1151" t="s">
        <v>1253</v>
      </c>
      <c r="F1151">
        <v>1565953707</v>
      </c>
      <c r="G1151">
        <v>1225951349</v>
      </c>
      <c r="H1151">
        <v>1051080363</v>
      </c>
      <c r="P1151">
        <v>48</v>
      </c>
      <c r="Q1151" t="s">
        <v>2575</v>
      </c>
    </row>
    <row r="1152" spans="1:17" x14ac:dyDescent="0.3">
      <c r="A1152" t="s">
        <v>17</v>
      </c>
      <c r="B1152" t="str">
        <f>"603113"</f>
        <v>603113</v>
      </c>
      <c r="C1152" t="s">
        <v>2576</v>
      </c>
      <c r="D1152" t="s">
        <v>885</v>
      </c>
      <c r="F1152">
        <v>6607900857</v>
      </c>
      <c r="G1152">
        <v>4267838177</v>
      </c>
      <c r="H1152">
        <v>4397777267</v>
      </c>
      <c r="I1152">
        <v>4957191751</v>
      </c>
      <c r="J1152">
        <v>3284929936</v>
      </c>
      <c r="K1152">
        <v>1711360496</v>
      </c>
      <c r="P1152">
        <v>302</v>
      </c>
      <c r="Q1152" t="s">
        <v>2577</v>
      </c>
    </row>
    <row r="1153" spans="1:17" x14ac:dyDescent="0.3">
      <c r="A1153" t="s">
        <v>17</v>
      </c>
      <c r="B1153" t="str">
        <f>"603115"</f>
        <v>603115</v>
      </c>
      <c r="C1153" t="s">
        <v>2578</v>
      </c>
      <c r="D1153" t="s">
        <v>504</v>
      </c>
      <c r="F1153">
        <v>860202155</v>
      </c>
      <c r="G1153">
        <v>648445406</v>
      </c>
      <c r="H1153">
        <v>560621406</v>
      </c>
      <c r="I1153">
        <v>591018763</v>
      </c>
      <c r="P1153">
        <v>88</v>
      </c>
      <c r="Q1153" t="s">
        <v>2579</v>
      </c>
    </row>
    <row r="1154" spans="1:17" x14ac:dyDescent="0.3">
      <c r="A1154" t="s">
        <v>17</v>
      </c>
      <c r="B1154" t="str">
        <f>"603116"</f>
        <v>603116</v>
      </c>
      <c r="C1154" t="s">
        <v>2580</v>
      </c>
      <c r="D1154" t="s">
        <v>330</v>
      </c>
      <c r="F1154">
        <v>1874721464</v>
      </c>
      <c r="G1154">
        <v>1764701573</v>
      </c>
      <c r="H1154">
        <v>2252863440</v>
      </c>
      <c r="I1154">
        <v>2495395862</v>
      </c>
      <c r="J1154">
        <v>2422369026</v>
      </c>
      <c r="K1154">
        <v>2233734320</v>
      </c>
      <c r="L1154">
        <v>2414256406</v>
      </c>
      <c r="M1154">
        <v>2540871601</v>
      </c>
      <c r="P1154">
        <v>102</v>
      </c>
      <c r="Q1154" t="s">
        <v>2581</v>
      </c>
    </row>
    <row r="1155" spans="1:17" x14ac:dyDescent="0.3">
      <c r="A1155" t="s">
        <v>17</v>
      </c>
      <c r="B1155" t="str">
        <f>"603117"</f>
        <v>603117</v>
      </c>
      <c r="C1155" t="s">
        <v>2582</v>
      </c>
      <c r="D1155" t="s">
        <v>287</v>
      </c>
      <c r="F1155">
        <v>583304658</v>
      </c>
      <c r="G1155">
        <v>611623681</v>
      </c>
      <c r="H1155">
        <v>637521952</v>
      </c>
      <c r="I1155">
        <v>657662170</v>
      </c>
      <c r="J1155">
        <v>385863483</v>
      </c>
      <c r="K1155">
        <v>291131659</v>
      </c>
      <c r="L1155">
        <v>277350137</v>
      </c>
      <c r="M1155">
        <v>286547057</v>
      </c>
      <c r="P1155">
        <v>64</v>
      </c>
      <c r="Q1155" t="s">
        <v>2583</v>
      </c>
    </row>
    <row r="1156" spans="1:17" x14ac:dyDescent="0.3">
      <c r="A1156" t="s">
        <v>17</v>
      </c>
      <c r="B1156" t="str">
        <f>"603118"</f>
        <v>603118</v>
      </c>
      <c r="C1156" t="s">
        <v>2584</v>
      </c>
      <c r="D1156" t="s">
        <v>786</v>
      </c>
      <c r="F1156">
        <v>6395261586</v>
      </c>
      <c r="G1156">
        <v>4953511246</v>
      </c>
      <c r="H1156">
        <v>5866880641</v>
      </c>
      <c r="I1156">
        <v>5017919316</v>
      </c>
      <c r="J1156">
        <v>4322516525</v>
      </c>
      <c r="K1156">
        <v>4219544056</v>
      </c>
      <c r="L1156">
        <v>3553381783</v>
      </c>
      <c r="M1156">
        <v>3159591431</v>
      </c>
      <c r="P1156">
        <v>243</v>
      </c>
      <c r="Q1156" t="s">
        <v>2585</v>
      </c>
    </row>
    <row r="1157" spans="1:17" x14ac:dyDescent="0.3">
      <c r="A1157" t="s">
        <v>17</v>
      </c>
      <c r="B1157" t="str">
        <f>"603121"</f>
        <v>603121</v>
      </c>
      <c r="C1157" t="s">
        <v>2586</v>
      </c>
      <c r="D1157" t="s">
        <v>348</v>
      </c>
      <c r="F1157">
        <v>667857732</v>
      </c>
      <c r="G1157">
        <v>444982676</v>
      </c>
      <c r="H1157">
        <v>439742303</v>
      </c>
      <c r="I1157">
        <v>396321704</v>
      </c>
      <c r="P1157">
        <v>77</v>
      </c>
      <c r="Q1157" t="s">
        <v>2587</v>
      </c>
    </row>
    <row r="1158" spans="1:17" x14ac:dyDescent="0.3">
      <c r="A1158" t="s">
        <v>17</v>
      </c>
      <c r="B1158" t="str">
        <f>"603122"</f>
        <v>603122</v>
      </c>
      <c r="C1158" t="s">
        <v>2588</v>
      </c>
      <c r="F1158">
        <v>856490441</v>
      </c>
      <c r="G1158">
        <v>732061082</v>
      </c>
      <c r="P1158">
        <v>12</v>
      </c>
      <c r="Q1158" t="s">
        <v>2589</v>
      </c>
    </row>
    <row r="1159" spans="1:17" x14ac:dyDescent="0.3">
      <c r="A1159" t="s">
        <v>17</v>
      </c>
      <c r="B1159" t="str">
        <f>"603123"</f>
        <v>603123</v>
      </c>
      <c r="C1159" t="s">
        <v>2590</v>
      </c>
      <c r="D1159" t="s">
        <v>633</v>
      </c>
      <c r="F1159">
        <v>3394658977</v>
      </c>
      <c r="G1159">
        <v>518871137</v>
      </c>
      <c r="H1159">
        <v>4016763216</v>
      </c>
      <c r="I1159">
        <v>4087321506</v>
      </c>
      <c r="J1159">
        <v>4241323449</v>
      </c>
      <c r="K1159">
        <v>4338288516</v>
      </c>
      <c r="L1159">
        <v>4612338334</v>
      </c>
      <c r="M1159">
        <v>3347982702</v>
      </c>
      <c r="N1159">
        <v>3886415322</v>
      </c>
      <c r="O1159">
        <v>4162299414</v>
      </c>
      <c r="P1159">
        <v>100</v>
      </c>
      <c r="Q1159" t="s">
        <v>2591</v>
      </c>
    </row>
    <row r="1160" spans="1:17" x14ac:dyDescent="0.3">
      <c r="A1160" t="s">
        <v>17</v>
      </c>
      <c r="B1160" t="str">
        <f>"603126"</f>
        <v>603126</v>
      </c>
      <c r="C1160" t="s">
        <v>2592</v>
      </c>
      <c r="D1160" t="s">
        <v>499</v>
      </c>
      <c r="F1160">
        <v>1378379116</v>
      </c>
      <c r="G1160">
        <v>1699044814</v>
      </c>
      <c r="H1160">
        <v>1674145380</v>
      </c>
      <c r="I1160">
        <v>1494629708</v>
      </c>
      <c r="J1160">
        <v>1152290933</v>
      </c>
      <c r="K1160">
        <v>1228518270</v>
      </c>
      <c r="L1160">
        <v>961115386</v>
      </c>
      <c r="M1160">
        <v>965327362</v>
      </c>
      <c r="N1160">
        <v>1281641075</v>
      </c>
      <c r="P1160">
        <v>196</v>
      </c>
      <c r="Q1160" t="s">
        <v>2593</v>
      </c>
    </row>
    <row r="1161" spans="1:17" x14ac:dyDescent="0.3">
      <c r="A1161" t="s">
        <v>17</v>
      </c>
      <c r="B1161" t="str">
        <f>"603127"</f>
        <v>603127</v>
      </c>
      <c r="C1161" t="s">
        <v>2594</v>
      </c>
      <c r="D1161" t="s">
        <v>1461</v>
      </c>
      <c r="F1161">
        <v>1387021342</v>
      </c>
      <c r="G1161">
        <v>869407470</v>
      </c>
      <c r="H1161">
        <v>414445909</v>
      </c>
      <c r="I1161">
        <v>349546852</v>
      </c>
      <c r="J1161">
        <v>244547798</v>
      </c>
      <c r="K1161">
        <v>183192557</v>
      </c>
      <c r="P1161">
        <v>1812</v>
      </c>
      <c r="Q1161" t="s">
        <v>2595</v>
      </c>
    </row>
    <row r="1162" spans="1:17" x14ac:dyDescent="0.3">
      <c r="A1162" t="s">
        <v>17</v>
      </c>
      <c r="B1162" t="str">
        <f>"603128"</f>
        <v>603128</v>
      </c>
      <c r="C1162" t="s">
        <v>2596</v>
      </c>
      <c r="D1162" t="s">
        <v>287</v>
      </c>
      <c r="F1162">
        <v>15796533197</v>
      </c>
      <c r="G1162">
        <v>10143759653</v>
      </c>
      <c r="H1162">
        <v>7276235552</v>
      </c>
      <c r="I1162">
        <v>6958532022</v>
      </c>
      <c r="J1162">
        <v>6411359760</v>
      </c>
      <c r="K1162">
        <v>5462048437</v>
      </c>
      <c r="L1162">
        <v>5753366390</v>
      </c>
      <c r="M1162">
        <v>6129933567</v>
      </c>
      <c r="N1162">
        <v>6665206815</v>
      </c>
      <c r="O1162">
        <v>5462977665</v>
      </c>
      <c r="P1162">
        <v>273</v>
      </c>
      <c r="Q1162" t="s">
        <v>2597</v>
      </c>
    </row>
    <row r="1163" spans="1:17" x14ac:dyDescent="0.3">
      <c r="A1163" t="s">
        <v>17</v>
      </c>
      <c r="B1163" t="str">
        <f>"603129"</f>
        <v>603129</v>
      </c>
      <c r="C1163" t="s">
        <v>2598</v>
      </c>
      <c r="D1163" t="s">
        <v>1654</v>
      </c>
      <c r="F1163">
        <v>5627599356</v>
      </c>
      <c r="G1163">
        <v>3376967750</v>
      </c>
      <c r="H1163">
        <v>2470333359</v>
      </c>
      <c r="I1163">
        <v>1868754904</v>
      </c>
      <c r="J1163">
        <v>1464480906</v>
      </c>
      <c r="K1163">
        <v>1070005823</v>
      </c>
      <c r="P1163">
        <v>625</v>
      </c>
      <c r="Q1163" t="s">
        <v>2599</v>
      </c>
    </row>
    <row r="1164" spans="1:17" x14ac:dyDescent="0.3">
      <c r="A1164" t="s">
        <v>17</v>
      </c>
      <c r="B1164" t="str">
        <f>"603131"</f>
        <v>603131</v>
      </c>
      <c r="C1164" t="s">
        <v>2600</v>
      </c>
      <c r="D1164" t="s">
        <v>560</v>
      </c>
      <c r="F1164">
        <v>797760542</v>
      </c>
      <c r="G1164">
        <v>623861050</v>
      </c>
      <c r="H1164">
        <v>548538306</v>
      </c>
      <c r="I1164">
        <v>441615613</v>
      </c>
      <c r="J1164">
        <v>499426905</v>
      </c>
      <c r="K1164">
        <v>355151323</v>
      </c>
      <c r="L1164">
        <v>349039582</v>
      </c>
      <c r="P1164">
        <v>143</v>
      </c>
      <c r="Q1164" t="s">
        <v>2601</v>
      </c>
    </row>
    <row r="1165" spans="1:17" x14ac:dyDescent="0.3">
      <c r="A1165" t="s">
        <v>17</v>
      </c>
      <c r="B1165" t="str">
        <f>"603133"</f>
        <v>603133</v>
      </c>
      <c r="C1165" t="s">
        <v>2602</v>
      </c>
      <c r="D1165" t="s">
        <v>313</v>
      </c>
      <c r="F1165">
        <v>361706776</v>
      </c>
      <c r="G1165">
        <v>352012464</v>
      </c>
      <c r="H1165">
        <v>345505750</v>
      </c>
      <c r="I1165">
        <v>375032816</v>
      </c>
      <c r="J1165">
        <v>403930573</v>
      </c>
      <c r="K1165">
        <v>300908333</v>
      </c>
      <c r="P1165">
        <v>138</v>
      </c>
      <c r="Q1165" t="s">
        <v>2603</v>
      </c>
    </row>
    <row r="1166" spans="1:17" x14ac:dyDescent="0.3">
      <c r="A1166" t="s">
        <v>17</v>
      </c>
      <c r="B1166" t="str">
        <f>"603136"</f>
        <v>603136</v>
      </c>
      <c r="C1166" t="s">
        <v>2604</v>
      </c>
      <c r="D1166" t="s">
        <v>333</v>
      </c>
      <c r="F1166">
        <v>363126280</v>
      </c>
      <c r="G1166">
        <v>259135287</v>
      </c>
      <c r="H1166">
        <v>403420701</v>
      </c>
      <c r="I1166">
        <v>385748649</v>
      </c>
      <c r="J1166">
        <v>366228470</v>
      </c>
      <c r="K1166">
        <v>349738661</v>
      </c>
      <c r="P1166">
        <v>194</v>
      </c>
      <c r="Q1166" t="s">
        <v>2605</v>
      </c>
    </row>
    <row r="1167" spans="1:17" x14ac:dyDescent="0.3">
      <c r="A1167" t="s">
        <v>17</v>
      </c>
      <c r="B1167" t="str">
        <f>"603138"</f>
        <v>603138</v>
      </c>
      <c r="C1167" t="s">
        <v>2606</v>
      </c>
      <c r="D1167" t="s">
        <v>316</v>
      </c>
      <c r="F1167">
        <v>235570439</v>
      </c>
      <c r="G1167">
        <v>279233930</v>
      </c>
      <c r="H1167">
        <v>292299558</v>
      </c>
      <c r="I1167">
        <v>354242914</v>
      </c>
      <c r="J1167">
        <v>431979258</v>
      </c>
      <c r="K1167">
        <v>439256841</v>
      </c>
      <c r="P1167">
        <v>147</v>
      </c>
      <c r="Q1167" t="s">
        <v>2607</v>
      </c>
    </row>
    <row r="1168" spans="1:17" x14ac:dyDescent="0.3">
      <c r="A1168" t="s">
        <v>17</v>
      </c>
      <c r="B1168" t="str">
        <f>"603139"</f>
        <v>603139</v>
      </c>
      <c r="C1168" t="s">
        <v>2608</v>
      </c>
      <c r="D1168" t="s">
        <v>188</v>
      </c>
      <c r="F1168">
        <v>333271290</v>
      </c>
      <c r="G1168">
        <v>332675592</v>
      </c>
      <c r="H1168">
        <v>359632722</v>
      </c>
      <c r="I1168">
        <v>270917206</v>
      </c>
      <c r="J1168">
        <v>244892004</v>
      </c>
      <c r="K1168">
        <v>225027912</v>
      </c>
      <c r="P1168">
        <v>97</v>
      </c>
      <c r="Q1168" t="s">
        <v>2609</v>
      </c>
    </row>
    <row r="1169" spans="1:17" x14ac:dyDescent="0.3">
      <c r="A1169" t="s">
        <v>17</v>
      </c>
      <c r="B1169" t="str">
        <f>"603150"</f>
        <v>603150</v>
      </c>
      <c r="C1169" t="s">
        <v>2610</v>
      </c>
      <c r="F1169">
        <v>1127277880</v>
      </c>
      <c r="P1169">
        <v>5</v>
      </c>
      <c r="Q1169" t="s">
        <v>2611</v>
      </c>
    </row>
    <row r="1170" spans="1:17" x14ac:dyDescent="0.3">
      <c r="A1170" t="s">
        <v>17</v>
      </c>
      <c r="B1170" t="str">
        <f>"603155"</f>
        <v>603155</v>
      </c>
      <c r="C1170" t="s">
        <v>2612</v>
      </c>
      <c r="D1170" t="s">
        <v>1205</v>
      </c>
      <c r="F1170">
        <v>352498141</v>
      </c>
      <c r="G1170">
        <v>267095748</v>
      </c>
      <c r="H1170">
        <v>354582088</v>
      </c>
      <c r="P1170">
        <v>76</v>
      </c>
      <c r="Q1170" t="s">
        <v>2613</v>
      </c>
    </row>
    <row r="1171" spans="1:17" x14ac:dyDescent="0.3">
      <c r="A1171" t="s">
        <v>17</v>
      </c>
      <c r="B1171" t="str">
        <f>"603156"</f>
        <v>603156</v>
      </c>
      <c r="C1171" t="s">
        <v>2614</v>
      </c>
      <c r="D1171" t="s">
        <v>440</v>
      </c>
      <c r="F1171">
        <v>3813630223</v>
      </c>
      <c r="G1171">
        <v>1910134159</v>
      </c>
      <c r="H1171">
        <v>3734470459</v>
      </c>
      <c r="I1171">
        <v>4676941619</v>
      </c>
      <c r="J1171">
        <v>5042478036</v>
      </c>
      <c r="K1171">
        <v>5225342635</v>
      </c>
      <c r="P1171">
        <v>1235</v>
      </c>
      <c r="Q1171" t="s">
        <v>2615</v>
      </c>
    </row>
    <row r="1172" spans="1:17" x14ac:dyDescent="0.3">
      <c r="A1172" t="s">
        <v>17</v>
      </c>
      <c r="B1172" t="str">
        <f>"603157"</f>
        <v>603157</v>
      </c>
      <c r="C1172" t="s">
        <v>2616</v>
      </c>
      <c r="D1172" t="s">
        <v>255</v>
      </c>
      <c r="F1172">
        <v>389582000</v>
      </c>
      <c r="G1172">
        <v>1889548000</v>
      </c>
      <c r="H1172">
        <v>6304553000</v>
      </c>
      <c r="I1172">
        <v>7823872000</v>
      </c>
      <c r="J1172">
        <v>8057577000</v>
      </c>
      <c r="K1172">
        <v>7540715000</v>
      </c>
      <c r="P1172">
        <v>88</v>
      </c>
      <c r="Q1172" t="s">
        <v>2617</v>
      </c>
    </row>
    <row r="1173" spans="1:17" x14ac:dyDescent="0.3">
      <c r="A1173" t="s">
        <v>17</v>
      </c>
      <c r="B1173" t="str">
        <f>"603158"</f>
        <v>603158</v>
      </c>
      <c r="C1173" t="s">
        <v>2618</v>
      </c>
      <c r="D1173" t="s">
        <v>348</v>
      </c>
      <c r="F1173">
        <v>1340185521</v>
      </c>
      <c r="G1173">
        <v>1133454772</v>
      </c>
      <c r="H1173">
        <v>672227029</v>
      </c>
      <c r="I1173">
        <v>827954372</v>
      </c>
      <c r="J1173">
        <v>768572305</v>
      </c>
      <c r="K1173">
        <v>555358860</v>
      </c>
      <c r="L1173">
        <v>517338487</v>
      </c>
      <c r="M1173">
        <v>445620723</v>
      </c>
      <c r="P1173">
        <v>145</v>
      </c>
      <c r="Q1173" t="s">
        <v>2619</v>
      </c>
    </row>
    <row r="1174" spans="1:17" x14ac:dyDescent="0.3">
      <c r="A1174" t="s">
        <v>17</v>
      </c>
      <c r="B1174" t="str">
        <f>"603159"</f>
        <v>603159</v>
      </c>
      <c r="C1174" t="s">
        <v>2620</v>
      </c>
      <c r="D1174" t="s">
        <v>741</v>
      </c>
      <c r="F1174">
        <v>557111625</v>
      </c>
      <c r="G1174">
        <v>374175475</v>
      </c>
      <c r="H1174">
        <v>461025630</v>
      </c>
      <c r="I1174">
        <v>566740435</v>
      </c>
      <c r="J1174">
        <v>510775565</v>
      </c>
      <c r="K1174">
        <v>369307951</v>
      </c>
      <c r="L1174">
        <v>388305886</v>
      </c>
      <c r="P1174">
        <v>62</v>
      </c>
      <c r="Q1174" t="s">
        <v>2621</v>
      </c>
    </row>
    <row r="1175" spans="1:17" x14ac:dyDescent="0.3">
      <c r="A1175" t="s">
        <v>17</v>
      </c>
      <c r="B1175" t="str">
        <f>"603160"</f>
        <v>603160</v>
      </c>
      <c r="C1175" t="s">
        <v>2622</v>
      </c>
      <c r="D1175" t="s">
        <v>401</v>
      </c>
      <c r="F1175">
        <v>4415407403</v>
      </c>
      <c r="G1175">
        <v>4992139829</v>
      </c>
      <c r="H1175">
        <v>5212602198</v>
      </c>
      <c r="I1175">
        <v>2492323156</v>
      </c>
      <c r="J1175">
        <v>3197037808</v>
      </c>
      <c r="K1175">
        <v>1799529211</v>
      </c>
      <c r="L1175">
        <v>744060743</v>
      </c>
      <c r="P1175">
        <v>2243</v>
      </c>
      <c r="Q1175" t="s">
        <v>2623</v>
      </c>
    </row>
    <row r="1176" spans="1:17" x14ac:dyDescent="0.3">
      <c r="A1176" t="s">
        <v>17</v>
      </c>
      <c r="B1176" t="str">
        <f>"603161"</f>
        <v>603161</v>
      </c>
      <c r="C1176" t="s">
        <v>2624</v>
      </c>
      <c r="D1176" t="s">
        <v>348</v>
      </c>
      <c r="F1176">
        <v>1569834373</v>
      </c>
      <c r="G1176">
        <v>1392964764</v>
      </c>
      <c r="H1176">
        <v>1322204136</v>
      </c>
      <c r="I1176">
        <v>803729530</v>
      </c>
      <c r="J1176">
        <v>708901976</v>
      </c>
      <c r="K1176">
        <v>415121409</v>
      </c>
      <c r="P1176">
        <v>81</v>
      </c>
      <c r="Q1176" t="s">
        <v>2625</v>
      </c>
    </row>
    <row r="1177" spans="1:17" x14ac:dyDescent="0.3">
      <c r="A1177" t="s">
        <v>17</v>
      </c>
      <c r="B1177" t="str">
        <f>"603165"</f>
        <v>603165</v>
      </c>
      <c r="C1177" t="s">
        <v>2626</v>
      </c>
      <c r="D1177" t="s">
        <v>694</v>
      </c>
      <c r="F1177">
        <v>1660414901</v>
      </c>
      <c r="G1177">
        <v>1174043705</v>
      </c>
      <c r="H1177">
        <v>1389571809</v>
      </c>
      <c r="I1177">
        <v>1567097569</v>
      </c>
      <c r="J1177">
        <v>1172049589</v>
      </c>
      <c r="K1177">
        <v>433746562</v>
      </c>
      <c r="L1177">
        <v>0</v>
      </c>
      <c r="P1177">
        <v>587</v>
      </c>
      <c r="Q1177" t="s">
        <v>2627</v>
      </c>
    </row>
    <row r="1178" spans="1:17" x14ac:dyDescent="0.3">
      <c r="A1178" t="s">
        <v>17</v>
      </c>
      <c r="B1178" t="str">
        <f>"603166"</f>
        <v>603166</v>
      </c>
      <c r="C1178" t="s">
        <v>2628</v>
      </c>
      <c r="D1178" t="s">
        <v>348</v>
      </c>
      <c r="F1178">
        <v>1419523530</v>
      </c>
      <c r="G1178">
        <v>1244953369</v>
      </c>
      <c r="H1178">
        <v>1125736925</v>
      </c>
      <c r="I1178">
        <v>1139815889</v>
      </c>
      <c r="J1178">
        <v>798119442</v>
      </c>
      <c r="K1178">
        <v>903262292</v>
      </c>
      <c r="L1178">
        <v>979401381</v>
      </c>
      <c r="M1178">
        <v>1120452815</v>
      </c>
      <c r="P1178">
        <v>141</v>
      </c>
      <c r="Q1178" t="s">
        <v>2629</v>
      </c>
    </row>
    <row r="1179" spans="1:17" x14ac:dyDescent="0.3">
      <c r="A1179" t="s">
        <v>17</v>
      </c>
      <c r="B1179" t="str">
        <f>"603167"</f>
        <v>603167</v>
      </c>
      <c r="C1179" t="s">
        <v>2630</v>
      </c>
      <c r="D1179" t="s">
        <v>69</v>
      </c>
      <c r="F1179">
        <v>974455837</v>
      </c>
      <c r="G1179">
        <v>805220419</v>
      </c>
      <c r="H1179">
        <v>1284278762</v>
      </c>
      <c r="I1179">
        <v>1274525088</v>
      </c>
      <c r="J1179">
        <v>1180501733</v>
      </c>
      <c r="K1179">
        <v>906988389</v>
      </c>
      <c r="L1179">
        <v>963616740</v>
      </c>
      <c r="M1179">
        <v>951840809</v>
      </c>
      <c r="N1179">
        <v>932716133</v>
      </c>
      <c r="O1179">
        <v>812239243</v>
      </c>
      <c r="P1179">
        <v>239</v>
      </c>
      <c r="Q1179" t="s">
        <v>2631</v>
      </c>
    </row>
    <row r="1180" spans="1:17" x14ac:dyDescent="0.3">
      <c r="A1180" t="s">
        <v>17</v>
      </c>
      <c r="B1180" t="str">
        <f>"603168"</f>
        <v>603168</v>
      </c>
      <c r="C1180" t="s">
        <v>2632</v>
      </c>
      <c r="D1180" t="s">
        <v>143</v>
      </c>
      <c r="F1180">
        <v>494360196</v>
      </c>
      <c r="G1180">
        <v>269193230</v>
      </c>
      <c r="H1180">
        <v>431791294</v>
      </c>
      <c r="I1180">
        <v>557101476</v>
      </c>
      <c r="J1180">
        <v>669289141</v>
      </c>
      <c r="K1180">
        <v>814527809</v>
      </c>
      <c r="L1180">
        <v>709174679</v>
      </c>
      <c r="M1180">
        <v>596398914</v>
      </c>
      <c r="N1180">
        <v>473599670</v>
      </c>
      <c r="P1180">
        <v>528</v>
      </c>
      <c r="Q1180" t="s">
        <v>2633</v>
      </c>
    </row>
    <row r="1181" spans="1:17" x14ac:dyDescent="0.3">
      <c r="A1181" t="s">
        <v>17</v>
      </c>
      <c r="B1181" t="str">
        <f>"603169"</f>
        <v>603169</v>
      </c>
      <c r="C1181" t="s">
        <v>2634</v>
      </c>
      <c r="D1181" t="s">
        <v>395</v>
      </c>
      <c r="F1181">
        <v>2387426383</v>
      </c>
      <c r="G1181">
        <v>2266495277</v>
      </c>
      <c r="H1181">
        <v>2475436367</v>
      </c>
      <c r="I1181">
        <v>2053321876</v>
      </c>
      <c r="J1181">
        <v>1931522704</v>
      </c>
      <c r="K1181">
        <v>1096227853</v>
      </c>
      <c r="L1181">
        <v>906092713</v>
      </c>
      <c r="M1181">
        <v>1161199038</v>
      </c>
      <c r="N1181">
        <v>870645498</v>
      </c>
      <c r="P1181">
        <v>81</v>
      </c>
      <c r="Q1181" t="s">
        <v>2635</v>
      </c>
    </row>
    <row r="1182" spans="1:17" x14ac:dyDescent="0.3">
      <c r="A1182" t="s">
        <v>17</v>
      </c>
      <c r="B1182" t="str">
        <f>"603171"</f>
        <v>603171</v>
      </c>
      <c r="C1182" t="s">
        <v>2636</v>
      </c>
      <c r="D1182" t="s">
        <v>316</v>
      </c>
      <c r="F1182">
        <v>942690066</v>
      </c>
      <c r="P1182">
        <v>54</v>
      </c>
      <c r="Q1182" t="s">
        <v>2637</v>
      </c>
    </row>
    <row r="1183" spans="1:17" x14ac:dyDescent="0.3">
      <c r="A1183" t="s">
        <v>17</v>
      </c>
      <c r="B1183" t="str">
        <f>"603176"</f>
        <v>603176</v>
      </c>
      <c r="C1183" t="s">
        <v>2638</v>
      </c>
      <c r="D1183" t="s">
        <v>101</v>
      </c>
      <c r="F1183">
        <v>1721719879</v>
      </c>
      <c r="P1183">
        <v>17</v>
      </c>
      <c r="Q1183" t="s">
        <v>2639</v>
      </c>
    </row>
    <row r="1184" spans="1:17" x14ac:dyDescent="0.3">
      <c r="A1184" t="s">
        <v>17</v>
      </c>
      <c r="B1184" t="str">
        <f>"603177"</f>
        <v>603177</v>
      </c>
      <c r="C1184" t="s">
        <v>2640</v>
      </c>
      <c r="D1184" t="s">
        <v>663</v>
      </c>
      <c r="F1184">
        <v>484202013</v>
      </c>
      <c r="G1184">
        <v>455861136</v>
      </c>
      <c r="H1184">
        <v>534375167</v>
      </c>
      <c r="I1184">
        <v>519988684</v>
      </c>
      <c r="J1184">
        <v>595763416</v>
      </c>
      <c r="K1184">
        <v>502683969</v>
      </c>
      <c r="P1184">
        <v>68</v>
      </c>
      <c r="Q1184" t="s">
        <v>2641</v>
      </c>
    </row>
    <row r="1185" spans="1:17" x14ac:dyDescent="0.3">
      <c r="A1185" t="s">
        <v>17</v>
      </c>
      <c r="B1185" t="str">
        <f>"603178"</f>
        <v>603178</v>
      </c>
      <c r="C1185" t="s">
        <v>2642</v>
      </c>
      <c r="D1185" t="s">
        <v>348</v>
      </c>
      <c r="F1185">
        <v>1043539250</v>
      </c>
      <c r="G1185">
        <v>815705173</v>
      </c>
      <c r="H1185">
        <v>801959638</v>
      </c>
      <c r="I1185">
        <v>1126230867</v>
      </c>
      <c r="J1185">
        <v>1124291292</v>
      </c>
      <c r="K1185">
        <v>813279358</v>
      </c>
      <c r="P1185">
        <v>80</v>
      </c>
      <c r="Q1185" t="s">
        <v>2643</v>
      </c>
    </row>
    <row r="1186" spans="1:17" x14ac:dyDescent="0.3">
      <c r="A1186" t="s">
        <v>17</v>
      </c>
      <c r="B1186" t="str">
        <f>"603179"</f>
        <v>603179</v>
      </c>
      <c r="C1186" t="s">
        <v>2644</v>
      </c>
      <c r="D1186" t="s">
        <v>1415</v>
      </c>
      <c r="F1186">
        <v>2251852600</v>
      </c>
      <c r="G1186">
        <v>1815629919</v>
      </c>
      <c r="H1186">
        <v>1474053757</v>
      </c>
      <c r="I1186">
        <v>2174311476</v>
      </c>
      <c r="J1186">
        <v>1229108548</v>
      </c>
      <c r="K1186">
        <v>588498761</v>
      </c>
      <c r="P1186">
        <v>302</v>
      </c>
      <c r="Q1186" t="s">
        <v>2645</v>
      </c>
    </row>
    <row r="1187" spans="1:17" x14ac:dyDescent="0.3">
      <c r="A1187" t="s">
        <v>17</v>
      </c>
      <c r="B1187" t="str">
        <f>"603180"</f>
        <v>603180</v>
      </c>
      <c r="C1187" t="s">
        <v>2646</v>
      </c>
      <c r="D1187" t="s">
        <v>2647</v>
      </c>
      <c r="F1187">
        <v>2599994852</v>
      </c>
      <c r="G1187">
        <v>1905318347</v>
      </c>
      <c r="H1187">
        <v>1649687144</v>
      </c>
      <c r="I1187">
        <v>1348483393</v>
      </c>
      <c r="J1187">
        <v>1190480018</v>
      </c>
      <c r="K1187">
        <v>907435882</v>
      </c>
      <c r="P1187">
        <v>1304</v>
      </c>
      <c r="Q1187" t="s">
        <v>2648</v>
      </c>
    </row>
    <row r="1188" spans="1:17" x14ac:dyDescent="0.3">
      <c r="A1188" t="s">
        <v>17</v>
      </c>
      <c r="B1188" t="str">
        <f>"603181"</f>
        <v>603181</v>
      </c>
      <c r="C1188" t="s">
        <v>2649</v>
      </c>
      <c r="D1188" t="s">
        <v>1192</v>
      </c>
      <c r="F1188">
        <v>1226623177</v>
      </c>
      <c r="G1188">
        <v>1016856901</v>
      </c>
      <c r="H1188">
        <v>1119374346</v>
      </c>
      <c r="I1188">
        <v>1135819040</v>
      </c>
      <c r="J1188">
        <v>1384920762</v>
      </c>
      <c r="K1188">
        <v>1186213009</v>
      </c>
      <c r="P1188">
        <v>160</v>
      </c>
      <c r="Q1188" t="s">
        <v>2650</v>
      </c>
    </row>
    <row r="1189" spans="1:17" x14ac:dyDescent="0.3">
      <c r="A1189" t="s">
        <v>17</v>
      </c>
      <c r="B1189" t="str">
        <f>"603183"</f>
        <v>603183</v>
      </c>
      <c r="C1189" t="s">
        <v>2651</v>
      </c>
      <c r="D1189" t="s">
        <v>2499</v>
      </c>
      <c r="F1189">
        <v>552254586</v>
      </c>
      <c r="G1189">
        <v>487717821</v>
      </c>
      <c r="H1189">
        <v>341507378</v>
      </c>
      <c r="I1189">
        <v>261824816</v>
      </c>
      <c r="J1189">
        <v>218836748</v>
      </c>
      <c r="K1189">
        <v>227692157</v>
      </c>
      <c r="P1189">
        <v>92</v>
      </c>
      <c r="Q1189" t="s">
        <v>2652</v>
      </c>
    </row>
    <row r="1190" spans="1:17" x14ac:dyDescent="0.3">
      <c r="A1190" t="s">
        <v>17</v>
      </c>
      <c r="B1190" t="str">
        <f>"603185"</f>
        <v>603185</v>
      </c>
      <c r="C1190" t="s">
        <v>2653</v>
      </c>
      <c r="D1190" t="s">
        <v>2654</v>
      </c>
      <c r="F1190">
        <v>2400746217</v>
      </c>
      <c r="G1190">
        <v>839890033</v>
      </c>
      <c r="H1190">
        <v>273912726</v>
      </c>
      <c r="I1190">
        <v>258876577</v>
      </c>
      <c r="J1190">
        <v>218367542</v>
      </c>
      <c r="P1190">
        <v>516</v>
      </c>
      <c r="Q1190" t="s">
        <v>2655</v>
      </c>
    </row>
    <row r="1191" spans="1:17" x14ac:dyDescent="0.3">
      <c r="A1191" t="s">
        <v>17</v>
      </c>
      <c r="B1191" t="str">
        <f>"603186"</f>
        <v>603186</v>
      </c>
      <c r="C1191" t="s">
        <v>2656</v>
      </c>
      <c r="D1191" t="s">
        <v>425</v>
      </c>
      <c r="F1191">
        <v>2046151523</v>
      </c>
      <c r="G1191">
        <v>1331245058</v>
      </c>
      <c r="H1191">
        <v>1157467289</v>
      </c>
      <c r="I1191">
        <v>849969555</v>
      </c>
      <c r="J1191">
        <v>531746262</v>
      </c>
      <c r="K1191">
        <v>467266095</v>
      </c>
      <c r="L1191">
        <v>0</v>
      </c>
      <c r="P1191">
        <v>328</v>
      </c>
      <c r="Q1191" t="s">
        <v>2657</v>
      </c>
    </row>
    <row r="1192" spans="1:17" x14ac:dyDescent="0.3">
      <c r="A1192" t="s">
        <v>17</v>
      </c>
      <c r="B1192" t="str">
        <f>"603187"</f>
        <v>603187</v>
      </c>
      <c r="C1192" t="s">
        <v>2658</v>
      </c>
      <c r="D1192" t="s">
        <v>988</v>
      </c>
      <c r="F1192">
        <v>1771625241</v>
      </c>
      <c r="G1192">
        <v>1405127912</v>
      </c>
      <c r="H1192">
        <v>1200395859</v>
      </c>
      <c r="I1192">
        <v>912712220</v>
      </c>
      <c r="J1192">
        <v>814998508</v>
      </c>
      <c r="P1192">
        <v>704</v>
      </c>
      <c r="Q1192" t="s">
        <v>2659</v>
      </c>
    </row>
    <row r="1193" spans="1:17" x14ac:dyDescent="0.3">
      <c r="A1193" t="s">
        <v>17</v>
      </c>
      <c r="B1193" t="str">
        <f>"603188"</f>
        <v>603188</v>
      </c>
      <c r="C1193" t="s">
        <v>2660</v>
      </c>
      <c r="D1193" t="s">
        <v>779</v>
      </c>
      <c r="F1193">
        <v>364242893</v>
      </c>
      <c r="G1193">
        <v>597293480</v>
      </c>
      <c r="H1193">
        <v>904918978</v>
      </c>
      <c r="I1193">
        <v>1207835900</v>
      </c>
      <c r="J1193">
        <v>1290102152</v>
      </c>
      <c r="K1193">
        <v>1159865339</v>
      </c>
      <c r="L1193">
        <v>993403854</v>
      </c>
      <c r="M1193">
        <v>1087777827</v>
      </c>
      <c r="N1193">
        <v>561735892</v>
      </c>
      <c r="P1193">
        <v>206</v>
      </c>
      <c r="Q1193" t="s">
        <v>2661</v>
      </c>
    </row>
    <row r="1194" spans="1:17" x14ac:dyDescent="0.3">
      <c r="A1194" t="s">
        <v>17</v>
      </c>
      <c r="B1194" t="str">
        <f>"603189"</f>
        <v>603189</v>
      </c>
      <c r="C1194" t="s">
        <v>2662</v>
      </c>
      <c r="D1194" t="s">
        <v>945</v>
      </c>
      <c r="F1194">
        <v>189708807</v>
      </c>
      <c r="G1194">
        <v>184610470</v>
      </c>
      <c r="H1194">
        <v>124078081</v>
      </c>
      <c r="I1194">
        <v>104148440</v>
      </c>
      <c r="J1194">
        <v>112442130</v>
      </c>
      <c r="K1194">
        <v>100088341</v>
      </c>
      <c r="L1194">
        <v>75147108</v>
      </c>
      <c r="P1194">
        <v>166</v>
      </c>
      <c r="Q1194" t="s">
        <v>2663</v>
      </c>
    </row>
    <row r="1195" spans="1:17" x14ac:dyDescent="0.3">
      <c r="A1195" t="s">
        <v>17</v>
      </c>
      <c r="B1195" t="str">
        <f>"603192"</f>
        <v>603192</v>
      </c>
      <c r="C1195" t="s">
        <v>2664</v>
      </c>
      <c r="D1195" t="s">
        <v>528</v>
      </c>
      <c r="F1195">
        <v>1536088538</v>
      </c>
      <c r="G1195">
        <v>909049029</v>
      </c>
      <c r="H1195">
        <v>956884346</v>
      </c>
      <c r="I1195">
        <v>1209447791</v>
      </c>
      <c r="J1195">
        <v>975245482</v>
      </c>
      <c r="P1195">
        <v>82</v>
      </c>
      <c r="Q1195" t="s">
        <v>2665</v>
      </c>
    </row>
    <row r="1196" spans="1:17" x14ac:dyDescent="0.3">
      <c r="A1196" t="s">
        <v>17</v>
      </c>
      <c r="B1196" t="str">
        <f>"603195"</f>
        <v>603195</v>
      </c>
      <c r="C1196" t="s">
        <v>2666</v>
      </c>
      <c r="D1196" t="s">
        <v>2436</v>
      </c>
      <c r="F1196">
        <v>10409332376</v>
      </c>
      <c r="G1196">
        <v>8272966065</v>
      </c>
      <c r="H1196">
        <v>9492961546</v>
      </c>
      <c r="I1196">
        <v>7672864451</v>
      </c>
      <c r="P1196">
        <v>1473</v>
      </c>
      <c r="Q1196" t="s">
        <v>2667</v>
      </c>
    </row>
    <row r="1197" spans="1:17" x14ac:dyDescent="0.3">
      <c r="A1197" t="s">
        <v>17</v>
      </c>
      <c r="B1197" t="str">
        <f>"603196"</f>
        <v>603196</v>
      </c>
      <c r="C1197" t="s">
        <v>2668</v>
      </c>
      <c r="D1197" t="s">
        <v>255</v>
      </c>
      <c r="F1197">
        <v>744661219</v>
      </c>
      <c r="G1197">
        <v>564296569</v>
      </c>
      <c r="H1197">
        <v>854190785</v>
      </c>
      <c r="I1197">
        <v>861799179</v>
      </c>
      <c r="J1197">
        <v>796789779</v>
      </c>
      <c r="K1197">
        <v>725756124</v>
      </c>
      <c r="P1197">
        <v>70</v>
      </c>
      <c r="Q1197" t="s">
        <v>2669</v>
      </c>
    </row>
    <row r="1198" spans="1:17" x14ac:dyDescent="0.3">
      <c r="A1198" t="s">
        <v>17</v>
      </c>
      <c r="B1198" t="str">
        <f>"603197"</f>
        <v>603197</v>
      </c>
      <c r="C1198" t="s">
        <v>2670</v>
      </c>
      <c r="D1198" t="s">
        <v>985</v>
      </c>
      <c r="F1198">
        <v>2780918457</v>
      </c>
      <c r="G1198">
        <v>2233453136</v>
      </c>
      <c r="H1198">
        <v>2369059351</v>
      </c>
      <c r="I1198">
        <v>1498575963</v>
      </c>
      <c r="J1198">
        <v>1284129351</v>
      </c>
      <c r="K1198">
        <v>1092274253</v>
      </c>
      <c r="P1198">
        <v>357</v>
      </c>
      <c r="Q1198" t="s">
        <v>2671</v>
      </c>
    </row>
    <row r="1199" spans="1:17" x14ac:dyDescent="0.3">
      <c r="A1199" t="s">
        <v>17</v>
      </c>
      <c r="B1199" t="str">
        <f>"603198"</f>
        <v>603198</v>
      </c>
      <c r="C1199" t="s">
        <v>2672</v>
      </c>
      <c r="D1199" t="s">
        <v>458</v>
      </c>
      <c r="F1199">
        <v>3454429458</v>
      </c>
      <c r="G1199">
        <v>2219283821</v>
      </c>
      <c r="H1199">
        <v>2619659569</v>
      </c>
      <c r="I1199">
        <v>2550994971</v>
      </c>
      <c r="J1199">
        <v>2254376099</v>
      </c>
      <c r="K1199">
        <v>2183623974</v>
      </c>
      <c r="L1199">
        <v>2168217612</v>
      </c>
      <c r="M1199">
        <v>2191507655</v>
      </c>
      <c r="P1199">
        <v>5968</v>
      </c>
      <c r="Q1199" t="s">
        <v>2673</v>
      </c>
    </row>
    <row r="1200" spans="1:17" x14ac:dyDescent="0.3">
      <c r="A1200" t="s">
        <v>17</v>
      </c>
      <c r="B1200" t="str">
        <f>"603199"</f>
        <v>603199</v>
      </c>
      <c r="C1200" t="s">
        <v>2674</v>
      </c>
      <c r="D1200" t="s">
        <v>119</v>
      </c>
      <c r="F1200">
        <v>335298123</v>
      </c>
      <c r="G1200">
        <v>199530351</v>
      </c>
      <c r="H1200">
        <v>422287550</v>
      </c>
      <c r="I1200">
        <v>363638311</v>
      </c>
      <c r="J1200">
        <v>345702395</v>
      </c>
      <c r="K1200">
        <v>302645172</v>
      </c>
      <c r="L1200">
        <v>290083704</v>
      </c>
      <c r="M1200">
        <v>296118593</v>
      </c>
      <c r="P1200">
        <v>144</v>
      </c>
      <c r="Q1200" t="s">
        <v>2675</v>
      </c>
    </row>
    <row r="1201" spans="1:17" x14ac:dyDescent="0.3">
      <c r="A1201" t="s">
        <v>17</v>
      </c>
      <c r="B1201" t="str">
        <f>"603200"</f>
        <v>603200</v>
      </c>
      <c r="C1201" t="s">
        <v>2676</v>
      </c>
      <c r="D1201" t="s">
        <v>33</v>
      </c>
      <c r="F1201">
        <v>330168505</v>
      </c>
      <c r="G1201">
        <v>310094256</v>
      </c>
      <c r="H1201">
        <v>320228691</v>
      </c>
      <c r="I1201">
        <v>261978521</v>
      </c>
      <c r="J1201">
        <v>209574401</v>
      </c>
      <c r="K1201">
        <v>238160271</v>
      </c>
      <c r="P1201">
        <v>101</v>
      </c>
      <c r="Q1201" t="s">
        <v>2677</v>
      </c>
    </row>
    <row r="1202" spans="1:17" x14ac:dyDescent="0.3">
      <c r="A1202" t="s">
        <v>17</v>
      </c>
      <c r="B1202" t="str">
        <f>"603203"</f>
        <v>603203</v>
      </c>
      <c r="C1202" t="s">
        <v>2678</v>
      </c>
      <c r="D1202" t="s">
        <v>2423</v>
      </c>
      <c r="F1202">
        <v>527331023</v>
      </c>
      <c r="G1202">
        <v>357038573</v>
      </c>
      <c r="H1202">
        <v>359618485</v>
      </c>
      <c r="I1202">
        <v>319113710</v>
      </c>
      <c r="J1202">
        <v>299255684</v>
      </c>
      <c r="K1202">
        <v>235262594</v>
      </c>
      <c r="L1202">
        <v>197561918</v>
      </c>
      <c r="P1202">
        <v>2649</v>
      </c>
      <c r="Q1202" t="s">
        <v>2679</v>
      </c>
    </row>
    <row r="1203" spans="1:17" x14ac:dyDescent="0.3">
      <c r="A1203" t="s">
        <v>17</v>
      </c>
      <c r="B1203" t="str">
        <f>"603208"</f>
        <v>603208</v>
      </c>
      <c r="C1203" t="s">
        <v>2680</v>
      </c>
      <c r="D1203" t="s">
        <v>2647</v>
      </c>
      <c r="F1203">
        <v>1907811565</v>
      </c>
      <c r="G1203">
        <v>1447299043</v>
      </c>
      <c r="H1203">
        <v>1493889576</v>
      </c>
      <c r="I1203">
        <v>970943715</v>
      </c>
      <c r="J1203">
        <v>738918708</v>
      </c>
      <c r="K1203">
        <v>523424897</v>
      </c>
      <c r="L1203">
        <v>0</v>
      </c>
      <c r="P1203">
        <v>493</v>
      </c>
      <c r="Q1203" t="s">
        <v>2681</v>
      </c>
    </row>
    <row r="1204" spans="1:17" x14ac:dyDescent="0.3">
      <c r="A1204" t="s">
        <v>17</v>
      </c>
      <c r="B1204" t="str">
        <f>"603212"</f>
        <v>603212</v>
      </c>
      <c r="C1204" t="s">
        <v>2682</v>
      </c>
      <c r="D1204" t="s">
        <v>478</v>
      </c>
      <c r="F1204">
        <v>1548530837</v>
      </c>
      <c r="G1204">
        <v>1120225850</v>
      </c>
      <c r="H1204">
        <v>909912910</v>
      </c>
      <c r="P1204">
        <v>129</v>
      </c>
      <c r="Q1204" t="s">
        <v>2683</v>
      </c>
    </row>
    <row r="1205" spans="1:17" x14ac:dyDescent="0.3">
      <c r="A1205" t="s">
        <v>17</v>
      </c>
      <c r="B1205" t="str">
        <f>"603213"</f>
        <v>603213</v>
      </c>
      <c r="C1205" t="s">
        <v>2684</v>
      </c>
      <c r="D1205" t="s">
        <v>175</v>
      </c>
      <c r="F1205">
        <v>1141730471</v>
      </c>
      <c r="G1205">
        <v>768837654</v>
      </c>
      <c r="P1205">
        <v>32</v>
      </c>
      <c r="Q1205" t="s">
        <v>2685</v>
      </c>
    </row>
    <row r="1206" spans="1:17" x14ac:dyDescent="0.3">
      <c r="A1206" t="s">
        <v>17</v>
      </c>
      <c r="B1206" t="str">
        <f>"603214"</f>
        <v>603214</v>
      </c>
      <c r="C1206" t="s">
        <v>2686</v>
      </c>
      <c r="D1206" t="s">
        <v>295</v>
      </c>
      <c r="F1206">
        <v>1868913260</v>
      </c>
      <c r="G1206">
        <v>1827587682</v>
      </c>
      <c r="H1206">
        <v>1982302038</v>
      </c>
      <c r="I1206">
        <v>1739035242</v>
      </c>
      <c r="J1206">
        <v>1475025964</v>
      </c>
      <c r="P1206">
        <v>290</v>
      </c>
      <c r="Q1206" t="s">
        <v>2687</v>
      </c>
    </row>
    <row r="1207" spans="1:17" x14ac:dyDescent="0.3">
      <c r="A1207" t="s">
        <v>17</v>
      </c>
      <c r="B1207" t="str">
        <f>"603215"</f>
        <v>603215</v>
      </c>
      <c r="C1207" t="s">
        <v>2688</v>
      </c>
      <c r="F1207">
        <v>1080189950</v>
      </c>
      <c r="G1207">
        <v>631395411</v>
      </c>
      <c r="P1207">
        <v>13</v>
      </c>
      <c r="Q1207" t="s">
        <v>2689</v>
      </c>
    </row>
    <row r="1208" spans="1:17" x14ac:dyDescent="0.3">
      <c r="A1208" t="s">
        <v>17</v>
      </c>
      <c r="B1208" t="str">
        <f>"603216"</f>
        <v>603216</v>
      </c>
      <c r="C1208" t="s">
        <v>2690</v>
      </c>
      <c r="D1208" t="s">
        <v>2647</v>
      </c>
      <c r="F1208">
        <v>1047765352</v>
      </c>
      <c r="P1208">
        <v>22</v>
      </c>
      <c r="Q1208" t="s">
        <v>2691</v>
      </c>
    </row>
    <row r="1209" spans="1:17" x14ac:dyDescent="0.3">
      <c r="A1209" t="s">
        <v>17</v>
      </c>
      <c r="B1209" t="str">
        <f>"603217"</f>
        <v>603217</v>
      </c>
      <c r="C1209" t="s">
        <v>2692</v>
      </c>
      <c r="D1209" t="s">
        <v>386</v>
      </c>
      <c r="F1209">
        <v>1062314601</v>
      </c>
      <c r="G1209">
        <v>611832386</v>
      </c>
      <c r="H1209">
        <v>634231813</v>
      </c>
      <c r="I1209">
        <v>736877991</v>
      </c>
      <c r="P1209">
        <v>71</v>
      </c>
      <c r="Q1209" t="s">
        <v>2693</v>
      </c>
    </row>
    <row r="1210" spans="1:17" x14ac:dyDescent="0.3">
      <c r="A1210" t="s">
        <v>17</v>
      </c>
      <c r="B1210" t="str">
        <f>"603218"</f>
        <v>603218</v>
      </c>
      <c r="C1210" t="s">
        <v>2694</v>
      </c>
      <c r="D1210" t="s">
        <v>950</v>
      </c>
      <c r="F1210">
        <v>3217406711</v>
      </c>
      <c r="G1210">
        <v>3279864767</v>
      </c>
      <c r="H1210">
        <v>1733805120</v>
      </c>
      <c r="I1210">
        <v>1357220122</v>
      </c>
      <c r="J1210">
        <v>1315674147</v>
      </c>
      <c r="K1210">
        <v>1264237137</v>
      </c>
      <c r="L1210">
        <v>0</v>
      </c>
      <c r="P1210">
        <v>566</v>
      </c>
      <c r="Q1210" t="s">
        <v>2695</v>
      </c>
    </row>
    <row r="1211" spans="1:17" x14ac:dyDescent="0.3">
      <c r="A1211" t="s">
        <v>17</v>
      </c>
      <c r="B1211" t="str">
        <f>"603219"</f>
        <v>603219</v>
      </c>
      <c r="C1211" t="s">
        <v>2696</v>
      </c>
      <c r="D1211" t="s">
        <v>2697</v>
      </c>
      <c r="F1211">
        <v>1737236065</v>
      </c>
      <c r="G1211">
        <v>1190471211</v>
      </c>
      <c r="P1211">
        <v>23</v>
      </c>
      <c r="Q1211" t="s">
        <v>2698</v>
      </c>
    </row>
    <row r="1212" spans="1:17" x14ac:dyDescent="0.3">
      <c r="A1212" t="s">
        <v>17</v>
      </c>
      <c r="B1212" t="str">
        <f>"603220"</f>
        <v>603220</v>
      </c>
      <c r="C1212" t="s">
        <v>2699</v>
      </c>
      <c r="D1212" t="s">
        <v>654</v>
      </c>
      <c r="F1212">
        <v>1857194753</v>
      </c>
      <c r="G1212">
        <v>1291751507</v>
      </c>
      <c r="H1212">
        <v>1000917612</v>
      </c>
      <c r="I1212">
        <v>1049806209</v>
      </c>
      <c r="J1212">
        <v>609981470</v>
      </c>
      <c r="P1212">
        <v>146</v>
      </c>
      <c r="Q1212" t="s">
        <v>2700</v>
      </c>
    </row>
    <row r="1213" spans="1:17" x14ac:dyDescent="0.3">
      <c r="A1213" t="s">
        <v>17</v>
      </c>
      <c r="B1213" t="str">
        <f>"603221"</f>
        <v>603221</v>
      </c>
      <c r="C1213" t="s">
        <v>2701</v>
      </c>
      <c r="D1213" t="s">
        <v>178</v>
      </c>
      <c r="F1213">
        <v>823565708</v>
      </c>
      <c r="G1213">
        <v>837458501</v>
      </c>
      <c r="H1213">
        <v>896042502</v>
      </c>
      <c r="P1213">
        <v>79</v>
      </c>
      <c r="Q1213" t="s">
        <v>2702</v>
      </c>
    </row>
    <row r="1214" spans="1:17" x14ac:dyDescent="0.3">
      <c r="A1214" t="s">
        <v>17</v>
      </c>
      <c r="B1214" t="str">
        <f>"603222"</f>
        <v>603222</v>
      </c>
      <c r="C1214" t="s">
        <v>2703</v>
      </c>
      <c r="D1214" t="s">
        <v>1077</v>
      </c>
      <c r="F1214">
        <v>808443258</v>
      </c>
      <c r="G1214">
        <v>616946281</v>
      </c>
      <c r="H1214">
        <v>581157285</v>
      </c>
      <c r="I1214">
        <v>509966273</v>
      </c>
      <c r="J1214">
        <v>411128472</v>
      </c>
      <c r="K1214">
        <v>309656691</v>
      </c>
      <c r="L1214">
        <v>379373538</v>
      </c>
      <c r="M1214">
        <v>419960657</v>
      </c>
      <c r="P1214">
        <v>171</v>
      </c>
      <c r="Q1214" t="s">
        <v>2704</v>
      </c>
    </row>
    <row r="1215" spans="1:17" x14ac:dyDescent="0.3">
      <c r="A1215" t="s">
        <v>17</v>
      </c>
      <c r="B1215" t="str">
        <f>"603223"</f>
        <v>603223</v>
      </c>
      <c r="C1215" t="s">
        <v>2705</v>
      </c>
      <c r="D1215" t="s">
        <v>2492</v>
      </c>
      <c r="F1215">
        <v>5693117776</v>
      </c>
      <c r="G1215">
        <v>4290214349</v>
      </c>
      <c r="H1215">
        <v>5984868610</v>
      </c>
      <c r="I1215">
        <v>4419142608</v>
      </c>
      <c r="J1215">
        <v>3099600005</v>
      </c>
      <c r="K1215">
        <v>1430111349</v>
      </c>
      <c r="L1215">
        <v>1667064093</v>
      </c>
      <c r="M1215">
        <v>781210306</v>
      </c>
      <c r="P1215">
        <v>98</v>
      </c>
      <c r="Q1215" t="s">
        <v>2706</v>
      </c>
    </row>
    <row r="1216" spans="1:17" x14ac:dyDescent="0.3">
      <c r="A1216" t="s">
        <v>17</v>
      </c>
      <c r="B1216" t="str">
        <f>"603225"</f>
        <v>603225</v>
      </c>
      <c r="C1216" t="s">
        <v>2707</v>
      </c>
      <c r="D1216" t="s">
        <v>2708</v>
      </c>
      <c r="F1216">
        <v>39673433834</v>
      </c>
      <c r="G1216">
        <v>25031355072</v>
      </c>
      <c r="H1216">
        <v>26071514625</v>
      </c>
      <c r="I1216">
        <v>25343023904</v>
      </c>
      <c r="J1216">
        <v>17027360725</v>
      </c>
      <c r="K1216">
        <v>12942862099</v>
      </c>
      <c r="P1216">
        <v>388</v>
      </c>
      <c r="Q1216" t="s">
        <v>2709</v>
      </c>
    </row>
    <row r="1217" spans="1:17" x14ac:dyDescent="0.3">
      <c r="A1217" t="s">
        <v>17</v>
      </c>
      <c r="B1217" t="str">
        <f>"603226"</f>
        <v>603226</v>
      </c>
      <c r="C1217" t="s">
        <v>2710</v>
      </c>
      <c r="D1217" t="s">
        <v>178</v>
      </c>
      <c r="F1217">
        <v>635805939</v>
      </c>
      <c r="G1217">
        <v>447836770</v>
      </c>
      <c r="H1217">
        <v>617611490</v>
      </c>
      <c r="I1217">
        <v>705385206</v>
      </c>
      <c r="J1217">
        <v>646653717</v>
      </c>
      <c r="K1217">
        <v>550649056</v>
      </c>
      <c r="P1217">
        <v>113</v>
      </c>
      <c r="Q1217" t="s">
        <v>2711</v>
      </c>
    </row>
    <row r="1218" spans="1:17" x14ac:dyDescent="0.3">
      <c r="A1218" t="s">
        <v>17</v>
      </c>
      <c r="B1218" t="str">
        <f>"603227"</f>
        <v>603227</v>
      </c>
      <c r="C1218" t="s">
        <v>2712</v>
      </c>
      <c r="D1218" t="s">
        <v>2713</v>
      </c>
      <c r="F1218">
        <v>1690081071</v>
      </c>
      <c r="G1218">
        <v>934335104</v>
      </c>
      <c r="H1218">
        <v>1009760598</v>
      </c>
      <c r="I1218">
        <v>923805860</v>
      </c>
      <c r="J1218">
        <v>667393244</v>
      </c>
      <c r="K1218">
        <v>521182750</v>
      </c>
      <c r="L1218">
        <v>553958602</v>
      </c>
      <c r="M1218">
        <v>691079236</v>
      </c>
      <c r="P1218">
        <v>80</v>
      </c>
      <c r="Q1218" t="s">
        <v>2714</v>
      </c>
    </row>
    <row r="1219" spans="1:17" x14ac:dyDescent="0.3">
      <c r="A1219" t="s">
        <v>17</v>
      </c>
      <c r="B1219" t="str">
        <f>"603228"</f>
        <v>603228</v>
      </c>
      <c r="C1219" t="s">
        <v>2715</v>
      </c>
      <c r="D1219" t="s">
        <v>425</v>
      </c>
      <c r="F1219">
        <v>6581151427</v>
      </c>
      <c r="G1219">
        <v>5448119524</v>
      </c>
      <c r="H1219">
        <v>4520532278</v>
      </c>
      <c r="I1219">
        <v>3685357716</v>
      </c>
      <c r="J1219">
        <v>3111359441</v>
      </c>
      <c r="K1219">
        <v>2175849947</v>
      </c>
      <c r="L1219">
        <v>1835551869</v>
      </c>
      <c r="P1219">
        <v>1624</v>
      </c>
      <c r="Q1219" t="s">
        <v>2716</v>
      </c>
    </row>
    <row r="1220" spans="1:17" x14ac:dyDescent="0.3">
      <c r="A1220" t="s">
        <v>17</v>
      </c>
      <c r="B1220" t="str">
        <f>"603229"</f>
        <v>603229</v>
      </c>
      <c r="C1220" t="s">
        <v>2717</v>
      </c>
      <c r="D1220" t="s">
        <v>496</v>
      </c>
      <c r="F1220">
        <v>443608884</v>
      </c>
      <c r="G1220">
        <v>327572275</v>
      </c>
      <c r="H1220">
        <v>231786483</v>
      </c>
      <c r="I1220">
        <v>206653333</v>
      </c>
      <c r="J1220">
        <v>163269374</v>
      </c>
      <c r="K1220">
        <v>194251020</v>
      </c>
      <c r="P1220">
        <v>164</v>
      </c>
      <c r="Q1220" t="s">
        <v>2718</v>
      </c>
    </row>
    <row r="1221" spans="1:17" x14ac:dyDescent="0.3">
      <c r="A1221" t="s">
        <v>17</v>
      </c>
      <c r="B1221" t="str">
        <f>"603230"</f>
        <v>603230</v>
      </c>
      <c r="C1221" t="s">
        <v>2719</v>
      </c>
      <c r="D1221" t="s">
        <v>1536</v>
      </c>
      <c r="F1221">
        <v>851250755</v>
      </c>
      <c r="G1221">
        <v>778763000</v>
      </c>
      <c r="P1221">
        <v>17</v>
      </c>
      <c r="Q1221" t="s">
        <v>2720</v>
      </c>
    </row>
    <row r="1222" spans="1:17" x14ac:dyDescent="0.3">
      <c r="A1222" t="s">
        <v>17</v>
      </c>
      <c r="B1222" t="str">
        <f>"603232"</f>
        <v>603232</v>
      </c>
      <c r="C1222" t="s">
        <v>2721</v>
      </c>
      <c r="D1222" t="s">
        <v>945</v>
      </c>
      <c r="F1222">
        <v>354126962</v>
      </c>
      <c r="G1222">
        <v>217753640</v>
      </c>
      <c r="H1222">
        <v>184597231</v>
      </c>
      <c r="I1222">
        <v>165392698</v>
      </c>
      <c r="J1222">
        <v>107189224</v>
      </c>
      <c r="K1222">
        <v>115225911</v>
      </c>
      <c r="P1222">
        <v>159</v>
      </c>
      <c r="Q1222" t="s">
        <v>2722</v>
      </c>
    </row>
    <row r="1223" spans="1:17" x14ac:dyDescent="0.3">
      <c r="A1223" t="s">
        <v>17</v>
      </c>
      <c r="B1223" t="str">
        <f>"603233"</f>
        <v>603233</v>
      </c>
      <c r="C1223" t="s">
        <v>2723</v>
      </c>
      <c r="D1223" t="s">
        <v>1684</v>
      </c>
      <c r="F1223">
        <v>13562430731</v>
      </c>
      <c r="G1223">
        <v>11533110796</v>
      </c>
      <c r="H1223">
        <v>8945921349</v>
      </c>
      <c r="I1223">
        <v>7297473073</v>
      </c>
      <c r="J1223">
        <v>6106806250</v>
      </c>
      <c r="K1223">
        <v>5216418876</v>
      </c>
      <c r="P1223">
        <v>1786</v>
      </c>
      <c r="Q1223" t="s">
        <v>2724</v>
      </c>
    </row>
    <row r="1224" spans="1:17" x14ac:dyDescent="0.3">
      <c r="A1224" t="s">
        <v>17</v>
      </c>
      <c r="B1224" t="str">
        <f>"603236"</f>
        <v>603236</v>
      </c>
      <c r="C1224" t="s">
        <v>2725</v>
      </c>
      <c r="D1224" t="s">
        <v>786</v>
      </c>
      <c r="F1224">
        <v>6543943304</v>
      </c>
      <c r="G1224">
        <v>4350240431</v>
      </c>
      <c r="H1224">
        <v>2800062946</v>
      </c>
      <c r="I1224">
        <v>1859805410</v>
      </c>
      <c r="P1224">
        <v>589</v>
      </c>
      <c r="Q1224" t="s">
        <v>2726</v>
      </c>
    </row>
    <row r="1225" spans="1:17" x14ac:dyDescent="0.3">
      <c r="A1225" t="s">
        <v>17</v>
      </c>
      <c r="B1225" t="str">
        <f>"603238"</f>
        <v>603238</v>
      </c>
      <c r="C1225" t="s">
        <v>2727</v>
      </c>
      <c r="D1225" t="s">
        <v>2728</v>
      </c>
      <c r="F1225">
        <v>1200251170</v>
      </c>
      <c r="G1225">
        <v>1540237061</v>
      </c>
      <c r="H1225">
        <v>800173053</v>
      </c>
      <c r="I1225">
        <v>653618370</v>
      </c>
      <c r="J1225">
        <v>378363440</v>
      </c>
      <c r="K1225">
        <v>361925002</v>
      </c>
      <c r="L1225">
        <v>0</v>
      </c>
      <c r="P1225">
        <v>240</v>
      </c>
      <c r="Q1225" t="s">
        <v>2729</v>
      </c>
    </row>
    <row r="1226" spans="1:17" x14ac:dyDescent="0.3">
      <c r="A1226" t="s">
        <v>17</v>
      </c>
      <c r="B1226" t="str">
        <f>"603239"</f>
        <v>603239</v>
      </c>
      <c r="C1226" t="s">
        <v>2730</v>
      </c>
      <c r="D1226" t="s">
        <v>985</v>
      </c>
      <c r="F1226">
        <v>561952609</v>
      </c>
      <c r="G1226">
        <v>331297921</v>
      </c>
      <c r="H1226">
        <v>491112174</v>
      </c>
      <c r="I1226">
        <v>454335379</v>
      </c>
      <c r="J1226">
        <v>342414888</v>
      </c>
      <c r="K1226">
        <v>240422275</v>
      </c>
      <c r="L1226">
        <v>0</v>
      </c>
      <c r="P1226">
        <v>166</v>
      </c>
      <c r="Q1226" t="s">
        <v>2731</v>
      </c>
    </row>
    <row r="1227" spans="1:17" x14ac:dyDescent="0.3">
      <c r="A1227" t="s">
        <v>17</v>
      </c>
      <c r="B1227" t="str">
        <f>"603256"</f>
        <v>603256</v>
      </c>
      <c r="C1227" t="s">
        <v>2732</v>
      </c>
      <c r="D1227" t="s">
        <v>411</v>
      </c>
      <c r="F1227">
        <v>492953511</v>
      </c>
      <c r="G1227">
        <v>428652993</v>
      </c>
      <c r="H1227">
        <v>464933063</v>
      </c>
      <c r="I1227">
        <v>526107232</v>
      </c>
      <c r="P1227">
        <v>340</v>
      </c>
      <c r="Q1227" t="s">
        <v>2733</v>
      </c>
    </row>
    <row r="1228" spans="1:17" x14ac:dyDescent="0.3">
      <c r="A1228" t="s">
        <v>17</v>
      </c>
      <c r="B1228" t="str">
        <f>"603258"</f>
        <v>603258</v>
      </c>
      <c r="C1228" t="s">
        <v>2734</v>
      </c>
      <c r="D1228" t="s">
        <v>517</v>
      </c>
      <c r="F1228">
        <v>805688002</v>
      </c>
      <c r="G1228">
        <v>874963181</v>
      </c>
      <c r="H1228">
        <v>587181360</v>
      </c>
      <c r="I1228">
        <v>304069386</v>
      </c>
      <c r="J1228">
        <v>330811769</v>
      </c>
      <c r="K1228">
        <v>416422843</v>
      </c>
      <c r="L1228">
        <v>364514008</v>
      </c>
      <c r="P1228">
        <v>770</v>
      </c>
      <c r="Q1228" t="s">
        <v>2735</v>
      </c>
    </row>
    <row r="1229" spans="1:17" x14ac:dyDescent="0.3">
      <c r="A1229" t="s">
        <v>17</v>
      </c>
      <c r="B1229" t="str">
        <f>"603259"</f>
        <v>603259</v>
      </c>
      <c r="C1229" t="s">
        <v>2736</v>
      </c>
      <c r="D1229" t="s">
        <v>1461</v>
      </c>
      <c r="F1229">
        <v>16823642634</v>
      </c>
      <c r="G1229">
        <v>11734779321</v>
      </c>
      <c r="H1229">
        <v>8682845176</v>
      </c>
      <c r="I1229">
        <v>6587023634</v>
      </c>
      <c r="J1229">
        <v>5708636142</v>
      </c>
      <c r="P1229">
        <v>3986</v>
      </c>
      <c r="Q1229" t="s">
        <v>2737</v>
      </c>
    </row>
    <row r="1230" spans="1:17" x14ac:dyDescent="0.3">
      <c r="A1230" t="s">
        <v>17</v>
      </c>
      <c r="B1230" t="str">
        <f>"603260"</f>
        <v>603260</v>
      </c>
      <c r="C1230" t="s">
        <v>2738</v>
      </c>
      <c r="D1230" t="s">
        <v>2739</v>
      </c>
      <c r="F1230">
        <v>8572415171</v>
      </c>
      <c r="G1230">
        <v>4158343380</v>
      </c>
      <c r="H1230">
        <v>4475125302</v>
      </c>
      <c r="I1230">
        <v>6096274559</v>
      </c>
      <c r="J1230">
        <v>3647021670</v>
      </c>
      <c r="K1230">
        <v>2636550204</v>
      </c>
      <c r="P1230">
        <v>700</v>
      </c>
      <c r="Q1230" t="s">
        <v>2740</v>
      </c>
    </row>
    <row r="1231" spans="1:17" x14ac:dyDescent="0.3">
      <c r="A1231" t="s">
        <v>17</v>
      </c>
      <c r="B1231" t="str">
        <f>"603266"</f>
        <v>603266</v>
      </c>
      <c r="C1231" t="s">
        <v>2741</v>
      </c>
      <c r="D1231" t="s">
        <v>1192</v>
      </c>
      <c r="F1231">
        <v>915293344</v>
      </c>
      <c r="G1231">
        <v>704324532</v>
      </c>
      <c r="H1231">
        <v>709065415</v>
      </c>
      <c r="I1231">
        <v>706886256</v>
      </c>
      <c r="J1231">
        <v>660999904</v>
      </c>
      <c r="K1231">
        <v>575251673</v>
      </c>
      <c r="L1231">
        <v>508574512</v>
      </c>
      <c r="P1231">
        <v>95</v>
      </c>
      <c r="Q1231" t="s">
        <v>2742</v>
      </c>
    </row>
    <row r="1232" spans="1:17" x14ac:dyDescent="0.3">
      <c r="A1232" t="s">
        <v>17</v>
      </c>
      <c r="B1232" t="str">
        <f>"603267"</f>
        <v>603267</v>
      </c>
      <c r="C1232" t="s">
        <v>2743</v>
      </c>
      <c r="D1232" t="s">
        <v>1136</v>
      </c>
      <c r="F1232">
        <v>1314410908</v>
      </c>
      <c r="G1232">
        <v>758986756</v>
      </c>
      <c r="H1232">
        <v>590580290</v>
      </c>
      <c r="I1232">
        <v>615362171</v>
      </c>
      <c r="P1232">
        <v>469</v>
      </c>
      <c r="Q1232" t="s">
        <v>2744</v>
      </c>
    </row>
    <row r="1233" spans="1:17" x14ac:dyDescent="0.3">
      <c r="A1233" t="s">
        <v>17</v>
      </c>
      <c r="B1233" t="str">
        <f>"603268"</f>
        <v>603268</v>
      </c>
      <c r="C1233" t="s">
        <v>2745</v>
      </c>
      <c r="D1233" t="s">
        <v>2436</v>
      </c>
      <c r="F1233">
        <v>304165043</v>
      </c>
      <c r="G1233">
        <v>305570691</v>
      </c>
      <c r="H1233">
        <v>439961896</v>
      </c>
      <c r="I1233">
        <v>393950457</v>
      </c>
      <c r="J1233">
        <v>398258178</v>
      </c>
      <c r="K1233">
        <v>231917673</v>
      </c>
      <c r="L1233">
        <v>189230864</v>
      </c>
      <c r="M1233">
        <v>203946359</v>
      </c>
      <c r="P1233">
        <v>70</v>
      </c>
      <c r="Q1233" t="s">
        <v>2746</v>
      </c>
    </row>
    <row r="1234" spans="1:17" x14ac:dyDescent="0.3">
      <c r="A1234" t="s">
        <v>17</v>
      </c>
      <c r="B1234" t="str">
        <f>"603269"</f>
        <v>603269</v>
      </c>
      <c r="C1234" t="s">
        <v>2747</v>
      </c>
      <c r="D1234" t="s">
        <v>560</v>
      </c>
      <c r="F1234">
        <v>686593847</v>
      </c>
      <c r="G1234">
        <v>489873371</v>
      </c>
      <c r="H1234">
        <v>347644122</v>
      </c>
      <c r="I1234">
        <v>324340935</v>
      </c>
      <c r="J1234">
        <v>326731064</v>
      </c>
      <c r="K1234">
        <v>275753468</v>
      </c>
      <c r="P1234">
        <v>63</v>
      </c>
      <c r="Q1234" t="s">
        <v>2748</v>
      </c>
    </row>
    <row r="1235" spans="1:17" x14ac:dyDescent="0.3">
      <c r="A1235" t="s">
        <v>17</v>
      </c>
      <c r="B1235" t="str">
        <f>"603277"</f>
        <v>603277</v>
      </c>
      <c r="C1235" t="s">
        <v>2749</v>
      </c>
      <c r="D1235" t="s">
        <v>988</v>
      </c>
      <c r="F1235">
        <v>1722904248</v>
      </c>
      <c r="G1235">
        <v>1082202952</v>
      </c>
      <c r="H1235">
        <v>1330587077</v>
      </c>
      <c r="I1235">
        <v>1104884615</v>
      </c>
      <c r="J1235">
        <v>1060969151</v>
      </c>
      <c r="K1235">
        <v>893654049</v>
      </c>
      <c r="P1235">
        <v>136</v>
      </c>
      <c r="Q1235" t="s">
        <v>2750</v>
      </c>
    </row>
    <row r="1236" spans="1:17" x14ac:dyDescent="0.3">
      <c r="A1236" t="s">
        <v>17</v>
      </c>
      <c r="B1236" t="str">
        <f>"603278"</f>
        <v>603278</v>
      </c>
      <c r="C1236" t="s">
        <v>2751</v>
      </c>
      <c r="D1236" t="s">
        <v>274</v>
      </c>
      <c r="F1236">
        <v>3261354345</v>
      </c>
      <c r="G1236">
        <v>1696792029</v>
      </c>
      <c r="H1236">
        <v>1547518800</v>
      </c>
      <c r="I1236">
        <v>1274718240</v>
      </c>
      <c r="J1236">
        <v>867957865</v>
      </c>
      <c r="K1236">
        <v>701732138</v>
      </c>
      <c r="P1236">
        <v>122</v>
      </c>
      <c r="Q1236" t="s">
        <v>2752</v>
      </c>
    </row>
    <row r="1237" spans="1:17" x14ac:dyDescent="0.3">
      <c r="A1237" t="s">
        <v>17</v>
      </c>
      <c r="B1237" t="str">
        <f>"603279"</f>
        <v>603279</v>
      </c>
      <c r="C1237" t="s">
        <v>2753</v>
      </c>
      <c r="D1237" t="s">
        <v>1070</v>
      </c>
      <c r="F1237">
        <v>2495071839</v>
      </c>
      <c r="G1237">
        <v>1978944383</v>
      </c>
      <c r="H1237">
        <v>1967046037</v>
      </c>
      <c r="I1237">
        <v>1660136798</v>
      </c>
      <c r="P1237">
        <v>231</v>
      </c>
      <c r="Q1237" t="s">
        <v>2754</v>
      </c>
    </row>
    <row r="1238" spans="1:17" x14ac:dyDescent="0.3">
      <c r="A1238" t="s">
        <v>17</v>
      </c>
      <c r="B1238" t="str">
        <f>"603283"</f>
        <v>603283</v>
      </c>
      <c r="C1238" t="s">
        <v>2755</v>
      </c>
      <c r="D1238" t="s">
        <v>2423</v>
      </c>
      <c r="F1238">
        <v>1904879401</v>
      </c>
      <c r="G1238">
        <v>823833831</v>
      </c>
      <c r="H1238">
        <v>799288645</v>
      </c>
      <c r="I1238">
        <v>469752891</v>
      </c>
      <c r="J1238">
        <v>373882158</v>
      </c>
      <c r="P1238">
        <v>216</v>
      </c>
      <c r="Q1238" t="s">
        <v>2756</v>
      </c>
    </row>
    <row r="1239" spans="1:17" x14ac:dyDescent="0.3">
      <c r="A1239" t="s">
        <v>17</v>
      </c>
      <c r="B1239" t="str">
        <f>"603286"</f>
        <v>603286</v>
      </c>
      <c r="C1239" t="s">
        <v>2757</v>
      </c>
      <c r="D1239" t="s">
        <v>348</v>
      </c>
      <c r="F1239">
        <v>339277376</v>
      </c>
      <c r="G1239">
        <v>307387107</v>
      </c>
      <c r="H1239">
        <v>312800538</v>
      </c>
      <c r="I1239">
        <v>267111072</v>
      </c>
      <c r="J1239">
        <v>248748476</v>
      </c>
      <c r="K1239">
        <v>208904337</v>
      </c>
      <c r="P1239">
        <v>66</v>
      </c>
      <c r="Q1239" t="s">
        <v>2758</v>
      </c>
    </row>
    <row r="1240" spans="1:17" x14ac:dyDescent="0.3">
      <c r="A1240" t="s">
        <v>17</v>
      </c>
      <c r="B1240" t="str">
        <f>"603288"</f>
        <v>603288</v>
      </c>
      <c r="C1240" t="s">
        <v>2759</v>
      </c>
      <c r="D1240" t="s">
        <v>433</v>
      </c>
      <c r="F1240">
        <v>18280965434</v>
      </c>
      <c r="G1240">
        <v>17744469652</v>
      </c>
      <c r="H1240">
        <v>15697096535</v>
      </c>
      <c r="I1240">
        <v>13363510485</v>
      </c>
      <c r="J1240">
        <v>11851891069</v>
      </c>
      <c r="K1240">
        <v>9776680401</v>
      </c>
      <c r="L1240">
        <v>7756691853</v>
      </c>
      <c r="M1240">
        <v>7095479339</v>
      </c>
      <c r="N1240">
        <v>6088054256</v>
      </c>
      <c r="O1240">
        <v>5734541187</v>
      </c>
      <c r="P1240">
        <v>54149</v>
      </c>
      <c r="Q1240" t="s">
        <v>2760</v>
      </c>
    </row>
    <row r="1241" spans="1:17" x14ac:dyDescent="0.3">
      <c r="A1241" t="s">
        <v>17</v>
      </c>
      <c r="B1241" t="str">
        <f>"603289"</f>
        <v>603289</v>
      </c>
      <c r="C1241" t="s">
        <v>2761</v>
      </c>
      <c r="D1241" t="s">
        <v>741</v>
      </c>
      <c r="F1241">
        <v>688596669</v>
      </c>
      <c r="G1241">
        <v>477132111</v>
      </c>
      <c r="H1241">
        <v>479503183</v>
      </c>
      <c r="I1241">
        <v>452521132</v>
      </c>
      <c r="J1241">
        <v>529704923</v>
      </c>
      <c r="K1241">
        <v>367478801</v>
      </c>
      <c r="P1241">
        <v>115</v>
      </c>
      <c r="Q1241" t="s">
        <v>2762</v>
      </c>
    </row>
    <row r="1242" spans="1:17" x14ac:dyDescent="0.3">
      <c r="A1242" t="s">
        <v>17</v>
      </c>
      <c r="B1242" t="str">
        <f>"603290"</f>
        <v>603290</v>
      </c>
      <c r="C1242" t="s">
        <v>2763</v>
      </c>
      <c r="D1242" t="s">
        <v>795</v>
      </c>
      <c r="F1242">
        <v>958189132</v>
      </c>
      <c r="G1242">
        <v>365534237</v>
      </c>
      <c r="H1242">
        <v>473022503</v>
      </c>
      <c r="P1242">
        <v>635</v>
      </c>
      <c r="Q1242" t="s">
        <v>2764</v>
      </c>
    </row>
    <row r="1243" spans="1:17" x14ac:dyDescent="0.3">
      <c r="A1243" t="s">
        <v>17</v>
      </c>
      <c r="B1243" t="str">
        <f>"603297"</f>
        <v>603297</v>
      </c>
      <c r="C1243" t="s">
        <v>2765</v>
      </c>
      <c r="D1243" t="s">
        <v>164</v>
      </c>
      <c r="F1243">
        <v>548452567</v>
      </c>
      <c r="G1243">
        <v>427223106</v>
      </c>
      <c r="H1243">
        <v>411588223</v>
      </c>
      <c r="I1243">
        <v>408625890</v>
      </c>
      <c r="J1243">
        <v>376166956</v>
      </c>
      <c r="P1243">
        <v>238</v>
      </c>
      <c r="Q1243" t="s">
        <v>2766</v>
      </c>
    </row>
    <row r="1244" spans="1:17" x14ac:dyDescent="0.3">
      <c r="A1244" t="s">
        <v>17</v>
      </c>
      <c r="B1244" t="str">
        <f>"603298"</f>
        <v>603298</v>
      </c>
      <c r="C1244" t="s">
        <v>2767</v>
      </c>
      <c r="D1244" t="s">
        <v>83</v>
      </c>
      <c r="F1244">
        <v>9118711820</v>
      </c>
      <c r="G1244">
        <v>6147808805</v>
      </c>
      <c r="H1244">
        <v>4907560380</v>
      </c>
      <c r="I1244">
        <v>4507075817</v>
      </c>
      <c r="J1244">
        <v>3880794722</v>
      </c>
      <c r="K1244">
        <v>2861320986</v>
      </c>
      <c r="L1244">
        <v>0</v>
      </c>
      <c r="P1244">
        <v>451</v>
      </c>
      <c r="Q1244" t="s">
        <v>2768</v>
      </c>
    </row>
    <row r="1245" spans="1:17" x14ac:dyDescent="0.3">
      <c r="A1245" t="s">
        <v>17</v>
      </c>
      <c r="B1245" t="str">
        <f>"603299"</f>
        <v>603299</v>
      </c>
      <c r="C1245" t="s">
        <v>2769</v>
      </c>
      <c r="D1245" t="s">
        <v>736</v>
      </c>
      <c r="F1245">
        <v>3310791624</v>
      </c>
      <c r="G1245">
        <v>2383172337</v>
      </c>
      <c r="H1245">
        <v>2538281291</v>
      </c>
      <c r="I1245">
        <v>2279112895</v>
      </c>
      <c r="J1245">
        <v>2412384236</v>
      </c>
      <c r="K1245">
        <v>1698097416</v>
      </c>
      <c r="L1245">
        <v>1789158205</v>
      </c>
      <c r="P1245">
        <v>139</v>
      </c>
      <c r="Q1245" t="s">
        <v>2770</v>
      </c>
    </row>
    <row r="1246" spans="1:17" x14ac:dyDescent="0.3">
      <c r="A1246" t="s">
        <v>17</v>
      </c>
      <c r="B1246" t="str">
        <f>"603300"</f>
        <v>603300</v>
      </c>
      <c r="C1246" t="s">
        <v>2771</v>
      </c>
      <c r="D1246" t="s">
        <v>336</v>
      </c>
      <c r="F1246">
        <v>1393245976</v>
      </c>
      <c r="G1246">
        <v>836888435</v>
      </c>
      <c r="H1246">
        <v>529639113</v>
      </c>
      <c r="I1246">
        <v>330527100</v>
      </c>
      <c r="J1246">
        <v>296712142</v>
      </c>
      <c r="K1246">
        <v>203521651</v>
      </c>
      <c r="L1246">
        <v>175287452</v>
      </c>
      <c r="M1246">
        <v>193425492</v>
      </c>
      <c r="P1246">
        <v>123</v>
      </c>
      <c r="Q1246" t="s">
        <v>2772</v>
      </c>
    </row>
    <row r="1247" spans="1:17" x14ac:dyDescent="0.3">
      <c r="A1247" t="s">
        <v>17</v>
      </c>
      <c r="B1247" t="str">
        <f>"603301"</f>
        <v>603301</v>
      </c>
      <c r="C1247" t="s">
        <v>2773</v>
      </c>
      <c r="D1247" t="s">
        <v>1077</v>
      </c>
      <c r="F1247">
        <v>4183180180</v>
      </c>
      <c r="G1247">
        <v>8498857206</v>
      </c>
      <c r="H1247">
        <v>1332005916</v>
      </c>
      <c r="I1247">
        <v>942941711</v>
      </c>
      <c r="J1247">
        <v>931760900</v>
      </c>
      <c r="P1247">
        <v>1533</v>
      </c>
      <c r="Q1247" t="s">
        <v>2774</v>
      </c>
    </row>
    <row r="1248" spans="1:17" x14ac:dyDescent="0.3">
      <c r="A1248" t="s">
        <v>17</v>
      </c>
      <c r="B1248" t="str">
        <f>"603302"</f>
        <v>603302</v>
      </c>
      <c r="C1248" t="s">
        <v>2775</v>
      </c>
      <c r="J1248">
        <v>570530257</v>
      </c>
      <c r="K1248">
        <v>457824271</v>
      </c>
      <c r="P1248">
        <v>19</v>
      </c>
      <c r="Q1248" t="s">
        <v>2776</v>
      </c>
    </row>
    <row r="1249" spans="1:17" x14ac:dyDescent="0.3">
      <c r="A1249" t="s">
        <v>17</v>
      </c>
      <c r="B1249" t="str">
        <f>"603303"</f>
        <v>603303</v>
      </c>
      <c r="C1249" t="s">
        <v>2777</v>
      </c>
      <c r="D1249" t="s">
        <v>598</v>
      </c>
      <c r="F1249">
        <v>3425153003</v>
      </c>
      <c r="G1249">
        <v>3185034593</v>
      </c>
      <c r="H1249">
        <v>3026386745</v>
      </c>
      <c r="I1249">
        <v>2864982393</v>
      </c>
      <c r="J1249">
        <v>2952375565</v>
      </c>
      <c r="K1249">
        <v>2192904949</v>
      </c>
      <c r="P1249">
        <v>180</v>
      </c>
      <c r="Q1249" t="s">
        <v>2778</v>
      </c>
    </row>
    <row r="1250" spans="1:17" x14ac:dyDescent="0.3">
      <c r="A1250" t="s">
        <v>17</v>
      </c>
      <c r="B1250" t="str">
        <f>"603305"</f>
        <v>603305</v>
      </c>
      <c r="C1250" t="s">
        <v>2779</v>
      </c>
      <c r="D1250" t="s">
        <v>348</v>
      </c>
      <c r="F1250">
        <v>1687895599</v>
      </c>
      <c r="G1250">
        <v>981116688</v>
      </c>
      <c r="H1250">
        <v>845717768</v>
      </c>
      <c r="I1250">
        <v>740653581</v>
      </c>
      <c r="J1250">
        <v>531569900</v>
      </c>
      <c r="K1250">
        <v>370597093</v>
      </c>
      <c r="P1250">
        <v>506</v>
      </c>
      <c r="Q1250" t="s">
        <v>2780</v>
      </c>
    </row>
    <row r="1251" spans="1:17" x14ac:dyDescent="0.3">
      <c r="A1251" t="s">
        <v>17</v>
      </c>
      <c r="B1251" t="str">
        <f>"603306"</f>
        <v>603306</v>
      </c>
      <c r="C1251" t="s">
        <v>2781</v>
      </c>
      <c r="D1251" t="s">
        <v>191</v>
      </c>
      <c r="F1251">
        <v>750975119</v>
      </c>
      <c r="G1251">
        <v>595397412</v>
      </c>
      <c r="H1251">
        <v>715226488</v>
      </c>
      <c r="I1251">
        <v>804722940</v>
      </c>
      <c r="J1251">
        <v>748714765</v>
      </c>
      <c r="K1251">
        <v>577596723</v>
      </c>
      <c r="L1251">
        <v>411080267</v>
      </c>
      <c r="M1251">
        <v>324740886</v>
      </c>
      <c r="N1251">
        <v>261013676</v>
      </c>
      <c r="P1251">
        <v>631</v>
      </c>
      <c r="Q1251" t="s">
        <v>2782</v>
      </c>
    </row>
    <row r="1252" spans="1:17" x14ac:dyDescent="0.3">
      <c r="A1252" t="s">
        <v>17</v>
      </c>
      <c r="B1252" t="str">
        <f>"603308"</f>
        <v>603308</v>
      </c>
      <c r="C1252" t="s">
        <v>2783</v>
      </c>
      <c r="D1252" t="s">
        <v>274</v>
      </c>
      <c r="F1252">
        <v>1437238066</v>
      </c>
      <c r="G1252">
        <v>1244145577</v>
      </c>
      <c r="H1252">
        <v>1554178305</v>
      </c>
      <c r="I1252">
        <v>1164708131</v>
      </c>
      <c r="J1252">
        <v>1061782883</v>
      </c>
      <c r="K1252">
        <v>987646305</v>
      </c>
      <c r="L1252">
        <v>1030715295</v>
      </c>
      <c r="M1252">
        <v>1044459790</v>
      </c>
      <c r="N1252">
        <v>1065461865</v>
      </c>
      <c r="P1252">
        <v>233</v>
      </c>
      <c r="Q1252" t="s">
        <v>2784</v>
      </c>
    </row>
    <row r="1253" spans="1:17" x14ac:dyDescent="0.3">
      <c r="A1253" t="s">
        <v>17</v>
      </c>
      <c r="B1253" t="str">
        <f>"603309"</f>
        <v>603309</v>
      </c>
      <c r="C1253" t="s">
        <v>2785</v>
      </c>
      <c r="D1253" t="s">
        <v>1077</v>
      </c>
      <c r="F1253">
        <v>817300580</v>
      </c>
      <c r="G1253">
        <v>907299171</v>
      </c>
      <c r="H1253">
        <v>757670244</v>
      </c>
      <c r="I1253">
        <v>535093916</v>
      </c>
      <c r="J1253">
        <v>475060757</v>
      </c>
      <c r="K1253">
        <v>427111115</v>
      </c>
      <c r="L1253">
        <v>415157325</v>
      </c>
      <c r="M1253">
        <v>406023868</v>
      </c>
      <c r="P1253">
        <v>147</v>
      </c>
      <c r="Q1253" t="s">
        <v>2786</v>
      </c>
    </row>
    <row r="1254" spans="1:17" x14ac:dyDescent="0.3">
      <c r="A1254" t="s">
        <v>17</v>
      </c>
      <c r="B1254" t="str">
        <f>"603311"</f>
        <v>603311</v>
      </c>
      <c r="C1254" t="s">
        <v>2787</v>
      </c>
      <c r="D1254" t="s">
        <v>1253</v>
      </c>
      <c r="F1254">
        <v>529060717</v>
      </c>
      <c r="G1254">
        <v>550316497</v>
      </c>
      <c r="H1254">
        <v>477447668</v>
      </c>
      <c r="I1254">
        <v>454745803</v>
      </c>
      <c r="J1254">
        <v>410317909</v>
      </c>
      <c r="K1254">
        <v>406286275</v>
      </c>
      <c r="L1254">
        <v>348194577</v>
      </c>
      <c r="M1254">
        <v>337088481</v>
      </c>
      <c r="P1254">
        <v>96</v>
      </c>
      <c r="Q1254" t="s">
        <v>2788</v>
      </c>
    </row>
    <row r="1255" spans="1:17" x14ac:dyDescent="0.3">
      <c r="A1255" t="s">
        <v>17</v>
      </c>
      <c r="B1255" t="str">
        <f>"603313"</f>
        <v>603313</v>
      </c>
      <c r="C1255" t="s">
        <v>2789</v>
      </c>
      <c r="D1255" t="s">
        <v>757</v>
      </c>
      <c r="F1255">
        <v>6104942817</v>
      </c>
      <c r="G1255">
        <v>4525035845</v>
      </c>
      <c r="H1255">
        <v>2635335590</v>
      </c>
      <c r="I1255">
        <v>2117746841</v>
      </c>
      <c r="J1255">
        <v>1583676141</v>
      </c>
      <c r="K1255">
        <v>1251220482</v>
      </c>
      <c r="L1255">
        <v>965344424</v>
      </c>
      <c r="P1255">
        <v>580</v>
      </c>
      <c r="Q1255" t="s">
        <v>2790</v>
      </c>
    </row>
    <row r="1256" spans="1:17" x14ac:dyDescent="0.3">
      <c r="A1256" t="s">
        <v>17</v>
      </c>
      <c r="B1256" t="str">
        <f>"603315"</f>
        <v>603315</v>
      </c>
      <c r="C1256" t="s">
        <v>2791</v>
      </c>
      <c r="D1256" t="s">
        <v>274</v>
      </c>
      <c r="F1256">
        <v>626131223</v>
      </c>
      <c r="G1256">
        <v>518053070</v>
      </c>
      <c r="H1256">
        <v>568030291</v>
      </c>
      <c r="I1256">
        <v>211068841</v>
      </c>
      <c r="J1256">
        <v>249350802</v>
      </c>
      <c r="K1256">
        <v>229613971</v>
      </c>
      <c r="L1256">
        <v>304364813</v>
      </c>
      <c r="M1256">
        <v>279931113</v>
      </c>
      <c r="P1256">
        <v>57</v>
      </c>
      <c r="Q1256" t="s">
        <v>2792</v>
      </c>
    </row>
    <row r="1257" spans="1:17" x14ac:dyDescent="0.3">
      <c r="A1257" t="s">
        <v>17</v>
      </c>
      <c r="B1257" t="str">
        <f>"603316"</f>
        <v>603316</v>
      </c>
      <c r="C1257" t="s">
        <v>2793</v>
      </c>
      <c r="D1257" t="s">
        <v>2408</v>
      </c>
      <c r="F1257">
        <v>569612317</v>
      </c>
      <c r="G1257">
        <v>577828333</v>
      </c>
      <c r="H1257">
        <v>532727692</v>
      </c>
      <c r="I1257">
        <v>603306096</v>
      </c>
      <c r="J1257">
        <v>422647635</v>
      </c>
      <c r="K1257">
        <v>404668535</v>
      </c>
      <c r="P1257">
        <v>59</v>
      </c>
      <c r="Q1257" t="s">
        <v>2794</v>
      </c>
    </row>
    <row r="1258" spans="1:17" x14ac:dyDescent="0.3">
      <c r="A1258" t="s">
        <v>17</v>
      </c>
      <c r="B1258" t="str">
        <f>"603317"</f>
        <v>603317</v>
      </c>
      <c r="C1258" t="s">
        <v>2795</v>
      </c>
      <c r="D1258" t="s">
        <v>433</v>
      </c>
      <c r="F1258">
        <v>1480823862</v>
      </c>
      <c r="G1258">
        <v>1799607116</v>
      </c>
      <c r="H1258">
        <v>1250652975</v>
      </c>
      <c r="I1258">
        <v>1041529206</v>
      </c>
      <c r="P1258">
        <v>1436</v>
      </c>
      <c r="Q1258" t="s">
        <v>2796</v>
      </c>
    </row>
    <row r="1259" spans="1:17" x14ac:dyDescent="0.3">
      <c r="A1259" t="s">
        <v>17</v>
      </c>
      <c r="B1259" t="str">
        <f>"603318"</f>
        <v>603318</v>
      </c>
      <c r="C1259" t="s">
        <v>2797</v>
      </c>
      <c r="D1259" t="s">
        <v>749</v>
      </c>
      <c r="F1259">
        <v>1748593609</v>
      </c>
      <c r="G1259">
        <v>606826386</v>
      </c>
      <c r="H1259">
        <v>295232111</v>
      </c>
      <c r="I1259">
        <v>298208181</v>
      </c>
      <c r="J1259">
        <v>372045241</v>
      </c>
      <c r="K1259">
        <v>231928391</v>
      </c>
      <c r="L1259">
        <v>83965501</v>
      </c>
      <c r="M1259">
        <v>153865802</v>
      </c>
      <c r="P1259">
        <v>63</v>
      </c>
      <c r="Q1259" t="s">
        <v>2798</v>
      </c>
    </row>
    <row r="1260" spans="1:17" x14ac:dyDescent="0.3">
      <c r="A1260" t="s">
        <v>17</v>
      </c>
      <c r="B1260" t="str">
        <f>"603319"</f>
        <v>603319</v>
      </c>
      <c r="C1260" t="s">
        <v>2799</v>
      </c>
      <c r="D1260" t="s">
        <v>348</v>
      </c>
      <c r="F1260">
        <v>846607514</v>
      </c>
      <c r="G1260">
        <v>618607551</v>
      </c>
      <c r="H1260">
        <v>486069611</v>
      </c>
      <c r="I1260">
        <v>476003825</v>
      </c>
      <c r="J1260">
        <v>430586132</v>
      </c>
      <c r="K1260">
        <v>288641363</v>
      </c>
      <c r="L1260">
        <v>289567805</v>
      </c>
      <c r="P1260">
        <v>171</v>
      </c>
      <c r="Q1260" t="s">
        <v>2800</v>
      </c>
    </row>
    <row r="1261" spans="1:17" x14ac:dyDescent="0.3">
      <c r="A1261" t="s">
        <v>17</v>
      </c>
      <c r="B1261" t="str">
        <f>"603320"</f>
        <v>603320</v>
      </c>
      <c r="C1261" t="s">
        <v>2801</v>
      </c>
      <c r="D1261" t="s">
        <v>1171</v>
      </c>
      <c r="F1261">
        <v>399085649</v>
      </c>
      <c r="G1261">
        <v>292016021</v>
      </c>
      <c r="H1261">
        <v>256271376</v>
      </c>
      <c r="I1261">
        <v>320428203</v>
      </c>
      <c r="J1261">
        <v>281455045</v>
      </c>
      <c r="K1261">
        <v>213602455</v>
      </c>
      <c r="P1261">
        <v>94</v>
      </c>
      <c r="Q1261" t="s">
        <v>2802</v>
      </c>
    </row>
    <row r="1262" spans="1:17" x14ac:dyDescent="0.3">
      <c r="A1262" t="s">
        <v>17</v>
      </c>
      <c r="B1262" t="str">
        <f>"603321"</f>
        <v>603321</v>
      </c>
      <c r="C1262" t="s">
        <v>2803</v>
      </c>
      <c r="D1262" t="s">
        <v>1689</v>
      </c>
      <c r="F1262">
        <v>726316286</v>
      </c>
      <c r="G1262">
        <v>547882273</v>
      </c>
      <c r="H1262">
        <v>619379626</v>
      </c>
      <c r="I1262">
        <v>521778168</v>
      </c>
      <c r="J1262">
        <v>510023272</v>
      </c>
      <c r="K1262">
        <v>640695551</v>
      </c>
      <c r="P1262">
        <v>59</v>
      </c>
      <c r="Q1262" t="s">
        <v>2804</v>
      </c>
    </row>
    <row r="1263" spans="1:17" x14ac:dyDescent="0.3">
      <c r="A1263" t="s">
        <v>17</v>
      </c>
      <c r="B1263" t="str">
        <f>"603322"</f>
        <v>603322</v>
      </c>
      <c r="C1263" t="s">
        <v>2805</v>
      </c>
      <c r="D1263" t="s">
        <v>654</v>
      </c>
      <c r="F1263">
        <v>1098020830</v>
      </c>
      <c r="G1263">
        <v>945131844</v>
      </c>
      <c r="H1263">
        <v>836110237</v>
      </c>
      <c r="I1263">
        <v>797711404</v>
      </c>
      <c r="J1263">
        <v>426800241</v>
      </c>
      <c r="K1263">
        <v>356094692</v>
      </c>
      <c r="L1263">
        <v>339940771</v>
      </c>
      <c r="P1263">
        <v>184</v>
      </c>
      <c r="Q1263" t="s">
        <v>2806</v>
      </c>
    </row>
    <row r="1264" spans="1:17" x14ac:dyDescent="0.3">
      <c r="A1264" t="s">
        <v>17</v>
      </c>
      <c r="B1264" t="str">
        <f>"603323"</f>
        <v>603323</v>
      </c>
      <c r="C1264" t="s">
        <v>2807</v>
      </c>
      <c r="D1264" t="s">
        <v>1827</v>
      </c>
      <c r="P1264">
        <v>498</v>
      </c>
      <c r="Q1264" t="s">
        <v>2808</v>
      </c>
    </row>
    <row r="1265" spans="1:17" x14ac:dyDescent="0.3">
      <c r="A1265" t="s">
        <v>17</v>
      </c>
      <c r="B1265" t="str">
        <f>"603324"</f>
        <v>603324</v>
      </c>
      <c r="C1265" t="s">
        <v>2809</v>
      </c>
      <c r="D1265" t="s">
        <v>1070</v>
      </c>
      <c r="F1265">
        <v>442304723</v>
      </c>
      <c r="P1265">
        <v>29</v>
      </c>
      <c r="Q1265" t="s">
        <v>2810</v>
      </c>
    </row>
    <row r="1266" spans="1:17" x14ac:dyDescent="0.3">
      <c r="A1266" t="s">
        <v>17</v>
      </c>
      <c r="B1266" t="str">
        <f>"603326"</f>
        <v>603326</v>
      </c>
      <c r="C1266" t="s">
        <v>2811</v>
      </c>
      <c r="D1266" t="s">
        <v>2647</v>
      </c>
      <c r="F1266">
        <v>1319437910</v>
      </c>
      <c r="G1266">
        <v>935151965</v>
      </c>
      <c r="H1266">
        <v>947957091</v>
      </c>
      <c r="I1266">
        <v>827628820</v>
      </c>
      <c r="J1266">
        <v>751033668</v>
      </c>
      <c r="K1266">
        <v>543311259</v>
      </c>
      <c r="P1266">
        <v>247</v>
      </c>
      <c r="Q1266" t="s">
        <v>2812</v>
      </c>
    </row>
    <row r="1267" spans="1:17" x14ac:dyDescent="0.3">
      <c r="A1267" t="s">
        <v>17</v>
      </c>
      <c r="B1267" t="str">
        <f>"603327"</f>
        <v>603327</v>
      </c>
      <c r="C1267" t="s">
        <v>2813</v>
      </c>
      <c r="D1267" t="s">
        <v>313</v>
      </c>
      <c r="F1267">
        <v>1401223386</v>
      </c>
      <c r="G1267">
        <v>1110905904</v>
      </c>
      <c r="H1267">
        <v>929779766</v>
      </c>
      <c r="I1267">
        <v>732405530</v>
      </c>
      <c r="P1267">
        <v>347</v>
      </c>
      <c r="Q1267" t="s">
        <v>2814</v>
      </c>
    </row>
    <row r="1268" spans="1:17" x14ac:dyDescent="0.3">
      <c r="A1268" t="s">
        <v>17</v>
      </c>
      <c r="B1268" t="str">
        <f>"603328"</f>
        <v>603328</v>
      </c>
      <c r="C1268" t="s">
        <v>2815</v>
      </c>
      <c r="D1268" t="s">
        <v>425</v>
      </c>
      <c r="F1268">
        <v>1913304034</v>
      </c>
      <c r="G1268">
        <v>1930211038</v>
      </c>
      <c r="H1268">
        <v>2497105863</v>
      </c>
      <c r="I1268">
        <v>2344251536</v>
      </c>
      <c r="J1268">
        <v>2362088872</v>
      </c>
      <c r="K1268">
        <v>2107141347</v>
      </c>
      <c r="L1268">
        <v>2061410291</v>
      </c>
      <c r="M1268">
        <v>1849670084</v>
      </c>
      <c r="N1268">
        <v>1837669249</v>
      </c>
      <c r="P1268">
        <v>590</v>
      </c>
      <c r="Q1268" t="s">
        <v>2816</v>
      </c>
    </row>
    <row r="1269" spans="1:17" x14ac:dyDescent="0.3">
      <c r="A1269" t="s">
        <v>17</v>
      </c>
      <c r="B1269" t="str">
        <f>"603329"</f>
        <v>603329</v>
      </c>
      <c r="C1269" t="s">
        <v>2817</v>
      </c>
      <c r="D1269" t="s">
        <v>128</v>
      </c>
      <c r="F1269">
        <v>1958432025</v>
      </c>
      <c r="G1269">
        <v>1408901870</v>
      </c>
      <c r="H1269">
        <v>1495584167</v>
      </c>
      <c r="I1269">
        <v>1340938947</v>
      </c>
      <c r="J1269">
        <v>1328947176</v>
      </c>
      <c r="K1269">
        <v>0</v>
      </c>
      <c r="P1269">
        <v>62</v>
      </c>
      <c r="Q1269" t="s">
        <v>2818</v>
      </c>
    </row>
    <row r="1270" spans="1:17" x14ac:dyDescent="0.3">
      <c r="A1270" t="s">
        <v>17</v>
      </c>
      <c r="B1270" t="str">
        <f>"603330"</f>
        <v>603330</v>
      </c>
      <c r="C1270" t="s">
        <v>2819</v>
      </c>
      <c r="D1270" t="s">
        <v>1192</v>
      </c>
      <c r="F1270">
        <v>612403337</v>
      </c>
      <c r="G1270">
        <v>404221165</v>
      </c>
      <c r="H1270">
        <v>386428163</v>
      </c>
      <c r="I1270">
        <v>472417326</v>
      </c>
      <c r="J1270">
        <v>342677051</v>
      </c>
      <c r="K1270">
        <v>315232143</v>
      </c>
      <c r="L1270">
        <v>0</v>
      </c>
      <c r="P1270">
        <v>136</v>
      </c>
      <c r="Q1270" t="s">
        <v>2820</v>
      </c>
    </row>
    <row r="1271" spans="1:17" x14ac:dyDescent="0.3">
      <c r="A1271" t="s">
        <v>17</v>
      </c>
      <c r="B1271" t="str">
        <f>"603331"</f>
        <v>603331</v>
      </c>
      <c r="C1271" t="s">
        <v>2821</v>
      </c>
      <c r="D1271" t="s">
        <v>560</v>
      </c>
      <c r="F1271">
        <v>724303393</v>
      </c>
      <c r="G1271">
        <v>420794179</v>
      </c>
      <c r="H1271">
        <v>499245984</v>
      </c>
      <c r="I1271">
        <v>553939783</v>
      </c>
      <c r="J1271">
        <v>509523774</v>
      </c>
      <c r="K1271">
        <v>442958606</v>
      </c>
      <c r="P1271">
        <v>83</v>
      </c>
      <c r="Q1271" t="s">
        <v>2822</v>
      </c>
    </row>
    <row r="1272" spans="1:17" x14ac:dyDescent="0.3">
      <c r="A1272" t="s">
        <v>17</v>
      </c>
      <c r="B1272" t="str">
        <f>"603332"</f>
        <v>603332</v>
      </c>
      <c r="C1272" t="s">
        <v>2823</v>
      </c>
      <c r="D1272" t="s">
        <v>2708</v>
      </c>
      <c r="F1272">
        <v>830847787</v>
      </c>
      <c r="G1272">
        <v>725705445</v>
      </c>
      <c r="H1272">
        <v>1308982713</v>
      </c>
      <c r="I1272">
        <v>0</v>
      </c>
      <c r="J1272">
        <v>0</v>
      </c>
      <c r="P1272">
        <v>59</v>
      </c>
      <c r="Q1272" t="s">
        <v>2824</v>
      </c>
    </row>
    <row r="1273" spans="1:17" x14ac:dyDescent="0.3">
      <c r="A1273" t="s">
        <v>17</v>
      </c>
      <c r="B1273" t="str">
        <f>"603333"</f>
        <v>603333</v>
      </c>
      <c r="C1273" t="s">
        <v>2825</v>
      </c>
      <c r="D1273" t="s">
        <v>1164</v>
      </c>
      <c r="F1273">
        <v>1583641425</v>
      </c>
      <c r="G1273">
        <v>1540315569</v>
      </c>
      <c r="H1273">
        <v>1109330149</v>
      </c>
      <c r="I1273">
        <v>1054129176</v>
      </c>
      <c r="J1273">
        <v>619367224</v>
      </c>
      <c r="K1273">
        <v>438318774</v>
      </c>
      <c r="L1273">
        <v>578868630</v>
      </c>
      <c r="M1273">
        <v>617714367</v>
      </c>
      <c r="N1273">
        <v>735683145</v>
      </c>
      <c r="O1273">
        <v>757635295</v>
      </c>
      <c r="P1273">
        <v>134</v>
      </c>
      <c r="Q1273" t="s">
        <v>2826</v>
      </c>
    </row>
    <row r="1274" spans="1:17" x14ac:dyDescent="0.3">
      <c r="A1274" t="s">
        <v>17</v>
      </c>
      <c r="B1274" t="str">
        <f>"603335"</f>
        <v>603335</v>
      </c>
      <c r="C1274" t="s">
        <v>2827</v>
      </c>
      <c r="D1274" t="s">
        <v>422</v>
      </c>
      <c r="F1274">
        <v>874574444</v>
      </c>
      <c r="G1274">
        <v>740483935</v>
      </c>
      <c r="H1274">
        <v>640451077</v>
      </c>
      <c r="I1274">
        <v>633785174</v>
      </c>
      <c r="J1274">
        <v>582122858</v>
      </c>
      <c r="K1274">
        <v>567055678</v>
      </c>
      <c r="P1274">
        <v>66</v>
      </c>
      <c r="Q1274" t="s">
        <v>2828</v>
      </c>
    </row>
    <row r="1275" spans="1:17" x14ac:dyDescent="0.3">
      <c r="A1275" t="s">
        <v>17</v>
      </c>
      <c r="B1275" t="str">
        <f>"603336"</f>
        <v>603336</v>
      </c>
      <c r="C1275" t="s">
        <v>2829</v>
      </c>
      <c r="D1275" t="s">
        <v>258</v>
      </c>
      <c r="F1275">
        <v>638380298</v>
      </c>
      <c r="G1275">
        <v>647330900</v>
      </c>
      <c r="H1275">
        <v>565174913</v>
      </c>
      <c r="I1275">
        <v>561454616</v>
      </c>
      <c r="J1275">
        <v>573015055</v>
      </c>
      <c r="K1275">
        <v>552678211</v>
      </c>
      <c r="L1275">
        <v>428435974</v>
      </c>
      <c r="P1275">
        <v>179</v>
      </c>
      <c r="Q1275" t="s">
        <v>2830</v>
      </c>
    </row>
    <row r="1276" spans="1:17" x14ac:dyDescent="0.3">
      <c r="A1276" t="s">
        <v>17</v>
      </c>
      <c r="B1276" t="str">
        <f>"603337"</f>
        <v>603337</v>
      </c>
      <c r="C1276" t="s">
        <v>2831</v>
      </c>
      <c r="D1276" t="s">
        <v>534</v>
      </c>
      <c r="F1276">
        <v>5112729000</v>
      </c>
      <c r="G1276">
        <v>2429781010</v>
      </c>
      <c r="H1276">
        <v>2906070164</v>
      </c>
      <c r="I1276">
        <v>3090547232</v>
      </c>
      <c r="J1276">
        <v>2133854379</v>
      </c>
      <c r="K1276">
        <v>1275657568</v>
      </c>
      <c r="L1276">
        <v>1139272613</v>
      </c>
      <c r="P1276">
        <v>370</v>
      </c>
      <c r="Q1276" t="s">
        <v>2832</v>
      </c>
    </row>
    <row r="1277" spans="1:17" x14ac:dyDescent="0.3">
      <c r="A1277" t="s">
        <v>17</v>
      </c>
      <c r="B1277" t="str">
        <f>"603338"</f>
        <v>603338</v>
      </c>
      <c r="C1277" t="s">
        <v>2833</v>
      </c>
      <c r="D1277" t="s">
        <v>83</v>
      </c>
      <c r="F1277">
        <v>3241579290</v>
      </c>
      <c r="G1277">
        <v>2934261399</v>
      </c>
      <c r="H1277">
        <v>1628449638</v>
      </c>
      <c r="I1277">
        <v>1214100568</v>
      </c>
      <c r="J1277">
        <v>766824379</v>
      </c>
      <c r="K1277">
        <v>440762472</v>
      </c>
      <c r="L1277">
        <v>359712782</v>
      </c>
      <c r="M1277">
        <v>271460940</v>
      </c>
      <c r="P1277">
        <v>12811</v>
      </c>
      <c r="Q1277" t="s">
        <v>2834</v>
      </c>
    </row>
    <row r="1278" spans="1:17" x14ac:dyDescent="0.3">
      <c r="A1278" t="s">
        <v>17</v>
      </c>
      <c r="B1278" t="str">
        <f>"603339"</f>
        <v>603339</v>
      </c>
      <c r="C1278" t="s">
        <v>2835</v>
      </c>
      <c r="D1278" t="s">
        <v>988</v>
      </c>
      <c r="F1278">
        <v>1154903795</v>
      </c>
      <c r="G1278">
        <v>863915031</v>
      </c>
      <c r="H1278">
        <v>1012029859</v>
      </c>
      <c r="I1278">
        <v>867379007</v>
      </c>
      <c r="J1278">
        <v>774106045</v>
      </c>
      <c r="K1278">
        <v>560428850</v>
      </c>
      <c r="L1278">
        <v>584779179</v>
      </c>
      <c r="P1278">
        <v>163</v>
      </c>
      <c r="Q1278" t="s">
        <v>2836</v>
      </c>
    </row>
    <row r="1279" spans="1:17" x14ac:dyDescent="0.3">
      <c r="A1279" t="s">
        <v>17</v>
      </c>
      <c r="B1279" t="str">
        <f>"603345"</f>
        <v>603345</v>
      </c>
      <c r="C1279" t="s">
        <v>2837</v>
      </c>
      <c r="D1279" t="s">
        <v>2838</v>
      </c>
      <c r="F1279">
        <v>7045946927</v>
      </c>
      <c r="G1279">
        <v>5606147048</v>
      </c>
      <c r="H1279">
        <v>4268332386</v>
      </c>
      <c r="I1279">
        <v>3480533406</v>
      </c>
      <c r="J1279">
        <v>2828850682</v>
      </c>
      <c r="K1279">
        <v>2391505703</v>
      </c>
      <c r="L1279">
        <v>2119110491</v>
      </c>
      <c r="P1279">
        <v>1174</v>
      </c>
      <c r="Q1279" t="s">
        <v>2839</v>
      </c>
    </row>
    <row r="1280" spans="1:17" x14ac:dyDescent="0.3">
      <c r="A1280" t="s">
        <v>17</v>
      </c>
      <c r="B1280" t="str">
        <f>"603348"</f>
        <v>603348</v>
      </c>
      <c r="C1280" t="s">
        <v>2840</v>
      </c>
      <c r="D1280" t="s">
        <v>985</v>
      </c>
      <c r="F1280">
        <v>2766257016</v>
      </c>
      <c r="G1280">
        <v>1406998410</v>
      </c>
      <c r="H1280">
        <v>981084075</v>
      </c>
      <c r="I1280">
        <v>1073041248</v>
      </c>
      <c r="J1280">
        <v>997581627</v>
      </c>
      <c r="P1280">
        <v>193</v>
      </c>
      <c r="Q1280" t="s">
        <v>2841</v>
      </c>
    </row>
    <row r="1281" spans="1:17" x14ac:dyDescent="0.3">
      <c r="A1281" t="s">
        <v>17</v>
      </c>
      <c r="B1281" t="str">
        <f>"603351"</f>
        <v>603351</v>
      </c>
      <c r="C1281" t="s">
        <v>2842</v>
      </c>
      <c r="D1281" t="s">
        <v>496</v>
      </c>
      <c r="F1281">
        <v>476710412</v>
      </c>
      <c r="G1281">
        <v>374188073</v>
      </c>
      <c r="H1281">
        <v>491187572</v>
      </c>
      <c r="I1281">
        <v>448133412</v>
      </c>
      <c r="J1281">
        <v>335146311</v>
      </c>
      <c r="P1281">
        <v>87</v>
      </c>
      <c r="Q1281" t="s">
        <v>2843</v>
      </c>
    </row>
    <row r="1282" spans="1:17" x14ac:dyDescent="0.3">
      <c r="A1282" t="s">
        <v>17</v>
      </c>
      <c r="B1282" t="str">
        <f>"603353"</f>
        <v>603353</v>
      </c>
      <c r="C1282" t="s">
        <v>2844</v>
      </c>
      <c r="D1282" t="s">
        <v>584</v>
      </c>
      <c r="F1282">
        <v>3098826417</v>
      </c>
      <c r="G1282">
        <v>1593211424</v>
      </c>
      <c r="H1282">
        <v>1693263419</v>
      </c>
      <c r="P1282">
        <v>103</v>
      </c>
      <c r="Q1282" t="s">
        <v>2845</v>
      </c>
    </row>
    <row r="1283" spans="1:17" x14ac:dyDescent="0.3">
      <c r="A1283" t="s">
        <v>17</v>
      </c>
      <c r="B1283" t="str">
        <f>"603355"</f>
        <v>603355</v>
      </c>
      <c r="C1283" t="s">
        <v>2846</v>
      </c>
      <c r="D1283" t="s">
        <v>2697</v>
      </c>
      <c r="F1283">
        <v>6267908429</v>
      </c>
      <c r="G1283">
        <v>4536417810</v>
      </c>
      <c r="H1283">
        <v>4483063595</v>
      </c>
      <c r="I1283">
        <v>4337762630</v>
      </c>
      <c r="J1283">
        <v>3959108904</v>
      </c>
      <c r="K1283">
        <v>2942843786</v>
      </c>
      <c r="L1283">
        <v>2742838640</v>
      </c>
      <c r="M1283">
        <v>2933468706</v>
      </c>
      <c r="P1283">
        <v>557</v>
      </c>
      <c r="Q1283" t="s">
        <v>2847</v>
      </c>
    </row>
    <row r="1284" spans="1:17" x14ac:dyDescent="0.3">
      <c r="A1284" t="s">
        <v>17</v>
      </c>
      <c r="B1284" t="str">
        <f>"603356"</f>
        <v>603356</v>
      </c>
      <c r="C1284" t="s">
        <v>2848</v>
      </c>
      <c r="D1284" t="s">
        <v>1689</v>
      </c>
      <c r="F1284">
        <v>1723212178</v>
      </c>
      <c r="G1284">
        <v>1199893592</v>
      </c>
      <c r="H1284">
        <v>976677010</v>
      </c>
      <c r="I1284">
        <v>643820324</v>
      </c>
      <c r="J1284">
        <v>521587705</v>
      </c>
      <c r="K1284">
        <v>0</v>
      </c>
      <c r="P1284">
        <v>65</v>
      </c>
      <c r="Q1284" t="s">
        <v>2849</v>
      </c>
    </row>
    <row r="1285" spans="1:17" x14ac:dyDescent="0.3">
      <c r="A1285" t="s">
        <v>17</v>
      </c>
      <c r="B1285" t="str">
        <f>"603357"</f>
        <v>603357</v>
      </c>
      <c r="C1285" t="s">
        <v>2850</v>
      </c>
      <c r="D1285" t="s">
        <v>1272</v>
      </c>
      <c r="F1285">
        <v>1308062494</v>
      </c>
      <c r="G1285">
        <v>1178786604</v>
      </c>
      <c r="H1285">
        <v>675735754</v>
      </c>
      <c r="I1285">
        <v>856018127</v>
      </c>
      <c r="J1285">
        <v>514507209</v>
      </c>
      <c r="K1285">
        <v>548309699</v>
      </c>
      <c r="P1285">
        <v>361</v>
      </c>
      <c r="Q1285" t="s">
        <v>2851</v>
      </c>
    </row>
    <row r="1286" spans="1:17" x14ac:dyDescent="0.3">
      <c r="A1286" t="s">
        <v>17</v>
      </c>
      <c r="B1286" t="str">
        <f>"603358"</f>
        <v>603358</v>
      </c>
      <c r="C1286" t="s">
        <v>2852</v>
      </c>
      <c r="D1286" t="s">
        <v>985</v>
      </c>
      <c r="F1286">
        <v>3310193498</v>
      </c>
      <c r="G1286">
        <v>2679753720</v>
      </c>
      <c r="H1286">
        <v>2943175875</v>
      </c>
      <c r="I1286">
        <v>2838513443</v>
      </c>
      <c r="J1286">
        <v>2014905441</v>
      </c>
      <c r="K1286">
        <v>1783294066</v>
      </c>
      <c r="L1286">
        <v>1616468645</v>
      </c>
      <c r="P1286">
        <v>131</v>
      </c>
      <c r="Q1286" t="s">
        <v>2853</v>
      </c>
    </row>
    <row r="1287" spans="1:17" x14ac:dyDescent="0.3">
      <c r="A1287" t="s">
        <v>17</v>
      </c>
      <c r="B1287" t="str">
        <f>"603359"</f>
        <v>603359</v>
      </c>
      <c r="C1287" t="s">
        <v>2854</v>
      </c>
      <c r="D1287" t="s">
        <v>2408</v>
      </c>
      <c r="F1287">
        <v>621227770</v>
      </c>
      <c r="G1287">
        <v>319905826</v>
      </c>
      <c r="H1287">
        <v>250527332</v>
      </c>
      <c r="I1287">
        <v>339707543</v>
      </c>
      <c r="J1287">
        <v>617541261</v>
      </c>
      <c r="K1287">
        <v>686426761</v>
      </c>
      <c r="P1287">
        <v>187</v>
      </c>
      <c r="Q1287" t="s">
        <v>2855</v>
      </c>
    </row>
    <row r="1288" spans="1:17" x14ac:dyDescent="0.3">
      <c r="A1288" t="s">
        <v>17</v>
      </c>
      <c r="B1288" t="str">
        <f>"603360"</f>
        <v>603360</v>
      </c>
      <c r="C1288" t="s">
        <v>2856</v>
      </c>
      <c r="D1288" t="s">
        <v>853</v>
      </c>
      <c r="F1288">
        <v>548359686</v>
      </c>
      <c r="G1288">
        <v>520389349</v>
      </c>
      <c r="H1288">
        <v>452040515</v>
      </c>
      <c r="I1288">
        <v>344734947</v>
      </c>
      <c r="J1288">
        <v>250584871</v>
      </c>
      <c r="K1288">
        <v>229430048</v>
      </c>
      <c r="L1288">
        <v>207062488</v>
      </c>
      <c r="P1288">
        <v>402</v>
      </c>
      <c r="Q1288" t="s">
        <v>2857</v>
      </c>
    </row>
    <row r="1289" spans="1:17" x14ac:dyDescent="0.3">
      <c r="A1289" t="s">
        <v>17</v>
      </c>
      <c r="B1289" t="str">
        <f>"603363"</f>
        <v>603363</v>
      </c>
      <c r="C1289" t="s">
        <v>2858</v>
      </c>
      <c r="D1289" t="s">
        <v>2859</v>
      </c>
      <c r="F1289">
        <v>13233997319</v>
      </c>
      <c r="G1289">
        <v>7198996878</v>
      </c>
      <c r="H1289">
        <v>4146993472</v>
      </c>
      <c r="I1289">
        <v>4029394092</v>
      </c>
      <c r="J1289">
        <v>3249693278</v>
      </c>
      <c r="K1289">
        <v>3312157019</v>
      </c>
      <c r="P1289">
        <v>310</v>
      </c>
      <c r="Q1289" t="s">
        <v>2860</v>
      </c>
    </row>
    <row r="1290" spans="1:17" x14ac:dyDescent="0.3">
      <c r="A1290" t="s">
        <v>17</v>
      </c>
      <c r="B1290" t="str">
        <f>"603365"</f>
        <v>603365</v>
      </c>
      <c r="C1290" t="s">
        <v>2861</v>
      </c>
      <c r="D1290" t="s">
        <v>2862</v>
      </c>
      <c r="F1290">
        <v>2857561431</v>
      </c>
      <c r="G1290">
        <v>2132228067</v>
      </c>
      <c r="H1290">
        <v>2270591541</v>
      </c>
      <c r="I1290">
        <v>2005171662</v>
      </c>
      <c r="J1290">
        <v>1808868812</v>
      </c>
      <c r="K1290">
        <v>1316699674</v>
      </c>
      <c r="P1290">
        <v>243</v>
      </c>
      <c r="Q1290" t="s">
        <v>2863</v>
      </c>
    </row>
    <row r="1291" spans="1:17" x14ac:dyDescent="0.3">
      <c r="A1291" t="s">
        <v>17</v>
      </c>
      <c r="B1291" t="str">
        <f>"603366"</f>
        <v>603366</v>
      </c>
      <c r="C1291" t="s">
        <v>2864</v>
      </c>
      <c r="D1291" t="s">
        <v>2865</v>
      </c>
      <c r="F1291">
        <v>2867412700</v>
      </c>
      <c r="G1291">
        <v>2692001240</v>
      </c>
      <c r="H1291">
        <v>2654371983</v>
      </c>
      <c r="I1291">
        <v>2494555707</v>
      </c>
      <c r="J1291">
        <v>2298537885</v>
      </c>
      <c r="K1291">
        <v>1833714901</v>
      </c>
      <c r="L1291">
        <v>2071127354</v>
      </c>
      <c r="M1291">
        <v>2163753262</v>
      </c>
      <c r="N1291">
        <v>2833730524</v>
      </c>
      <c r="O1291">
        <v>2769584601</v>
      </c>
      <c r="P1291">
        <v>121</v>
      </c>
      <c r="Q1291" t="s">
        <v>2866</v>
      </c>
    </row>
    <row r="1292" spans="1:17" x14ac:dyDescent="0.3">
      <c r="A1292" t="s">
        <v>17</v>
      </c>
      <c r="B1292" t="str">
        <f>"603367"</f>
        <v>603367</v>
      </c>
      <c r="C1292" t="s">
        <v>2867</v>
      </c>
      <c r="D1292" t="s">
        <v>143</v>
      </c>
      <c r="F1292">
        <v>2402414996</v>
      </c>
      <c r="G1292">
        <v>2342086644</v>
      </c>
      <c r="H1292">
        <v>2448967000</v>
      </c>
      <c r="I1292">
        <v>2369975579</v>
      </c>
      <c r="J1292">
        <v>1638445391</v>
      </c>
      <c r="K1292">
        <v>1261576996</v>
      </c>
      <c r="P1292">
        <v>245</v>
      </c>
      <c r="Q1292" t="s">
        <v>2868</v>
      </c>
    </row>
    <row r="1293" spans="1:17" x14ac:dyDescent="0.3">
      <c r="A1293" t="s">
        <v>17</v>
      </c>
      <c r="B1293" t="str">
        <f>"603368"</f>
        <v>603368</v>
      </c>
      <c r="C1293" t="s">
        <v>2869</v>
      </c>
      <c r="D1293" t="s">
        <v>125</v>
      </c>
      <c r="F1293">
        <v>11939194061</v>
      </c>
      <c r="G1293">
        <v>11894226704</v>
      </c>
      <c r="H1293">
        <v>9794045507</v>
      </c>
      <c r="I1293">
        <v>7277158457</v>
      </c>
      <c r="J1293">
        <v>5811239874</v>
      </c>
      <c r="K1293">
        <v>4942177047</v>
      </c>
      <c r="L1293">
        <v>4112580209</v>
      </c>
      <c r="M1293">
        <v>3779070713</v>
      </c>
      <c r="N1293">
        <v>2899939905</v>
      </c>
      <c r="P1293">
        <v>532</v>
      </c>
      <c r="Q1293" t="s">
        <v>2870</v>
      </c>
    </row>
    <row r="1294" spans="1:17" x14ac:dyDescent="0.3">
      <c r="A1294" t="s">
        <v>17</v>
      </c>
      <c r="B1294" t="str">
        <f>"603369"</f>
        <v>603369</v>
      </c>
      <c r="C1294" t="s">
        <v>2871</v>
      </c>
      <c r="D1294" t="s">
        <v>458</v>
      </c>
      <c r="F1294">
        <v>5979917090</v>
      </c>
      <c r="G1294">
        <v>4028926581</v>
      </c>
      <c r="H1294">
        <v>3831054917</v>
      </c>
      <c r="I1294">
        <v>3394005529</v>
      </c>
      <c r="J1294">
        <v>2579252582</v>
      </c>
      <c r="K1294">
        <v>2187956439</v>
      </c>
      <c r="L1294">
        <v>2008283398</v>
      </c>
      <c r="M1294">
        <v>1907936149</v>
      </c>
      <c r="N1294">
        <v>2222000391</v>
      </c>
      <c r="P1294">
        <v>35436</v>
      </c>
      <c r="Q1294" t="s">
        <v>2872</v>
      </c>
    </row>
    <row r="1295" spans="1:17" x14ac:dyDescent="0.3">
      <c r="A1295" t="s">
        <v>17</v>
      </c>
      <c r="B1295" t="str">
        <f>"603377"</f>
        <v>603377</v>
      </c>
      <c r="C1295" t="s">
        <v>2873</v>
      </c>
      <c r="D1295" t="s">
        <v>1336</v>
      </c>
      <c r="F1295">
        <v>1006999732</v>
      </c>
      <c r="G1295">
        <v>636895962</v>
      </c>
      <c r="H1295">
        <v>946192556</v>
      </c>
      <c r="I1295">
        <v>864144056</v>
      </c>
      <c r="J1295">
        <v>1040573365</v>
      </c>
      <c r="K1295">
        <v>1030960842</v>
      </c>
      <c r="L1295">
        <v>0</v>
      </c>
      <c r="M1295">
        <v>0</v>
      </c>
      <c r="P1295">
        <v>171</v>
      </c>
      <c r="Q1295" t="s">
        <v>2874</v>
      </c>
    </row>
    <row r="1296" spans="1:17" x14ac:dyDescent="0.3">
      <c r="A1296" t="s">
        <v>17</v>
      </c>
      <c r="B1296" t="str">
        <f>"603378"</f>
        <v>603378</v>
      </c>
      <c r="C1296" t="s">
        <v>2875</v>
      </c>
      <c r="D1296" t="s">
        <v>2876</v>
      </c>
      <c r="F1296">
        <v>2764425715</v>
      </c>
      <c r="G1296">
        <v>1679384536</v>
      </c>
      <c r="H1296">
        <v>1132496091</v>
      </c>
      <c r="I1296">
        <v>794379505</v>
      </c>
      <c r="J1296">
        <v>668005271</v>
      </c>
      <c r="K1296">
        <v>573206250</v>
      </c>
      <c r="P1296">
        <v>203</v>
      </c>
      <c r="Q1296" t="s">
        <v>2877</v>
      </c>
    </row>
    <row r="1297" spans="1:17" x14ac:dyDescent="0.3">
      <c r="A1297" t="s">
        <v>17</v>
      </c>
      <c r="B1297" t="str">
        <f>"603379"</f>
        <v>603379</v>
      </c>
      <c r="C1297" t="s">
        <v>2878</v>
      </c>
      <c r="D1297" t="s">
        <v>375</v>
      </c>
      <c r="F1297">
        <v>1887278296</v>
      </c>
      <c r="G1297">
        <v>1768592684</v>
      </c>
      <c r="H1297">
        <v>2329340183</v>
      </c>
      <c r="I1297">
        <v>2460362833</v>
      </c>
      <c r="P1297">
        <v>140</v>
      </c>
      <c r="Q1297" t="s">
        <v>2879</v>
      </c>
    </row>
    <row r="1298" spans="1:17" x14ac:dyDescent="0.3">
      <c r="A1298" t="s">
        <v>17</v>
      </c>
      <c r="B1298" t="str">
        <f>"603380"</f>
        <v>603380</v>
      </c>
      <c r="C1298" t="s">
        <v>2880</v>
      </c>
      <c r="D1298" t="s">
        <v>313</v>
      </c>
      <c r="F1298">
        <v>1264968681</v>
      </c>
      <c r="G1298">
        <v>999848425</v>
      </c>
      <c r="H1298">
        <v>840288644</v>
      </c>
      <c r="I1298">
        <v>771270797</v>
      </c>
      <c r="J1298">
        <v>704194342</v>
      </c>
      <c r="K1298">
        <v>559536339</v>
      </c>
      <c r="P1298">
        <v>209</v>
      </c>
      <c r="Q1298" t="s">
        <v>2881</v>
      </c>
    </row>
    <row r="1299" spans="1:17" x14ac:dyDescent="0.3">
      <c r="A1299" t="s">
        <v>17</v>
      </c>
      <c r="B1299" t="str">
        <f>"603383"</f>
        <v>603383</v>
      </c>
      <c r="C1299" t="s">
        <v>2882</v>
      </c>
      <c r="D1299" t="s">
        <v>945</v>
      </c>
      <c r="F1299">
        <v>221356109</v>
      </c>
      <c r="G1299">
        <v>168524234</v>
      </c>
      <c r="H1299">
        <v>137134828</v>
      </c>
      <c r="I1299">
        <v>122431148</v>
      </c>
      <c r="J1299">
        <v>135335694</v>
      </c>
      <c r="K1299">
        <v>106675967</v>
      </c>
      <c r="P1299">
        <v>190</v>
      </c>
      <c r="Q1299" t="s">
        <v>2883</v>
      </c>
    </row>
    <row r="1300" spans="1:17" x14ac:dyDescent="0.3">
      <c r="A1300" t="s">
        <v>17</v>
      </c>
      <c r="B1300" t="str">
        <f>"603385"</f>
        <v>603385</v>
      </c>
      <c r="C1300" t="s">
        <v>2884</v>
      </c>
      <c r="D1300" t="s">
        <v>2885</v>
      </c>
      <c r="F1300">
        <v>2690838003</v>
      </c>
      <c r="G1300">
        <v>2219946425</v>
      </c>
      <c r="H1300">
        <v>1997582565</v>
      </c>
      <c r="I1300">
        <v>2210275886</v>
      </c>
      <c r="J1300">
        <v>2259523440</v>
      </c>
      <c r="K1300">
        <v>1740533761</v>
      </c>
      <c r="P1300">
        <v>192</v>
      </c>
      <c r="Q1300" t="s">
        <v>2886</v>
      </c>
    </row>
    <row r="1301" spans="1:17" x14ac:dyDescent="0.3">
      <c r="A1301" t="s">
        <v>17</v>
      </c>
      <c r="B1301" t="str">
        <f>"603386"</f>
        <v>603386</v>
      </c>
      <c r="C1301" t="s">
        <v>2887</v>
      </c>
      <c r="D1301" t="s">
        <v>425</v>
      </c>
      <c r="F1301">
        <v>1242300693</v>
      </c>
      <c r="G1301">
        <v>1001785689</v>
      </c>
      <c r="H1301">
        <v>723599688</v>
      </c>
      <c r="I1301">
        <v>635221077</v>
      </c>
      <c r="J1301">
        <v>499836340</v>
      </c>
      <c r="K1301">
        <v>429762044</v>
      </c>
      <c r="P1301">
        <v>180</v>
      </c>
      <c r="Q1301" t="s">
        <v>2888</v>
      </c>
    </row>
    <row r="1302" spans="1:17" x14ac:dyDescent="0.3">
      <c r="A1302" t="s">
        <v>17</v>
      </c>
      <c r="B1302" t="str">
        <f>"603387"</f>
        <v>603387</v>
      </c>
      <c r="C1302" t="s">
        <v>2889</v>
      </c>
      <c r="D1302" t="s">
        <v>1305</v>
      </c>
      <c r="F1302">
        <v>1031721046</v>
      </c>
      <c r="G1302">
        <v>717386568</v>
      </c>
      <c r="H1302">
        <v>627276620</v>
      </c>
      <c r="I1302">
        <v>514274196</v>
      </c>
      <c r="J1302">
        <v>384634177</v>
      </c>
      <c r="K1302">
        <v>295025835</v>
      </c>
      <c r="P1302">
        <v>1500</v>
      </c>
      <c r="Q1302" t="s">
        <v>2890</v>
      </c>
    </row>
    <row r="1303" spans="1:17" x14ac:dyDescent="0.3">
      <c r="A1303" t="s">
        <v>17</v>
      </c>
      <c r="B1303" t="str">
        <f>"603388"</f>
        <v>603388</v>
      </c>
      <c r="C1303" t="s">
        <v>2891</v>
      </c>
      <c r="D1303" t="s">
        <v>2408</v>
      </c>
      <c r="F1303">
        <v>665754637</v>
      </c>
      <c r="G1303">
        <v>362038832</v>
      </c>
      <c r="H1303">
        <v>483872239</v>
      </c>
      <c r="I1303">
        <v>349106247</v>
      </c>
      <c r="J1303">
        <v>342273988</v>
      </c>
      <c r="K1303">
        <v>356808711</v>
      </c>
      <c r="P1303">
        <v>63</v>
      </c>
      <c r="Q1303" t="s">
        <v>2892</v>
      </c>
    </row>
    <row r="1304" spans="1:17" x14ac:dyDescent="0.3">
      <c r="A1304" t="s">
        <v>17</v>
      </c>
      <c r="B1304" t="str">
        <f>"603389"</f>
        <v>603389</v>
      </c>
      <c r="C1304" t="s">
        <v>2893</v>
      </c>
      <c r="D1304" t="s">
        <v>757</v>
      </c>
      <c r="F1304">
        <v>222002007</v>
      </c>
      <c r="G1304">
        <v>196372216</v>
      </c>
      <c r="H1304">
        <v>342926566</v>
      </c>
      <c r="I1304">
        <v>381538625</v>
      </c>
      <c r="J1304">
        <v>443158752</v>
      </c>
      <c r="K1304">
        <v>470144660</v>
      </c>
      <c r="P1304">
        <v>80</v>
      </c>
      <c r="Q1304" t="s">
        <v>2894</v>
      </c>
    </row>
    <row r="1305" spans="1:17" x14ac:dyDescent="0.3">
      <c r="A1305" t="s">
        <v>17</v>
      </c>
      <c r="B1305" t="str">
        <f>"603390"</f>
        <v>603390</v>
      </c>
      <c r="C1305" t="s">
        <v>2895</v>
      </c>
      <c r="D1305" t="s">
        <v>1415</v>
      </c>
      <c r="F1305">
        <v>354526756</v>
      </c>
      <c r="G1305">
        <v>315515456</v>
      </c>
      <c r="H1305">
        <v>594473331</v>
      </c>
      <c r="I1305">
        <v>472238334</v>
      </c>
      <c r="P1305">
        <v>89</v>
      </c>
      <c r="Q1305" t="s">
        <v>2896</v>
      </c>
    </row>
    <row r="1306" spans="1:17" x14ac:dyDescent="0.3">
      <c r="A1306" t="s">
        <v>17</v>
      </c>
      <c r="B1306" t="str">
        <f>"603392"</f>
        <v>603392</v>
      </c>
      <c r="C1306" t="s">
        <v>2897</v>
      </c>
      <c r="D1306" t="s">
        <v>1305</v>
      </c>
      <c r="F1306">
        <v>2467056039</v>
      </c>
      <c r="G1306">
        <v>1151354871</v>
      </c>
      <c r="H1306">
        <v>802990555</v>
      </c>
      <c r="P1306">
        <v>552</v>
      </c>
      <c r="Q1306" t="s">
        <v>2898</v>
      </c>
    </row>
    <row r="1307" spans="1:17" x14ac:dyDescent="0.3">
      <c r="A1307" t="s">
        <v>17</v>
      </c>
      <c r="B1307" t="str">
        <f>"603393"</f>
        <v>603393</v>
      </c>
      <c r="C1307" t="s">
        <v>2899</v>
      </c>
      <c r="D1307" t="s">
        <v>749</v>
      </c>
      <c r="F1307">
        <v>1884729313</v>
      </c>
      <c r="G1307">
        <v>1236453801</v>
      </c>
      <c r="H1307">
        <v>1607552647</v>
      </c>
      <c r="I1307">
        <v>884788965</v>
      </c>
      <c r="J1307">
        <v>652751704</v>
      </c>
      <c r="K1307">
        <v>618787527</v>
      </c>
      <c r="L1307">
        <v>666331232</v>
      </c>
      <c r="P1307">
        <v>498</v>
      </c>
      <c r="Q1307" t="s">
        <v>2900</v>
      </c>
    </row>
    <row r="1308" spans="1:17" x14ac:dyDescent="0.3">
      <c r="A1308" t="s">
        <v>17</v>
      </c>
      <c r="B1308" t="str">
        <f>"603396"</f>
        <v>603396</v>
      </c>
      <c r="C1308" t="s">
        <v>2901</v>
      </c>
      <c r="D1308" t="s">
        <v>2654</v>
      </c>
      <c r="F1308">
        <v>752758327</v>
      </c>
      <c r="G1308">
        <v>444750817</v>
      </c>
      <c r="H1308">
        <v>373585056</v>
      </c>
      <c r="I1308">
        <v>423098426</v>
      </c>
      <c r="J1308">
        <v>276997350</v>
      </c>
      <c r="K1308">
        <v>288917953</v>
      </c>
      <c r="P1308">
        <v>217</v>
      </c>
      <c r="Q1308" t="s">
        <v>2902</v>
      </c>
    </row>
    <row r="1309" spans="1:17" x14ac:dyDescent="0.3">
      <c r="A1309" t="s">
        <v>17</v>
      </c>
      <c r="B1309" t="str">
        <f>"603398"</f>
        <v>603398</v>
      </c>
      <c r="C1309" t="s">
        <v>2903</v>
      </c>
      <c r="D1309" t="s">
        <v>2904</v>
      </c>
      <c r="F1309">
        <v>230025210</v>
      </c>
      <c r="G1309">
        <v>460612850</v>
      </c>
      <c r="H1309">
        <v>402072845</v>
      </c>
      <c r="I1309">
        <v>276716459</v>
      </c>
      <c r="J1309">
        <v>258756660</v>
      </c>
      <c r="K1309">
        <v>240649187</v>
      </c>
      <c r="L1309">
        <v>263479881</v>
      </c>
      <c r="M1309">
        <v>232878764</v>
      </c>
      <c r="P1309">
        <v>89</v>
      </c>
      <c r="Q1309" t="s">
        <v>2905</v>
      </c>
    </row>
    <row r="1310" spans="1:17" x14ac:dyDescent="0.3">
      <c r="A1310" t="s">
        <v>17</v>
      </c>
      <c r="B1310" t="str">
        <f>"603399"</f>
        <v>603399</v>
      </c>
      <c r="C1310" t="s">
        <v>2906</v>
      </c>
      <c r="D1310" t="s">
        <v>2354</v>
      </c>
      <c r="F1310">
        <v>2990528773</v>
      </c>
      <c r="G1310">
        <v>1666290402</v>
      </c>
      <c r="H1310">
        <v>2310612855</v>
      </c>
      <c r="I1310">
        <v>2043528877</v>
      </c>
      <c r="J1310">
        <v>879783799</v>
      </c>
      <c r="K1310">
        <v>729061943</v>
      </c>
      <c r="L1310">
        <v>1083257965</v>
      </c>
      <c r="M1310">
        <v>1562119278</v>
      </c>
      <c r="N1310">
        <v>1479907346</v>
      </c>
      <c r="O1310">
        <v>1567029737</v>
      </c>
      <c r="P1310">
        <v>72</v>
      </c>
      <c r="Q1310" t="s">
        <v>2907</v>
      </c>
    </row>
    <row r="1311" spans="1:17" x14ac:dyDescent="0.3">
      <c r="A1311" t="s">
        <v>17</v>
      </c>
      <c r="B1311" t="str">
        <f>"603408"</f>
        <v>603408</v>
      </c>
      <c r="C1311" t="s">
        <v>2908</v>
      </c>
      <c r="D1311" t="s">
        <v>2885</v>
      </c>
      <c r="F1311">
        <v>3539300620</v>
      </c>
      <c r="G1311">
        <v>2601145105</v>
      </c>
      <c r="H1311">
        <v>2666145901</v>
      </c>
      <c r="P1311">
        <v>98</v>
      </c>
      <c r="Q1311" t="s">
        <v>2909</v>
      </c>
    </row>
    <row r="1312" spans="1:17" x14ac:dyDescent="0.3">
      <c r="A1312" t="s">
        <v>17</v>
      </c>
      <c r="B1312" t="str">
        <f>"603416"</f>
        <v>603416</v>
      </c>
      <c r="C1312" t="s">
        <v>2910</v>
      </c>
      <c r="D1312" t="s">
        <v>2911</v>
      </c>
      <c r="F1312">
        <v>693650729</v>
      </c>
      <c r="G1312">
        <v>625859804</v>
      </c>
      <c r="H1312">
        <v>306081210</v>
      </c>
      <c r="I1312">
        <v>240439222</v>
      </c>
      <c r="J1312">
        <v>220544939</v>
      </c>
      <c r="K1312">
        <v>172401294</v>
      </c>
      <c r="L1312">
        <v>0</v>
      </c>
      <c r="P1312">
        <v>325</v>
      </c>
      <c r="Q1312" t="s">
        <v>2912</v>
      </c>
    </row>
    <row r="1313" spans="1:17" x14ac:dyDescent="0.3">
      <c r="A1313" t="s">
        <v>17</v>
      </c>
      <c r="B1313" t="str">
        <f>"603421"</f>
        <v>603421</v>
      </c>
      <c r="C1313" t="s">
        <v>2913</v>
      </c>
      <c r="D1313" t="s">
        <v>1019</v>
      </c>
      <c r="F1313">
        <v>1697932221</v>
      </c>
      <c r="G1313">
        <v>1237105222</v>
      </c>
      <c r="H1313">
        <v>1082699259</v>
      </c>
      <c r="I1313">
        <v>1057962808</v>
      </c>
      <c r="J1313">
        <v>861462306</v>
      </c>
      <c r="K1313">
        <v>931626129</v>
      </c>
      <c r="L1313">
        <v>584569465</v>
      </c>
      <c r="P1313">
        <v>138</v>
      </c>
      <c r="Q1313" t="s">
        <v>2914</v>
      </c>
    </row>
    <row r="1314" spans="1:17" x14ac:dyDescent="0.3">
      <c r="A1314" t="s">
        <v>17</v>
      </c>
      <c r="B1314" t="str">
        <f>"603429"</f>
        <v>603429</v>
      </c>
      <c r="C1314" t="s">
        <v>2915</v>
      </c>
      <c r="D1314" t="s">
        <v>2156</v>
      </c>
      <c r="F1314">
        <v>492747851</v>
      </c>
      <c r="G1314">
        <v>465958743</v>
      </c>
      <c r="H1314">
        <v>480526259</v>
      </c>
      <c r="I1314">
        <v>317791663</v>
      </c>
      <c r="J1314">
        <v>167780596</v>
      </c>
      <c r="K1314">
        <v>143575639</v>
      </c>
      <c r="P1314">
        <v>368</v>
      </c>
      <c r="Q1314" t="s">
        <v>2916</v>
      </c>
    </row>
    <row r="1315" spans="1:17" x14ac:dyDescent="0.3">
      <c r="A1315" t="s">
        <v>17</v>
      </c>
      <c r="B1315" t="str">
        <f>"603439"</f>
        <v>603439</v>
      </c>
      <c r="C1315" t="s">
        <v>2917</v>
      </c>
      <c r="D1315" t="s">
        <v>188</v>
      </c>
      <c r="F1315">
        <v>678078228</v>
      </c>
      <c r="G1315">
        <v>418739035</v>
      </c>
      <c r="H1315">
        <v>590385475</v>
      </c>
      <c r="P1315">
        <v>293</v>
      </c>
      <c r="Q1315" t="s">
        <v>2918</v>
      </c>
    </row>
    <row r="1316" spans="1:17" x14ac:dyDescent="0.3">
      <c r="A1316" t="s">
        <v>17</v>
      </c>
      <c r="B1316" t="str">
        <f>"603444"</f>
        <v>603444</v>
      </c>
      <c r="C1316" t="s">
        <v>2919</v>
      </c>
      <c r="D1316" t="s">
        <v>517</v>
      </c>
      <c r="F1316">
        <v>3769770577</v>
      </c>
      <c r="G1316">
        <v>2167233409</v>
      </c>
      <c r="H1316">
        <v>1781041330</v>
      </c>
      <c r="I1316">
        <v>1192472174</v>
      </c>
      <c r="J1316">
        <v>1145389091</v>
      </c>
      <c r="K1316">
        <v>857821784</v>
      </c>
      <c r="L1316">
        <v>241039067</v>
      </c>
      <c r="P1316">
        <v>4237</v>
      </c>
      <c r="Q1316" t="s">
        <v>2920</v>
      </c>
    </row>
    <row r="1317" spans="1:17" x14ac:dyDescent="0.3">
      <c r="A1317" t="s">
        <v>17</v>
      </c>
      <c r="B1317" t="str">
        <f>"603456"</f>
        <v>603456</v>
      </c>
      <c r="C1317" t="s">
        <v>2921</v>
      </c>
      <c r="D1317" t="s">
        <v>1461</v>
      </c>
      <c r="F1317">
        <v>2499002689</v>
      </c>
      <c r="G1317">
        <v>1605764123</v>
      </c>
      <c r="H1317">
        <v>1169242920</v>
      </c>
      <c r="I1317">
        <v>915541906</v>
      </c>
      <c r="J1317">
        <v>1083778154</v>
      </c>
      <c r="K1317">
        <v>959970587</v>
      </c>
      <c r="L1317">
        <v>1150299189</v>
      </c>
      <c r="M1317">
        <v>955544500</v>
      </c>
      <c r="N1317">
        <v>1106745132</v>
      </c>
      <c r="P1317">
        <v>453</v>
      </c>
      <c r="Q1317" t="s">
        <v>2922</v>
      </c>
    </row>
    <row r="1318" spans="1:17" x14ac:dyDescent="0.3">
      <c r="A1318" t="s">
        <v>17</v>
      </c>
      <c r="B1318" t="str">
        <f>"603458"</f>
        <v>603458</v>
      </c>
      <c r="C1318" t="s">
        <v>2923</v>
      </c>
      <c r="D1318" t="s">
        <v>1272</v>
      </c>
      <c r="F1318">
        <v>1483538517</v>
      </c>
      <c r="G1318">
        <v>1313453560</v>
      </c>
      <c r="H1318">
        <v>1040689728</v>
      </c>
      <c r="I1318">
        <v>1181192228</v>
      </c>
      <c r="J1318">
        <v>978863372</v>
      </c>
      <c r="K1318">
        <v>1177632891</v>
      </c>
      <c r="P1318">
        <v>474</v>
      </c>
      <c r="Q1318" t="s">
        <v>2924</v>
      </c>
    </row>
    <row r="1319" spans="1:17" x14ac:dyDescent="0.3">
      <c r="A1319" t="s">
        <v>17</v>
      </c>
      <c r="B1319" t="str">
        <f>"603466"</f>
        <v>603466</v>
      </c>
      <c r="C1319" t="s">
        <v>2925</v>
      </c>
      <c r="D1319" t="s">
        <v>2926</v>
      </c>
      <c r="F1319">
        <v>1582377675</v>
      </c>
      <c r="G1319">
        <v>1355265077</v>
      </c>
      <c r="H1319">
        <v>1325189139</v>
      </c>
      <c r="I1319">
        <v>1282544079</v>
      </c>
      <c r="J1319">
        <v>1078855684</v>
      </c>
      <c r="K1319">
        <v>724979985</v>
      </c>
      <c r="P1319">
        <v>406</v>
      </c>
      <c r="Q1319" t="s">
        <v>2927</v>
      </c>
    </row>
    <row r="1320" spans="1:17" x14ac:dyDescent="0.3">
      <c r="A1320" t="s">
        <v>17</v>
      </c>
      <c r="B1320" t="str">
        <f>"603477"</f>
        <v>603477</v>
      </c>
      <c r="C1320" t="s">
        <v>2928</v>
      </c>
      <c r="D1320" t="s">
        <v>2929</v>
      </c>
      <c r="F1320">
        <v>2061915589</v>
      </c>
      <c r="G1320">
        <v>840960556</v>
      </c>
      <c r="H1320">
        <v>428888429</v>
      </c>
      <c r="I1320">
        <v>376173630</v>
      </c>
      <c r="J1320">
        <v>409546668</v>
      </c>
      <c r="K1320">
        <v>287789698</v>
      </c>
      <c r="P1320">
        <v>134</v>
      </c>
      <c r="Q1320" t="s">
        <v>2930</v>
      </c>
    </row>
    <row r="1321" spans="1:17" x14ac:dyDescent="0.3">
      <c r="A1321" t="s">
        <v>17</v>
      </c>
      <c r="B1321" t="str">
        <f>"603486"</f>
        <v>603486</v>
      </c>
      <c r="C1321" t="s">
        <v>2931</v>
      </c>
      <c r="D1321" t="s">
        <v>2697</v>
      </c>
      <c r="F1321">
        <v>9622178722</v>
      </c>
      <c r="G1321">
        <v>4308919334</v>
      </c>
      <c r="H1321">
        <v>4123712285</v>
      </c>
      <c r="I1321">
        <v>4432793474</v>
      </c>
      <c r="J1321">
        <v>3400854060</v>
      </c>
      <c r="P1321">
        <v>833</v>
      </c>
      <c r="Q1321" t="s">
        <v>2932</v>
      </c>
    </row>
    <row r="1322" spans="1:17" x14ac:dyDescent="0.3">
      <c r="A1322" t="s">
        <v>17</v>
      </c>
      <c r="B1322" t="str">
        <f>"603488"</f>
        <v>603488</v>
      </c>
      <c r="C1322" t="s">
        <v>2933</v>
      </c>
      <c r="D1322" t="s">
        <v>1689</v>
      </c>
      <c r="F1322">
        <v>356283308</v>
      </c>
      <c r="G1322">
        <v>232701189</v>
      </c>
      <c r="H1322">
        <v>240160654</v>
      </c>
      <c r="I1322">
        <v>208988317</v>
      </c>
      <c r="J1322">
        <v>205664684</v>
      </c>
      <c r="K1322">
        <v>184480664</v>
      </c>
      <c r="P1322">
        <v>64</v>
      </c>
      <c r="Q1322" t="s">
        <v>2934</v>
      </c>
    </row>
    <row r="1323" spans="1:17" x14ac:dyDescent="0.3">
      <c r="A1323" t="s">
        <v>17</v>
      </c>
      <c r="B1323" t="str">
        <f>"603489"</f>
        <v>603489</v>
      </c>
      <c r="C1323" t="s">
        <v>2935</v>
      </c>
      <c r="D1323" t="s">
        <v>1171</v>
      </c>
      <c r="F1323">
        <v>1421692041</v>
      </c>
      <c r="G1323">
        <v>932416848</v>
      </c>
      <c r="H1323">
        <v>878132838</v>
      </c>
      <c r="I1323">
        <v>610703417</v>
      </c>
      <c r="P1323">
        <v>490</v>
      </c>
      <c r="Q1323" t="s">
        <v>2936</v>
      </c>
    </row>
    <row r="1324" spans="1:17" x14ac:dyDescent="0.3">
      <c r="A1324" t="s">
        <v>17</v>
      </c>
      <c r="B1324" t="str">
        <f>"603496"</f>
        <v>603496</v>
      </c>
      <c r="C1324" t="s">
        <v>2937</v>
      </c>
      <c r="D1324" t="s">
        <v>236</v>
      </c>
      <c r="F1324">
        <v>563787061</v>
      </c>
      <c r="G1324">
        <v>322916199</v>
      </c>
      <c r="H1324">
        <v>278188103</v>
      </c>
      <c r="I1324">
        <v>304026089</v>
      </c>
      <c r="J1324">
        <v>210950877</v>
      </c>
      <c r="K1324">
        <v>193651685</v>
      </c>
      <c r="P1324">
        <v>194</v>
      </c>
      <c r="Q1324" t="s">
        <v>2938</v>
      </c>
    </row>
    <row r="1325" spans="1:17" x14ac:dyDescent="0.3">
      <c r="A1325" t="s">
        <v>17</v>
      </c>
      <c r="B1325" t="str">
        <f>"603499"</f>
        <v>603499</v>
      </c>
      <c r="C1325" t="s">
        <v>2939</v>
      </c>
      <c r="D1325" t="s">
        <v>2156</v>
      </c>
      <c r="F1325">
        <v>430388008</v>
      </c>
      <c r="G1325">
        <v>324956651</v>
      </c>
      <c r="H1325">
        <v>266135277</v>
      </c>
      <c r="I1325">
        <v>297110031</v>
      </c>
      <c r="J1325">
        <v>288072179</v>
      </c>
      <c r="K1325">
        <v>224423103</v>
      </c>
      <c r="P1325">
        <v>83</v>
      </c>
      <c r="Q1325" t="s">
        <v>2940</v>
      </c>
    </row>
    <row r="1326" spans="1:17" x14ac:dyDescent="0.3">
      <c r="A1326" t="s">
        <v>17</v>
      </c>
      <c r="B1326" t="str">
        <f>"603500"</f>
        <v>603500</v>
      </c>
      <c r="C1326" t="s">
        <v>2941</v>
      </c>
      <c r="D1326" t="s">
        <v>1012</v>
      </c>
      <c r="F1326">
        <v>268900440</v>
      </c>
      <c r="G1326">
        <v>175536604</v>
      </c>
      <c r="H1326">
        <v>167903170</v>
      </c>
      <c r="I1326">
        <v>135543501</v>
      </c>
      <c r="J1326">
        <v>178615295</v>
      </c>
      <c r="K1326">
        <v>199755576</v>
      </c>
      <c r="P1326">
        <v>91</v>
      </c>
      <c r="Q1326" t="s">
        <v>2942</v>
      </c>
    </row>
    <row r="1327" spans="1:17" x14ac:dyDescent="0.3">
      <c r="A1327" t="s">
        <v>17</v>
      </c>
      <c r="B1327" t="str">
        <f>"603501"</f>
        <v>603501</v>
      </c>
      <c r="C1327" t="s">
        <v>2943</v>
      </c>
      <c r="D1327" t="s">
        <v>461</v>
      </c>
      <c r="F1327">
        <v>17599657303</v>
      </c>
      <c r="G1327">
        <v>12697032869</v>
      </c>
      <c r="H1327">
        <v>8342453580</v>
      </c>
      <c r="I1327">
        <v>3100139320</v>
      </c>
      <c r="J1327">
        <v>1603648206</v>
      </c>
      <c r="K1327">
        <v>1575585037</v>
      </c>
      <c r="P1327">
        <v>2200</v>
      </c>
      <c r="Q1327" t="s">
        <v>2944</v>
      </c>
    </row>
    <row r="1328" spans="1:17" x14ac:dyDescent="0.3">
      <c r="A1328" t="s">
        <v>17</v>
      </c>
      <c r="B1328" t="str">
        <f>"603505"</f>
        <v>603505</v>
      </c>
      <c r="C1328" t="s">
        <v>2945</v>
      </c>
      <c r="D1328" t="s">
        <v>375</v>
      </c>
      <c r="F1328">
        <v>698060374</v>
      </c>
      <c r="G1328">
        <v>504108726</v>
      </c>
      <c r="H1328">
        <v>592959074</v>
      </c>
      <c r="I1328">
        <v>329250837</v>
      </c>
      <c r="J1328">
        <v>178016031</v>
      </c>
      <c r="K1328">
        <v>142227051</v>
      </c>
      <c r="P1328">
        <v>325</v>
      </c>
      <c r="Q1328" t="s">
        <v>2946</v>
      </c>
    </row>
    <row r="1329" spans="1:17" x14ac:dyDescent="0.3">
      <c r="A1329" t="s">
        <v>17</v>
      </c>
      <c r="B1329" t="str">
        <f>"603506"</f>
        <v>603506</v>
      </c>
      <c r="C1329" t="s">
        <v>2947</v>
      </c>
      <c r="D1329" t="s">
        <v>2948</v>
      </c>
      <c r="F1329">
        <v>1056672911</v>
      </c>
      <c r="G1329">
        <v>913975808</v>
      </c>
      <c r="H1329">
        <v>871086653</v>
      </c>
      <c r="I1329">
        <v>691599710</v>
      </c>
      <c r="J1329">
        <v>561523208</v>
      </c>
      <c r="K1329">
        <v>0</v>
      </c>
      <c r="P1329">
        <v>355</v>
      </c>
      <c r="Q1329" t="s">
        <v>2949</v>
      </c>
    </row>
    <row r="1330" spans="1:17" x14ac:dyDescent="0.3">
      <c r="A1330" t="s">
        <v>17</v>
      </c>
      <c r="B1330" t="str">
        <f>"603507"</f>
        <v>603507</v>
      </c>
      <c r="C1330" t="s">
        <v>2950</v>
      </c>
      <c r="D1330" t="s">
        <v>950</v>
      </c>
      <c r="F1330">
        <v>1574045211</v>
      </c>
      <c r="G1330">
        <v>1443677423</v>
      </c>
      <c r="H1330">
        <v>878447716</v>
      </c>
      <c r="I1330">
        <v>639301863</v>
      </c>
      <c r="J1330">
        <v>658828777</v>
      </c>
      <c r="K1330">
        <v>596918292</v>
      </c>
      <c r="P1330">
        <v>135</v>
      </c>
      <c r="Q1330" t="s">
        <v>2951</v>
      </c>
    </row>
    <row r="1331" spans="1:17" x14ac:dyDescent="0.3">
      <c r="A1331" t="s">
        <v>17</v>
      </c>
      <c r="B1331" t="str">
        <f>"603508"</f>
        <v>603508</v>
      </c>
      <c r="C1331" t="s">
        <v>2952</v>
      </c>
      <c r="D1331" t="s">
        <v>2953</v>
      </c>
      <c r="F1331">
        <v>474619411</v>
      </c>
      <c r="G1331">
        <v>464711025</v>
      </c>
      <c r="H1331">
        <v>797507046</v>
      </c>
      <c r="I1331">
        <v>482321409</v>
      </c>
      <c r="J1331">
        <v>523846366</v>
      </c>
      <c r="K1331">
        <v>533998147</v>
      </c>
      <c r="L1331">
        <v>0</v>
      </c>
      <c r="M1331">
        <v>0</v>
      </c>
      <c r="P1331">
        <v>219</v>
      </c>
      <c r="Q1331" t="s">
        <v>2954</v>
      </c>
    </row>
    <row r="1332" spans="1:17" x14ac:dyDescent="0.3">
      <c r="A1332" t="s">
        <v>17</v>
      </c>
      <c r="B1332" t="str">
        <f>"603511"</f>
        <v>603511</v>
      </c>
      <c r="C1332" t="s">
        <v>2955</v>
      </c>
      <c r="D1332" t="s">
        <v>330</v>
      </c>
      <c r="F1332">
        <v>2872069404</v>
      </c>
      <c r="P1332">
        <v>47</v>
      </c>
      <c r="Q1332" t="s">
        <v>2956</v>
      </c>
    </row>
    <row r="1333" spans="1:17" x14ac:dyDescent="0.3">
      <c r="A1333" t="s">
        <v>17</v>
      </c>
      <c r="B1333" t="str">
        <f>"603515"</f>
        <v>603515</v>
      </c>
      <c r="C1333" t="s">
        <v>2957</v>
      </c>
      <c r="D1333" t="s">
        <v>598</v>
      </c>
      <c r="F1333">
        <v>6778397237</v>
      </c>
      <c r="G1333">
        <v>5685883182</v>
      </c>
      <c r="H1333">
        <v>6285864707</v>
      </c>
      <c r="I1333">
        <v>6154464378</v>
      </c>
      <c r="J1333">
        <v>5466403187</v>
      </c>
      <c r="K1333">
        <v>4203379321</v>
      </c>
      <c r="L1333">
        <v>3360100221</v>
      </c>
      <c r="P1333">
        <v>2557</v>
      </c>
      <c r="Q1333" t="s">
        <v>2958</v>
      </c>
    </row>
    <row r="1334" spans="1:17" x14ac:dyDescent="0.3">
      <c r="A1334" t="s">
        <v>17</v>
      </c>
      <c r="B1334" t="str">
        <f>"603516"</f>
        <v>603516</v>
      </c>
      <c r="C1334" t="s">
        <v>2959</v>
      </c>
      <c r="D1334" t="s">
        <v>236</v>
      </c>
      <c r="F1334">
        <v>341373188</v>
      </c>
      <c r="G1334">
        <v>286511186</v>
      </c>
      <c r="H1334">
        <v>202927692</v>
      </c>
      <c r="I1334">
        <v>208463519</v>
      </c>
      <c r="J1334">
        <v>162959853</v>
      </c>
      <c r="P1334">
        <v>202</v>
      </c>
      <c r="Q1334" t="s">
        <v>2960</v>
      </c>
    </row>
    <row r="1335" spans="1:17" x14ac:dyDescent="0.3">
      <c r="A1335" t="s">
        <v>17</v>
      </c>
      <c r="B1335" t="str">
        <f>"603517"</f>
        <v>603517</v>
      </c>
      <c r="C1335" t="s">
        <v>2961</v>
      </c>
      <c r="D1335" t="s">
        <v>2962</v>
      </c>
      <c r="F1335">
        <v>5418106200</v>
      </c>
      <c r="G1335">
        <v>4394463519</v>
      </c>
      <c r="H1335">
        <v>4442973792</v>
      </c>
      <c r="I1335">
        <v>3908374247</v>
      </c>
      <c r="J1335">
        <v>3446503723</v>
      </c>
      <c r="K1335">
        <v>2889284412</v>
      </c>
      <c r="P1335">
        <v>2367</v>
      </c>
      <c r="Q1335" t="s">
        <v>2963</v>
      </c>
    </row>
    <row r="1336" spans="1:17" x14ac:dyDescent="0.3">
      <c r="A1336" t="s">
        <v>17</v>
      </c>
      <c r="B1336" t="str">
        <f>"603518"</f>
        <v>603518</v>
      </c>
      <c r="C1336" t="s">
        <v>2964</v>
      </c>
      <c r="D1336" t="s">
        <v>255</v>
      </c>
      <c r="F1336">
        <v>2764022760</v>
      </c>
      <c r="G1336">
        <v>2105141455</v>
      </c>
      <c r="H1336">
        <v>2318184654</v>
      </c>
      <c r="I1336">
        <v>2421933217</v>
      </c>
      <c r="J1336">
        <v>1868497613</v>
      </c>
      <c r="K1336">
        <v>617658685</v>
      </c>
      <c r="L1336">
        <v>659516829</v>
      </c>
      <c r="M1336">
        <v>695453950</v>
      </c>
      <c r="N1336">
        <v>615559546</v>
      </c>
      <c r="P1336">
        <v>204</v>
      </c>
      <c r="Q1336" t="s">
        <v>2965</v>
      </c>
    </row>
    <row r="1337" spans="1:17" x14ac:dyDescent="0.3">
      <c r="A1337" t="s">
        <v>17</v>
      </c>
      <c r="B1337" t="str">
        <f>"603519"</f>
        <v>603519</v>
      </c>
      <c r="C1337" t="s">
        <v>2966</v>
      </c>
      <c r="D1337" t="s">
        <v>1253</v>
      </c>
      <c r="F1337">
        <v>785182270</v>
      </c>
      <c r="G1337">
        <v>510044639</v>
      </c>
      <c r="H1337">
        <v>475336137</v>
      </c>
      <c r="I1337">
        <v>420817549</v>
      </c>
      <c r="J1337">
        <v>427971724</v>
      </c>
      <c r="K1337">
        <v>295766952</v>
      </c>
      <c r="L1337">
        <v>313756674</v>
      </c>
      <c r="M1337">
        <v>355785360</v>
      </c>
      <c r="P1337">
        <v>148</v>
      </c>
      <c r="Q1337" t="s">
        <v>2967</v>
      </c>
    </row>
    <row r="1338" spans="1:17" x14ac:dyDescent="0.3">
      <c r="A1338" t="s">
        <v>17</v>
      </c>
      <c r="B1338" t="str">
        <f>"603520"</f>
        <v>603520</v>
      </c>
      <c r="C1338" t="s">
        <v>2968</v>
      </c>
      <c r="D1338" t="s">
        <v>496</v>
      </c>
      <c r="F1338">
        <v>1170010656</v>
      </c>
      <c r="G1338">
        <v>968945628</v>
      </c>
      <c r="H1338">
        <v>783578710</v>
      </c>
      <c r="I1338">
        <v>513231221</v>
      </c>
      <c r="J1338">
        <v>359820961</v>
      </c>
      <c r="K1338">
        <v>386042997</v>
      </c>
      <c r="L1338">
        <v>553464124</v>
      </c>
      <c r="P1338">
        <v>382</v>
      </c>
      <c r="Q1338" t="s">
        <v>2969</v>
      </c>
    </row>
    <row r="1339" spans="1:17" x14ac:dyDescent="0.3">
      <c r="A1339" t="s">
        <v>17</v>
      </c>
      <c r="B1339" t="str">
        <f>"603527"</f>
        <v>603527</v>
      </c>
      <c r="C1339" t="s">
        <v>2970</v>
      </c>
      <c r="D1339" t="s">
        <v>263</v>
      </c>
      <c r="F1339">
        <v>5301096940</v>
      </c>
      <c r="G1339">
        <v>2868235788</v>
      </c>
      <c r="H1339">
        <v>2635654832</v>
      </c>
      <c r="I1339">
        <v>2823296744</v>
      </c>
      <c r="J1339">
        <v>2456911700</v>
      </c>
      <c r="K1339">
        <v>1812874564</v>
      </c>
      <c r="P1339">
        <v>53</v>
      </c>
      <c r="Q1339" t="s">
        <v>2971</v>
      </c>
    </row>
    <row r="1340" spans="1:17" x14ac:dyDescent="0.3">
      <c r="A1340" t="s">
        <v>17</v>
      </c>
      <c r="B1340" t="str">
        <f>"603528"</f>
        <v>603528</v>
      </c>
      <c r="C1340" t="s">
        <v>2972</v>
      </c>
      <c r="D1340" t="s">
        <v>945</v>
      </c>
      <c r="F1340">
        <v>542606415</v>
      </c>
      <c r="G1340">
        <v>406482492</v>
      </c>
      <c r="H1340">
        <v>388375106</v>
      </c>
      <c r="I1340">
        <v>411584628</v>
      </c>
      <c r="J1340">
        <v>489534783</v>
      </c>
      <c r="K1340">
        <v>381226024</v>
      </c>
      <c r="L1340">
        <v>507721641</v>
      </c>
      <c r="P1340">
        <v>195</v>
      </c>
      <c r="Q1340" t="s">
        <v>2973</v>
      </c>
    </row>
    <row r="1341" spans="1:17" x14ac:dyDescent="0.3">
      <c r="A1341" t="s">
        <v>17</v>
      </c>
      <c r="B1341" t="str">
        <f>"603529"</f>
        <v>603529</v>
      </c>
      <c r="C1341" t="s">
        <v>2974</v>
      </c>
      <c r="D1341" t="s">
        <v>233</v>
      </c>
      <c r="F1341">
        <v>14005492367</v>
      </c>
      <c r="P1341">
        <v>73</v>
      </c>
      <c r="Q1341" t="s">
        <v>2975</v>
      </c>
    </row>
    <row r="1342" spans="1:17" x14ac:dyDescent="0.3">
      <c r="A1342" t="s">
        <v>17</v>
      </c>
      <c r="B1342" t="str">
        <f>"603530"</f>
        <v>603530</v>
      </c>
      <c r="C1342" t="s">
        <v>2976</v>
      </c>
      <c r="D1342" t="s">
        <v>1164</v>
      </c>
      <c r="F1342">
        <v>353281364</v>
      </c>
      <c r="G1342">
        <v>286171350</v>
      </c>
      <c r="H1342">
        <v>350938239</v>
      </c>
      <c r="I1342">
        <v>345427553</v>
      </c>
      <c r="P1342">
        <v>88</v>
      </c>
      <c r="Q1342" t="s">
        <v>2977</v>
      </c>
    </row>
    <row r="1343" spans="1:17" x14ac:dyDescent="0.3">
      <c r="A1343" t="s">
        <v>17</v>
      </c>
      <c r="B1343" t="str">
        <f>"603533"</f>
        <v>603533</v>
      </c>
      <c r="C1343" t="s">
        <v>2978</v>
      </c>
      <c r="D1343" t="s">
        <v>2979</v>
      </c>
      <c r="F1343">
        <v>1745434822</v>
      </c>
      <c r="G1343">
        <v>1564542676</v>
      </c>
      <c r="H1343">
        <v>1430557706</v>
      </c>
      <c r="I1343">
        <v>1462596967</v>
      </c>
      <c r="J1343">
        <v>1298441422</v>
      </c>
      <c r="K1343">
        <v>854308328</v>
      </c>
      <c r="P1343">
        <v>872</v>
      </c>
      <c r="Q1343" t="s">
        <v>2980</v>
      </c>
    </row>
    <row r="1344" spans="1:17" x14ac:dyDescent="0.3">
      <c r="A1344" t="s">
        <v>17</v>
      </c>
      <c r="B1344" t="str">
        <f>"603535"</f>
        <v>603535</v>
      </c>
      <c r="C1344" t="s">
        <v>2981</v>
      </c>
      <c r="D1344" t="s">
        <v>287</v>
      </c>
      <c r="F1344">
        <v>1015958364</v>
      </c>
      <c r="G1344">
        <v>778138999</v>
      </c>
      <c r="H1344">
        <v>861945821</v>
      </c>
      <c r="I1344">
        <v>676162021</v>
      </c>
      <c r="J1344">
        <v>676955862</v>
      </c>
      <c r="K1344">
        <v>554176956</v>
      </c>
      <c r="P1344">
        <v>85</v>
      </c>
      <c r="Q1344" t="s">
        <v>2982</v>
      </c>
    </row>
    <row r="1345" spans="1:17" x14ac:dyDescent="0.3">
      <c r="A1345" t="s">
        <v>17</v>
      </c>
      <c r="B1345" t="str">
        <f>"603536"</f>
        <v>603536</v>
      </c>
      <c r="C1345" t="s">
        <v>2983</v>
      </c>
      <c r="D1345" t="s">
        <v>2838</v>
      </c>
      <c r="F1345">
        <v>1291388955</v>
      </c>
      <c r="G1345">
        <v>998159431</v>
      </c>
      <c r="H1345">
        <v>823965198</v>
      </c>
      <c r="I1345">
        <v>739838816</v>
      </c>
      <c r="J1345">
        <v>664251784</v>
      </c>
      <c r="K1345">
        <v>576218657</v>
      </c>
      <c r="P1345">
        <v>125</v>
      </c>
      <c r="Q1345" t="s">
        <v>2984</v>
      </c>
    </row>
    <row r="1346" spans="1:17" x14ac:dyDescent="0.3">
      <c r="A1346" t="s">
        <v>17</v>
      </c>
      <c r="B1346" t="str">
        <f>"603538"</f>
        <v>603538</v>
      </c>
      <c r="C1346" t="s">
        <v>2985</v>
      </c>
      <c r="D1346" t="s">
        <v>496</v>
      </c>
      <c r="F1346">
        <v>838036258</v>
      </c>
      <c r="G1346">
        <v>946032554</v>
      </c>
      <c r="H1346">
        <v>808537486</v>
      </c>
      <c r="I1346">
        <v>560437914</v>
      </c>
      <c r="J1346">
        <v>406078441</v>
      </c>
      <c r="K1346">
        <v>409200563</v>
      </c>
      <c r="P1346">
        <v>265</v>
      </c>
      <c r="Q1346" t="s">
        <v>2986</v>
      </c>
    </row>
    <row r="1347" spans="1:17" x14ac:dyDescent="0.3">
      <c r="A1347" t="s">
        <v>17</v>
      </c>
      <c r="B1347" t="str">
        <f>"603551"</f>
        <v>603551</v>
      </c>
      <c r="C1347" t="s">
        <v>2987</v>
      </c>
      <c r="D1347" t="s">
        <v>2865</v>
      </c>
      <c r="F1347">
        <v>1508620181</v>
      </c>
      <c r="G1347">
        <v>1222484945</v>
      </c>
      <c r="H1347">
        <v>1316603250</v>
      </c>
      <c r="I1347">
        <v>1392454701</v>
      </c>
      <c r="P1347">
        <v>116</v>
      </c>
      <c r="Q1347" t="s">
        <v>2988</v>
      </c>
    </row>
    <row r="1348" spans="1:17" x14ac:dyDescent="0.3">
      <c r="A1348" t="s">
        <v>17</v>
      </c>
      <c r="B1348" t="str">
        <f>"603555"</f>
        <v>603555</v>
      </c>
      <c r="C1348" t="s">
        <v>2989</v>
      </c>
      <c r="D1348" t="s">
        <v>2990</v>
      </c>
      <c r="F1348">
        <v>805905595</v>
      </c>
      <c r="G1348">
        <v>715046054</v>
      </c>
      <c r="H1348">
        <v>1161952717</v>
      </c>
      <c r="I1348">
        <v>2670994250</v>
      </c>
      <c r="J1348">
        <v>2477907765</v>
      </c>
      <c r="K1348">
        <v>1076955952</v>
      </c>
      <c r="L1348">
        <v>1403017446</v>
      </c>
      <c r="M1348">
        <v>1312780649</v>
      </c>
      <c r="N1348">
        <v>1348021888</v>
      </c>
      <c r="P1348">
        <v>81</v>
      </c>
      <c r="Q1348" t="s">
        <v>2991</v>
      </c>
    </row>
    <row r="1349" spans="1:17" x14ac:dyDescent="0.3">
      <c r="A1349" t="s">
        <v>17</v>
      </c>
      <c r="B1349" t="str">
        <f>"603556"</f>
        <v>603556</v>
      </c>
      <c r="C1349" t="s">
        <v>2992</v>
      </c>
      <c r="D1349" t="s">
        <v>2171</v>
      </c>
      <c r="F1349">
        <v>2008079994</v>
      </c>
      <c r="G1349">
        <v>2207100760</v>
      </c>
      <c r="H1349">
        <v>2082128940</v>
      </c>
      <c r="I1349">
        <v>1725076619</v>
      </c>
      <c r="J1349">
        <v>1905435697</v>
      </c>
      <c r="K1349">
        <v>1573306637</v>
      </c>
      <c r="L1349">
        <v>1568730831</v>
      </c>
      <c r="P1349">
        <v>218</v>
      </c>
      <c r="Q1349" t="s">
        <v>2993</v>
      </c>
    </row>
    <row r="1350" spans="1:17" x14ac:dyDescent="0.3">
      <c r="A1350" t="s">
        <v>17</v>
      </c>
      <c r="B1350" t="str">
        <f>"603557"</f>
        <v>603557</v>
      </c>
      <c r="C1350" t="s">
        <v>2994</v>
      </c>
      <c r="D1350" t="s">
        <v>330</v>
      </c>
      <c r="F1350">
        <v>561069903</v>
      </c>
      <c r="G1350">
        <v>682984163</v>
      </c>
      <c r="H1350">
        <v>988647081</v>
      </c>
      <c r="I1350">
        <v>727287609</v>
      </c>
      <c r="J1350">
        <v>754501000</v>
      </c>
      <c r="K1350">
        <v>627547409</v>
      </c>
      <c r="P1350">
        <v>118</v>
      </c>
      <c r="Q1350" t="s">
        <v>2995</v>
      </c>
    </row>
    <row r="1351" spans="1:17" x14ac:dyDescent="0.3">
      <c r="A1351" t="s">
        <v>17</v>
      </c>
      <c r="B1351" t="str">
        <f>"603558"</f>
        <v>603558</v>
      </c>
      <c r="C1351" t="s">
        <v>2996</v>
      </c>
      <c r="D1351" t="s">
        <v>1009</v>
      </c>
      <c r="F1351">
        <v>1356841767</v>
      </c>
      <c r="G1351">
        <v>1170548161</v>
      </c>
      <c r="H1351">
        <v>1336157911</v>
      </c>
      <c r="I1351">
        <v>1257488642</v>
      </c>
      <c r="J1351">
        <v>751898961</v>
      </c>
      <c r="K1351">
        <v>573382299</v>
      </c>
      <c r="L1351">
        <v>538540175</v>
      </c>
      <c r="M1351">
        <v>466859707</v>
      </c>
      <c r="N1351">
        <v>402768624</v>
      </c>
      <c r="P1351">
        <v>136</v>
      </c>
      <c r="Q1351" t="s">
        <v>2997</v>
      </c>
    </row>
    <row r="1352" spans="1:17" x14ac:dyDescent="0.3">
      <c r="A1352" t="s">
        <v>17</v>
      </c>
      <c r="B1352" t="str">
        <f>"603559"</f>
        <v>603559</v>
      </c>
      <c r="C1352" t="s">
        <v>2998</v>
      </c>
      <c r="D1352" t="s">
        <v>654</v>
      </c>
      <c r="F1352">
        <v>455674563</v>
      </c>
      <c r="G1352">
        <v>568937649</v>
      </c>
      <c r="H1352">
        <v>495699128</v>
      </c>
      <c r="I1352">
        <v>326292473</v>
      </c>
      <c r="J1352">
        <v>272325048</v>
      </c>
      <c r="K1352">
        <v>325794799</v>
      </c>
      <c r="L1352">
        <v>320890750</v>
      </c>
      <c r="P1352">
        <v>159</v>
      </c>
      <c r="Q1352" t="s">
        <v>2999</v>
      </c>
    </row>
    <row r="1353" spans="1:17" x14ac:dyDescent="0.3">
      <c r="A1353" t="s">
        <v>17</v>
      </c>
      <c r="B1353" t="str">
        <f>"603565"</f>
        <v>603565</v>
      </c>
      <c r="C1353" t="s">
        <v>3000</v>
      </c>
      <c r="D1353" t="s">
        <v>69</v>
      </c>
      <c r="F1353">
        <v>8380911067</v>
      </c>
      <c r="G1353">
        <v>7079825478</v>
      </c>
      <c r="H1353">
        <v>6889349581</v>
      </c>
      <c r="P1353">
        <v>225</v>
      </c>
      <c r="Q1353" t="s">
        <v>3001</v>
      </c>
    </row>
    <row r="1354" spans="1:17" x14ac:dyDescent="0.3">
      <c r="A1354" t="s">
        <v>17</v>
      </c>
      <c r="B1354" t="str">
        <f>"603566"</f>
        <v>603566</v>
      </c>
      <c r="C1354" t="s">
        <v>3002</v>
      </c>
      <c r="D1354" t="s">
        <v>453</v>
      </c>
      <c r="F1354">
        <v>744646944</v>
      </c>
      <c r="G1354">
        <v>590120038</v>
      </c>
      <c r="H1354">
        <v>452700115</v>
      </c>
      <c r="I1354">
        <v>387979629</v>
      </c>
      <c r="J1354">
        <v>343358106</v>
      </c>
      <c r="K1354">
        <v>362471159</v>
      </c>
      <c r="L1354">
        <v>269503998</v>
      </c>
      <c r="M1354">
        <v>285804470</v>
      </c>
      <c r="P1354">
        <v>233</v>
      </c>
      <c r="Q1354" t="s">
        <v>3003</v>
      </c>
    </row>
    <row r="1355" spans="1:17" x14ac:dyDescent="0.3">
      <c r="A1355" t="s">
        <v>17</v>
      </c>
      <c r="B1355" t="str">
        <f>"603567"</f>
        <v>603567</v>
      </c>
      <c r="C1355" t="s">
        <v>3004</v>
      </c>
      <c r="D1355" t="s">
        <v>188</v>
      </c>
      <c r="F1355">
        <v>2263569943</v>
      </c>
      <c r="G1355">
        <v>2002954192</v>
      </c>
      <c r="H1355">
        <v>1751750324</v>
      </c>
      <c r="I1355">
        <v>2202742916</v>
      </c>
      <c r="J1355">
        <v>1722472354</v>
      </c>
      <c r="K1355">
        <v>1368359662</v>
      </c>
      <c r="L1355">
        <v>871796181</v>
      </c>
      <c r="M1355">
        <v>824736983</v>
      </c>
      <c r="P1355">
        <v>134</v>
      </c>
      <c r="Q1355" t="s">
        <v>3005</v>
      </c>
    </row>
    <row r="1356" spans="1:17" x14ac:dyDescent="0.3">
      <c r="A1356" t="s">
        <v>17</v>
      </c>
      <c r="B1356" t="str">
        <f>"603568"</f>
        <v>603568</v>
      </c>
      <c r="C1356" t="s">
        <v>3006</v>
      </c>
      <c r="D1356" t="s">
        <v>499</v>
      </c>
      <c r="F1356">
        <v>2359658038</v>
      </c>
      <c r="G1356">
        <v>1591508137</v>
      </c>
      <c r="H1356">
        <v>1236474243</v>
      </c>
      <c r="I1356">
        <v>1001774887</v>
      </c>
      <c r="J1356">
        <v>682678005</v>
      </c>
      <c r="K1356">
        <v>562337217</v>
      </c>
      <c r="L1356">
        <v>559514626</v>
      </c>
      <c r="M1356">
        <v>492152586</v>
      </c>
      <c r="P1356">
        <v>16270</v>
      </c>
      <c r="Q1356" t="s">
        <v>3007</v>
      </c>
    </row>
    <row r="1357" spans="1:17" x14ac:dyDescent="0.3">
      <c r="A1357" t="s">
        <v>17</v>
      </c>
      <c r="B1357" t="str">
        <f>"603569"</f>
        <v>603569</v>
      </c>
      <c r="C1357" t="s">
        <v>3008</v>
      </c>
      <c r="D1357" t="s">
        <v>2492</v>
      </c>
      <c r="F1357">
        <v>3542750199</v>
      </c>
      <c r="G1357">
        <v>3250069518</v>
      </c>
      <c r="H1357">
        <v>4098793772</v>
      </c>
      <c r="I1357">
        <v>3547325545</v>
      </c>
      <c r="J1357">
        <v>3497544104</v>
      </c>
      <c r="K1357">
        <v>2724518034</v>
      </c>
      <c r="L1357">
        <v>2478901865</v>
      </c>
      <c r="P1357">
        <v>198</v>
      </c>
      <c r="Q1357" t="s">
        <v>3009</v>
      </c>
    </row>
    <row r="1358" spans="1:17" x14ac:dyDescent="0.3">
      <c r="A1358" t="s">
        <v>17</v>
      </c>
      <c r="B1358" t="str">
        <f>"603577"</f>
        <v>603577</v>
      </c>
      <c r="C1358" t="s">
        <v>3010</v>
      </c>
      <c r="D1358" t="s">
        <v>1164</v>
      </c>
      <c r="F1358">
        <v>1244090805</v>
      </c>
      <c r="G1358">
        <v>1249744614</v>
      </c>
      <c r="H1358">
        <v>1251726427</v>
      </c>
      <c r="I1358">
        <v>666950059</v>
      </c>
      <c r="J1358">
        <v>624720951</v>
      </c>
      <c r="K1358">
        <v>497569416</v>
      </c>
      <c r="L1358">
        <v>0</v>
      </c>
      <c r="P1358">
        <v>90</v>
      </c>
      <c r="Q1358" t="s">
        <v>3011</v>
      </c>
    </row>
    <row r="1359" spans="1:17" x14ac:dyDescent="0.3">
      <c r="A1359" t="s">
        <v>17</v>
      </c>
      <c r="B1359" t="str">
        <f>"603578"</f>
        <v>603578</v>
      </c>
      <c r="C1359" t="s">
        <v>3012</v>
      </c>
      <c r="D1359" t="s">
        <v>1253</v>
      </c>
      <c r="F1359">
        <v>457320828</v>
      </c>
      <c r="G1359">
        <v>246412142</v>
      </c>
      <c r="H1359">
        <v>358743269</v>
      </c>
      <c r="I1359">
        <v>183479597</v>
      </c>
      <c r="J1359">
        <v>141292889</v>
      </c>
      <c r="K1359">
        <v>167147608</v>
      </c>
      <c r="P1359">
        <v>131</v>
      </c>
      <c r="Q1359" t="s">
        <v>3013</v>
      </c>
    </row>
    <row r="1360" spans="1:17" x14ac:dyDescent="0.3">
      <c r="A1360" t="s">
        <v>17</v>
      </c>
      <c r="B1360" t="str">
        <f>"603579"</f>
        <v>603579</v>
      </c>
      <c r="C1360" t="s">
        <v>3014</v>
      </c>
      <c r="D1360" t="s">
        <v>3015</v>
      </c>
      <c r="F1360">
        <v>1858742048</v>
      </c>
      <c r="G1360">
        <v>1368554285</v>
      </c>
      <c r="H1360">
        <v>1761756992</v>
      </c>
      <c r="I1360">
        <v>1889799675</v>
      </c>
      <c r="J1360">
        <v>1336781690</v>
      </c>
      <c r="K1360">
        <v>890898894</v>
      </c>
      <c r="L1360">
        <v>703718682</v>
      </c>
      <c r="P1360">
        <v>597</v>
      </c>
      <c r="Q1360" t="s">
        <v>3016</v>
      </c>
    </row>
    <row r="1361" spans="1:17" x14ac:dyDescent="0.3">
      <c r="A1361" t="s">
        <v>17</v>
      </c>
      <c r="B1361" t="str">
        <f>"603580"</f>
        <v>603580</v>
      </c>
      <c r="C1361" t="s">
        <v>3017</v>
      </c>
      <c r="D1361" t="s">
        <v>1192</v>
      </c>
      <c r="F1361">
        <v>190187571</v>
      </c>
      <c r="G1361">
        <v>136568872</v>
      </c>
      <c r="H1361">
        <v>134984092</v>
      </c>
      <c r="I1361">
        <v>136047151</v>
      </c>
      <c r="J1361">
        <v>110300921</v>
      </c>
      <c r="K1361">
        <v>105298894</v>
      </c>
      <c r="P1361">
        <v>57</v>
      </c>
      <c r="Q1361" t="s">
        <v>3018</v>
      </c>
    </row>
    <row r="1362" spans="1:17" x14ac:dyDescent="0.3">
      <c r="A1362" t="s">
        <v>17</v>
      </c>
      <c r="B1362" t="str">
        <f>"603583"</f>
        <v>603583</v>
      </c>
      <c r="C1362" t="s">
        <v>3019</v>
      </c>
      <c r="D1362" t="s">
        <v>2423</v>
      </c>
      <c r="F1362">
        <v>1658570540</v>
      </c>
      <c r="G1362">
        <v>1406624668</v>
      </c>
      <c r="H1362">
        <v>1016642055</v>
      </c>
      <c r="I1362">
        <v>741038227</v>
      </c>
      <c r="J1362">
        <v>465536683</v>
      </c>
      <c r="P1362">
        <v>704</v>
      </c>
      <c r="Q1362" t="s">
        <v>3020</v>
      </c>
    </row>
    <row r="1363" spans="1:17" x14ac:dyDescent="0.3">
      <c r="A1363" t="s">
        <v>17</v>
      </c>
      <c r="B1363" t="str">
        <f>"603585"</f>
        <v>603585</v>
      </c>
      <c r="C1363" t="s">
        <v>3021</v>
      </c>
      <c r="D1363" t="s">
        <v>853</v>
      </c>
      <c r="F1363">
        <v>1159311894</v>
      </c>
      <c r="G1363">
        <v>722155762</v>
      </c>
      <c r="H1363">
        <v>1420717918</v>
      </c>
      <c r="I1363">
        <v>1266525607</v>
      </c>
      <c r="J1363">
        <v>1223250051</v>
      </c>
      <c r="K1363">
        <v>995111322</v>
      </c>
      <c r="P1363">
        <v>546</v>
      </c>
      <c r="Q1363" t="s">
        <v>3022</v>
      </c>
    </row>
    <row r="1364" spans="1:17" x14ac:dyDescent="0.3">
      <c r="A1364" t="s">
        <v>17</v>
      </c>
      <c r="B1364" t="str">
        <f>"603586"</f>
        <v>603586</v>
      </c>
      <c r="C1364" t="s">
        <v>3023</v>
      </c>
      <c r="D1364" t="s">
        <v>348</v>
      </c>
      <c r="F1364">
        <v>1016084580</v>
      </c>
      <c r="G1364">
        <v>1052188790</v>
      </c>
      <c r="H1364">
        <v>1151198096</v>
      </c>
      <c r="I1364">
        <v>977135737</v>
      </c>
      <c r="J1364">
        <v>1049783214</v>
      </c>
      <c r="K1364">
        <v>856566360</v>
      </c>
      <c r="P1364">
        <v>109</v>
      </c>
      <c r="Q1364" t="s">
        <v>3024</v>
      </c>
    </row>
    <row r="1365" spans="1:17" x14ac:dyDescent="0.3">
      <c r="A1365" t="s">
        <v>17</v>
      </c>
      <c r="B1365" t="str">
        <f>"603587"</f>
        <v>603587</v>
      </c>
      <c r="C1365" t="s">
        <v>3025</v>
      </c>
      <c r="D1365" t="s">
        <v>255</v>
      </c>
      <c r="F1365">
        <v>2234813569</v>
      </c>
      <c r="G1365">
        <v>1859779961</v>
      </c>
      <c r="H1365">
        <v>2010497031</v>
      </c>
      <c r="I1365">
        <v>1759087323</v>
      </c>
      <c r="J1365">
        <v>1646596731</v>
      </c>
      <c r="P1365">
        <v>1011</v>
      </c>
      <c r="Q1365" t="s">
        <v>3026</v>
      </c>
    </row>
    <row r="1366" spans="1:17" x14ac:dyDescent="0.3">
      <c r="A1366" t="s">
        <v>17</v>
      </c>
      <c r="B1366" t="str">
        <f>"603588"</f>
        <v>603588</v>
      </c>
      <c r="C1366" t="s">
        <v>3027</v>
      </c>
      <c r="D1366" t="s">
        <v>499</v>
      </c>
      <c r="F1366">
        <v>5768344749</v>
      </c>
      <c r="G1366">
        <v>4269606253</v>
      </c>
      <c r="H1366">
        <v>3440247499</v>
      </c>
      <c r="I1366">
        <v>2125750611</v>
      </c>
      <c r="J1366">
        <v>1122010786</v>
      </c>
      <c r="K1366">
        <v>588537443</v>
      </c>
      <c r="L1366">
        <v>408257101</v>
      </c>
      <c r="M1366">
        <v>326165281</v>
      </c>
      <c r="N1366">
        <v>0</v>
      </c>
      <c r="P1366">
        <v>580</v>
      </c>
      <c r="Q1366" t="s">
        <v>3028</v>
      </c>
    </row>
    <row r="1367" spans="1:17" x14ac:dyDescent="0.3">
      <c r="A1367" t="s">
        <v>17</v>
      </c>
      <c r="B1367" t="str">
        <f>"603589"</f>
        <v>603589</v>
      </c>
      <c r="C1367" t="s">
        <v>3029</v>
      </c>
      <c r="D1367" t="s">
        <v>458</v>
      </c>
      <c r="F1367">
        <v>3400732821</v>
      </c>
      <c r="G1367">
        <v>2472868936</v>
      </c>
      <c r="H1367">
        <v>3547134697</v>
      </c>
      <c r="I1367">
        <v>3210029709</v>
      </c>
      <c r="J1367">
        <v>2702844930</v>
      </c>
      <c r="K1367">
        <v>2092741115</v>
      </c>
      <c r="L1367">
        <v>2127572583</v>
      </c>
      <c r="M1367">
        <v>1757294929</v>
      </c>
      <c r="P1367">
        <v>6961</v>
      </c>
      <c r="Q1367" t="s">
        <v>3030</v>
      </c>
    </row>
    <row r="1368" spans="1:17" x14ac:dyDescent="0.3">
      <c r="A1368" t="s">
        <v>17</v>
      </c>
      <c r="B1368" t="str">
        <f>"603590"</f>
        <v>603590</v>
      </c>
      <c r="C1368" t="s">
        <v>3031</v>
      </c>
      <c r="D1368" t="s">
        <v>1379</v>
      </c>
      <c r="F1368">
        <v>546405533</v>
      </c>
      <c r="G1368">
        <v>725209582</v>
      </c>
      <c r="H1368">
        <v>875208053</v>
      </c>
      <c r="I1368">
        <v>691009705</v>
      </c>
      <c r="J1368">
        <v>408665791</v>
      </c>
      <c r="P1368">
        <v>158</v>
      </c>
      <c r="Q1368" t="s">
        <v>3032</v>
      </c>
    </row>
    <row r="1369" spans="1:17" x14ac:dyDescent="0.3">
      <c r="A1369" t="s">
        <v>17</v>
      </c>
      <c r="B1369" t="str">
        <f>"603595"</f>
        <v>603595</v>
      </c>
      <c r="C1369" t="s">
        <v>3033</v>
      </c>
      <c r="D1369" t="s">
        <v>313</v>
      </c>
      <c r="F1369">
        <v>955868350</v>
      </c>
      <c r="G1369">
        <v>597664133</v>
      </c>
      <c r="H1369">
        <v>362813679</v>
      </c>
      <c r="I1369">
        <v>607929141</v>
      </c>
      <c r="J1369">
        <v>314043818</v>
      </c>
      <c r="K1369">
        <v>206760728</v>
      </c>
      <c r="P1369">
        <v>184</v>
      </c>
      <c r="Q1369" t="s">
        <v>3034</v>
      </c>
    </row>
    <row r="1370" spans="1:17" x14ac:dyDescent="0.3">
      <c r="A1370" t="s">
        <v>17</v>
      </c>
      <c r="B1370" t="str">
        <f>"603596"</f>
        <v>603596</v>
      </c>
      <c r="C1370" t="s">
        <v>3035</v>
      </c>
      <c r="D1370" t="s">
        <v>348</v>
      </c>
      <c r="F1370">
        <v>2523203704</v>
      </c>
      <c r="G1370">
        <v>2321393658</v>
      </c>
      <c r="H1370">
        <v>2339193786</v>
      </c>
      <c r="I1370">
        <v>2121433139</v>
      </c>
      <c r="J1370">
        <v>1774776282</v>
      </c>
      <c r="P1370">
        <v>369</v>
      </c>
      <c r="Q1370" t="s">
        <v>3036</v>
      </c>
    </row>
    <row r="1371" spans="1:17" x14ac:dyDescent="0.3">
      <c r="A1371" t="s">
        <v>17</v>
      </c>
      <c r="B1371" t="str">
        <f>"603598"</f>
        <v>603598</v>
      </c>
      <c r="C1371" t="s">
        <v>3037</v>
      </c>
      <c r="D1371" t="s">
        <v>207</v>
      </c>
      <c r="F1371">
        <v>4708457436</v>
      </c>
      <c r="G1371">
        <v>3496845485</v>
      </c>
      <c r="H1371">
        <v>1908219613</v>
      </c>
      <c r="I1371">
        <v>2897241060</v>
      </c>
      <c r="J1371">
        <v>1236119702</v>
      </c>
      <c r="K1371">
        <v>1246281923</v>
      </c>
      <c r="L1371">
        <v>1025609181</v>
      </c>
      <c r="M1371">
        <v>913171525</v>
      </c>
      <c r="P1371">
        <v>113</v>
      </c>
      <c r="Q1371" t="s">
        <v>3038</v>
      </c>
    </row>
    <row r="1372" spans="1:17" x14ac:dyDescent="0.3">
      <c r="A1372" t="s">
        <v>17</v>
      </c>
      <c r="B1372" t="str">
        <f>"603599"</f>
        <v>603599</v>
      </c>
      <c r="C1372" t="s">
        <v>3039</v>
      </c>
      <c r="D1372" t="s">
        <v>853</v>
      </c>
      <c r="F1372">
        <v>4001261124</v>
      </c>
      <c r="G1372">
        <v>1781821917</v>
      </c>
      <c r="H1372">
        <v>1512116022</v>
      </c>
      <c r="I1372">
        <v>2137050144</v>
      </c>
      <c r="J1372">
        <v>1909875957</v>
      </c>
      <c r="K1372">
        <v>1253922148</v>
      </c>
      <c r="L1372">
        <v>559809226</v>
      </c>
      <c r="M1372">
        <v>633246652</v>
      </c>
      <c r="P1372">
        <v>304</v>
      </c>
      <c r="Q1372" t="s">
        <v>3040</v>
      </c>
    </row>
    <row r="1373" spans="1:17" x14ac:dyDescent="0.3">
      <c r="A1373" t="s">
        <v>17</v>
      </c>
      <c r="B1373" t="str">
        <f>"603600"</f>
        <v>603600</v>
      </c>
      <c r="C1373" t="s">
        <v>3041</v>
      </c>
      <c r="D1373" t="s">
        <v>757</v>
      </c>
      <c r="F1373">
        <v>3745601403</v>
      </c>
      <c r="G1373">
        <v>2145845286</v>
      </c>
      <c r="H1373">
        <v>1869832749</v>
      </c>
      <c r="I1373">
        <v>1719125888</v>
      </c>
      <c r="J1373">
        <v>1326404836</v>
      </c>
      <c r="K1373">
        <v>1037687855</v>
      </c>
      <c r="L1373">
        <v>893620869</v>
      </c>
      <c r="M1373">
        <v>679838150</v>
      </c>
      <c r="P1373">
        <v>290</v>
      </c>
      <c r="Q1373" t="s">
        <v>3042</v>
      </c>
    </row>
    <row r="1374" spans="1:17" x14ac:dyDescent="0.3">
      <c r="A1374" t="s">
        <v>17</v>
      </c>
      <c r="B1374" t="str">
        <f>"603601"</f>
        <v>603601</v>
      </c>
      <c r="C1374" t="s">
        <v>3043</v>
      </c>
      <c r="D1374" t="s">
        <v>411</v>
      </c>
      <c r="F1374">
        <v>819125116</v>
      </c>
      <c r="G1374">
        <v>1021881257</v>
      </c>
      <c r="H1374">
        <v>695652615</v>
      </c>
      <c r="I1374">
        <v>612304968</v>
      </c>
      <c r="J1374">
        <v>303346568</v>
      </c>
      <c r="K1374">
        <v>187543889</v>
      </c>
      <c r="L1374">
        <v>154504829</v>
      </c>
      <c r="M1374">
        <v>148030951</v>
      </c>
      <c r="P1374">
        <v>500</v>
      </c>
      <c r="Q1374" t="s">
        <v>3044</v>
      </c>
    </row>
    <row r="1375" spans="1:17" x14ac:dyDescent="0.3">
      <c r="A1375" t="s">
        <v>17</v>
      </c>
      <c r="B1375" t="str">
        <f>"603602"</f>
        <v>603602</v>
      </c>
      <c r="C1375" t="s">
        <v>3045</v>
      </c>
      <c r="D1375" t="s">
        <v>654</v>
      </c>
      <c r="F1375">
        <v>760643753</v>
      </c>
      <c r="G1375">
        <v>492575634</v>
      </c>
      <c r="H1375">
        <v>622220916</v>
      </c>
      <c r="I1375">
        <v>314081080</v>
      </c>
      <c r="J1375">
        <v>261291586</v>
      </c>
      <c r="K1375">
        <v>298560437</v>
      </c>
      <c r="P1375">
        <v>193</v>
      </c>
      <c r="Q1375" t="s">
        <v>3046</v>
      </c>
    </row>
    <row r="1376" spans="1:17" x14ac:dyDescent="0.3">
      <c r="A1376" t="s">
        <v>17</v>
      </c>
      <c r="B1376" t="str">
        <f>"603603"</f>
        <v>603603</v>
      </c>
      <c r="C1376" t="s">
        <v>3047</v>
      </c>
      <c r="D1376" t="s">
        <v>33</v>
      </c>
      <c r="F1376">
        <v>562317013</v>
      </c>
      <c r="G1376">
        <v>769776899</v>
      </c>
      <c r="H1376">
        <v>1341746904</v>
      </c>
      <c r="I1376">
        <v>1445407386</v>
      </c>
      <c r="J1376">
        <v>579079849</v>
      </c>
      <c r="K1376">
        <v>445762063</v>
      </c>
      <c r="L1376">
        <v>0</v>
      </c>
      <c r="P1376">
        <v>118</v>
      </c>
      <c r="Q1376" t="s">
        <v>3048</v>
      </c>
    </row>
    <row r="1377" spans="1:17" x14ac:dyDescent="0.3">
      <c r="A1377" t="s">
        <v>17</v>
      </c>
      <c r="B1377" t="str">
        <f>"603605"</f>
        <v>603605</v>
      </c>
      <c r="C1377" t="s">
        <v>3049</v>
      </c>
      <c r="D1377" t="s">
        <v>709</v>
      </c>
      <c r="F1377">
        <v>3372200521</v>
      </c>
      <c r="G1377">
        <v>2373276018</v>
      </c>
      <c r="H1377">
        <v>2118943692</v>
      </c>
      <c r="I1377">
        <v>1774262149</v>
      </c>
      <c r="J1377">
        <v>1527174095</v>
      </c>
      <c r="K1377">
        <v>1313596341</v>
      </c>
      <c r="P1377">
        <v>1725</v>
      </c>
      <c r="Q1377" t="s">
        <v>3050</v>
      </c>
    </row>
    <row r="1378" spans="1:17" x14ac:dyDescent="0.3">
      <c r="A1378" t="s">
        <v>17</v>
      </c>
      <c r="B1378" t="str">
        <f>"603606"</f>
        <v>603606</v>
      </c>
      <c r="C1378" t="s">
        <v>3051</v>
      </c>
      <c r="D1378" t="s">
        <v>1164</v>
      </c>
      <c r="F1378">
        <v>4979450333</v>
      </c>
      <c r="G1378">
        <v>3519914248</v>
      </c>
      <c r="H1378">
        <v>2101925027</v>
      </c>
      <c r="I1378">
        <v>2311534539</v>
      </c>
      <c r="J1378">
        <v>1479006208</v>
      </c>
      <c r="K1378">
        <v>1150597552</v>
      </c>
      <c r="L1378">
        <v>1345163620</v>
      </c>
      <c r="M1378">
        <v>1101486639</v>
      </c>
      <c r="N1378">
        <v>950830184</v>
      </c>
      <c r="P1378">
        <v>1568</v>
      </c>
      <c r="Q1378" t="s">
        <v>3052</v>
      </c>
    </row>
    <row r="1379" spans="1:17" x14ac:dyDescent="0.3">
      <c r="A1379" t="s">
        <v>17</v>
      </c>
      <c r="B1379" t="str">
        <f>"603607"</f>
        <v>603607</v>
      </c>
      <c r="C1379" t="s">
        <v>3053</v>
      </c>
      <c r="D1379" t="s">
        <v>2439</v>
      </c>
      <c r="F1379">
        <v>434099009</v>
      </c>
      <c r="G1379">
        <v>316230552</v>
      </c>
      <c r="H1379">
        <v>505499487</v>
      </c>
      <c r="I1379">
        <v>445158551</v>
      </c>
      <c r="J1379">
        <v>483188556</v>
      </c>
      <c r="K1379">
        <v>344003118</v>
      </c>
      <c r="P1379">
        <v>109</v>
      </c>
      <c r="Q1379" t="s">
        <v>3054</v>
      </c>
    </row>
    <row r="1380" spans="1:17" x14ac:dyDescent="0.3">
      <c r="A1380" t="s">
        <v>17</v>
      </c>
      <c r="B1380" t="str">
        <f>"603608"</f>
        <v>603608</v>
      </c>
      <c r="C1380" t="s">
        <v>3055</v>
      </c>
      <c r="D1380" t="s">
        <v>330</v>
      </c>
      <c r="F1380">
        <v>1345524505</v>
      </c>
      <c r="G1380">
        <v>1273358418</v>
      </c>
      <c r="H1380">
        <v>1676674575</v>
      </c>
      <c r="I1380">
        <v>1733494358</v>
      </c>
      <c r="J1380">
        <v>1383403068</v>
      </c>
      <c r="K1380">
        <v>1235839081</v>
      </c>
      <c r="L1380">
        <v>0</v>
      </c>
      <c r="M1380">
        <v>0</v>
      </c>
      <c r="P1380">
        <v>138</v>
      </c>
      <c r="Q1380" t="s">
        <v>3056</v>
      </c>
    </row>
    <row r="1381" spans="1:17" x14ac:dyDescent="0.3">
      <c r="A1381" t="s">
        <v>17</v>
      </c>
      <c r="B1381" t="str">
        <f>"603609"</f>
        <v>603609</v>
      </c>
      <c r="C1381" t="s">
        <v>3057</v>
      </c>
      <c r="D1381" t="s">
        <v>2859</v>
      </c>
      <c r="F1381">
        <v>21811716402</v>
      </c>
      <c r="G1381">
        <v>17201538383</v>
      </c>
      <c r="H1381">
        <v>12867947661</v>
      </c>
      <c r="I1381">
        <v>11489358737</v>
      </c>
      <c r="J1381">
        <v>9981518735</v>
      </c>
      <c r="K1381">
        <v>8299244361</v>
      </c>
      <c r="L1381">
        <v>7199460879</v>
      </c>
      <c r="M1381">
        <v>6629539507</v>
      </c>
      <c r="N1381">
        <v>6154866170</v>
      </c>
      <c r="P1381">
        <v>507</v>
      </c>
      <c r="Q1381" t="s">
        <v>3058</v>
      </c>
    </row>
    <row r="1382" spans="1:17" x14ac:dyDescent="0.3">
      <c r="A1382" t="s">
        <v>17</v>
      </c>
      <c r="B1382" t="str">
        <f>"603610"</f>
        <v>603610</v>
      </c>
      <c r="C1382" t="s">
        <v>3059</v>
      </c>
      <c r="D1382" t="s">
        <v>757</v>
      </c>
      <c r="F1382">
        <v>2125741131</v>
      </c>
      <c r="G1382">
        <v>1345358277</v>
      </c>
      <c r="H1382">
        <v>1649769589</v>
      </c>
      <c r="I1382">
        <v>1693842360</v>
      </c>
      <c r="P1382">
        <v>230</v>
      </c>
      <c r="Q1382" t="s">
        <v>3060</v>
      </c>
    </row>
    <row r="1383" spans="1:17" x14ac:dyDescent="0.3">
      <c r="A1383" t="s">
        <v>17</v>
      </c>
      <c r="B1383" t="str">
        <f>"603611"</f>
        <v>603611</v>
      </c>
      <c r="C1383" t="s">
        <v>3061</v>
      </c>
      <c r="D1383" t="s">
        <v>83</v>
      </c>
      <c r="F1383">
        <v>3613113220</v>
      </c>
      <c r="G1383">
        <v>2807501914</v>
      </c>
      <c r="H1383">
        <v>2167143180</v>
      </c>
      <c r="I1383">
        <v>1749639523</v>
      </c>
      <c r="J1383">
        <v>1476990070</v>
      </c>
      <c r="K1383">
        <v>972088599</v>
      </c>
      <c r="L1383">
        <v>815366844</v>
      </c>
      <c r="M1383">
        <v>883381551</v>
      </c>
      <c r="N1383">
        <v>839277696</v>
      </c>
      <c r="P1383">
        <v>315</v>
      </c>
      <c r="Q1383" t="s">
        <v>3062</v>
      </c>
    </row>
    <row r="1384" spans="1:17" x14ac:dyDescent="0.3">
      <c r="A1384" t="s">
        <v>17</v>
      </c>
      <c r="B1384" t="str">
        <f>"603612"</f>
        <v>603612</v>
      </c>
      <c r="C1384" t="s">
        <v>3063</v>
      </c>
      <c r="D1384" t="s">
        <v>2739</v>
      </c>
      <c r="F1384">
        <v>7216467164</v>
      </c>
      <c r="G1384">
        <v>3779612043</v>
      </c>
      <c r="H1384">
        <v>2342937740</v>
      </c>
      <c r="I1384">
        <v>2854232490</v>
      </c>
      <c r="J1384">
        <v>2073107383</v>
      </c>
      <c r="K1384">
        <v>1478457790</v>
      </c>
      <c r="P1384">
        <v>162</v>
      </c>
      <c r="Q1384" t="s">
        <v>3064</v>
      </c>
    </row>
    <row r="1385" spans="1:17" x14ac:dyDescent="0.3">
      <c r="A1385" t="s">
        <v>17</v>
      </c>
      <c r="B1385" t="str">
        <f>"603613"</f>
        <v>603613</v>
      </c>
      <c r="C1385" t="s">
        <v>3065</v>
      </c>
      <c r="D1385" t="s">
        <v>3066</v>
      </c>
      <c r="F1385">
        <v>24867127573</v>
      </c>
      <c r="G1385">
        <v>10518075941</v>
      </c>
      <c r="H1385">
        <v>3464129442</v>
      </c>
      <c r="I1385">
        <v>1792965478</v>
      </c>
      <c r="P1385">
        <v>827</v>
      </c>
      <c r="Q1385" t="s">
        <v>3067</v>
      </c>
    </row>
    <row r="1386" spans="1:17" x14ac:dyDescent="0.3">
      <c r="A1386" t="s">
        <v>17</v>
      </c>
      <c r="B1386" t="str">
        <f>"603615"</f>
        <v>603615</v>
      </c>
      <c r="C1386" t="s">
        <v>3068</v>
      </c>
      <c r="D1386" t="s">
        <v>2436</v>
      </c>
      <c r="F1386">
        <v>641079467</v>
      </c>
      <c r="G1386">
        <v>533764421</v>
      </c>
      <c r="H1386">
        <v>655222008</v>
      </c>
      <c r="I1386">
        <v>839721488</v>
      </c>
      <c r="J1386">
        <v>589127662</v>
      </c>
      <c r="K1386">
        <v>544499748</v>
      </c>
      <c r="L1386">
        <v>0</v>
      </c>
      <c r="P1386">
        <v>107</v>
      </c>
      <c r="Q1386" t="s">
        <v>3069</v>
      </c>
    </row>
    <row r="1387" spans="1:17" x14ac:dyDescent="0.3">
      <c r="A1387" t="s">
        <v>17</v>
      </c>
      <c r="B1387" t="str">
        <f>"603616"</f>
        <v>603616</v>
      </c>
      <c r="C1387" t="s">
        <v>3070</v>
      </c>
      <c r="D1387" t="s">
        <v>3071</v>
      </c>
      <c r="F1387">
        <v>850039157</v>
      </c>
      <c r="G1387">
        <v>704428148</v>
      </c>
      <c r="H1387">
        <v>611247799</v>
      </c>
      <c r="I1387">
        <v>422875565</v>
      </c>
      <c r="J1387">
        <v>479406084</v>
      </c>
      <c r="K1387">
        <v>671585733</v>
      </c>
      <c r="L1387">
        <v>379390536</v>
      </c>
      <c r="M1387">
        <v>761857150</v>
      </c>
      <c r="P1387">
        <v>71</v>
      </c>
      <c r="Q1387" t="s">
        <v>3072</v>
      </c>
    </row>
    <row r="1388" spans="1:17" x14ac:dyDescent="0.3">
      <c r="A1388" t="s">
        <v>17</v>
      </c>
      <c r="B1388" t="str">
        <f>"603617"</f>
        <v>603617</v>
      </c>
      <c r="C1388" t="s">
        <v>3073</v>
      </c>
      <c r="D1388" t="s">
        <v>560</v>
      </c>
      <c r="F1388">
        <v>703423212</v>
      </c>
      <c r="G1388">
        <v>559192958</v>
      </c>
      <c r="H1388">
        <v>516274062</v>
      </c>
      <c r="I1388">
        <v>528997346</v>
      </c>
      <c r="J1388">
        <v>469166245</v>
      </c>
      <c r="K1388">
        <v>424026113</v>
      </c>
      <c r="P1388">
        <v>104</v>
      </c>
      <c r="Q1388" t="s">
        <v>3074</v>
      </c>
    </row>
    <row r="1389" spans="1:17" x14ac:dyDescent="0.3">
      <c r="A1389" t="s">
        <v>17</v>
      </c>
      <c r="B1389" t="str">
        <f>"603618"</f>
        <v>603618</v>
      </c>
      <c r="C1389" t="s">
        <v>3075</v>
      </c>
      <c r="D1389" t="s">
        <v>1164</v>
      </c>
      <c r="F1389">
        <v>5380411637</v>
      </c>
      <c r="G1389">
        <v>4087507749</v>
      </c>
      <c r="H1389">
        <v>3464187419</v>
      </c>
      <c r="I1389">
        <v>3279969518</v>
      </c>
      <c r="J1389">
        <v>3318043173</v>
      </c>
      <c r="K1389">
        <v>2268649812</v>
      </c>
      <c r="L1389">
        <v>2210940302</v>
      </c>
      <c r="M1389">
        <v>1849718754</v>
      </c>
      <c r="P1389">
        <v>169</v>
      </c>
      <c r="Q1389" t="s">
        <v>3076</v>
      </c>
    </row>
    <row r="1390" spans="1:17" x14ac:dyDescent="0.3">
      <c r="A1390" t="s">
        <v>17</v>
      </c>
      <c r="B1390" t="str">
        <f>"603619"</f>
        <v>603619</v>
      </c>
      <c r="C1390" t="s">
        <v>3077</v>
      </c>
      <c r="D1390" t="s">
        <v>1758</v>
      </c>
      <c r="F1390">
        <v>1187414498</v>
      </c>
      <c r="G1390">
        <v>1807514581</v>
      </c>
      <c r="H1390">
        <v>1400819068</v>
      </c>
      <c r="I1390">
        <v>1143652693</v>
      </c>
      <c r="J1390">
        <v>1093752679</v>
      </c>
      <c r="K1390">
        <v>941693064</v>
      </c>
      <c r="P1390">
        <v>74</v>
      </c>
      <c r="Q1390" t="s">
        <v>3078</v>
      </c>
    </row>
    <row r="1391" spans="1:17" x14ac:dyDescent="0.3">
      <c r="A1391" t="s">
        <v>17</v>
      </c>
      <c r="B1391" t="str">
        <f>"603626"</f>
        <v>603626</v>
      </c>
      <c r="C1391" t="s">
        <v>3079</v>
      </c>
      <c r="D1391" t="s">
        <v>313</v>
      </c>
      <c r="F1391">
        <v>2925464922</v>
      </c>
      <c r="G1391">
        <v>2017054934</v>
      </c>
      <c r="H1391">
        <v>2138480910</v>
      </c>
      <c r="I1391">
        <v>2034565012</v>
      </c>
      <c r="J1391">
        <v>1196149559</v>
      </c>
      <c r="K1391">
        <v>1270876899</v>
      </c>
      <c r="L1391">
        <v>602288424</v>
      </c>
      <c r="P1391">
        <v>173</v>
      </c>
      <c r="Q1391" t="s">
        <v>3080</v>
      </c>
    </row>
    <row r="1392" spans="1:17" x14ac:dyDescent="0.3">
      <c r="A1392" t="s">
        <v>17</v>
      </c>
      <c r="B1392" t="str">
        <f>"603628"</f>
        <v>603628</v>
      </c>
      <c r="C1392" t="s">
        <v>3081</v>
      </c>
      <c r="D1392" t="s">
        <v>478</v>
      </c>
      <c r="F1392">
        <v>691651782</v>
      </c>
      <c r="G1392">
        <v>599994412</v>
      </c>
      <c r="H1392">
        <v>825680443</v>
      </c>
      <c r="I1392">
        <v>494689916</v>
      </c>
      <c r="J1392">
        <v>415199481</v>
      </c>
      <c r="K1392">
        <v>344065580</v>
      </c>
      <c r="P1392">
        <v>80</v>
      </c>
      <c r="Q1392" t="s">
        <v>3082</v>
      </c>
    </row>
    <row r="1393" spans="1:17" x14ac:dyDescent="0.3">
      <c r="A1393" t="s">
        <v>17</v>
      </c>
      <c r="B1393" t="str">
        <f>"603629"</f>
        <v>603629</v>
      </c>
      <c r="C1393" t="s">
        <v>3083</v>
      </c>
      <c r="D1393" t="s">
        <v>313</v>
      </c>
      <c r="F1393">
        <v>1195411010</v>
      </c>
      <c r="G1393">
        <v>748050352</v>
      </c>
      <c r="H1393">
        <v>779315495</v>
      </c>
      <c r="I1393">
        <v>968313482</v>
      </c>
      <c r="J1393">
        <v>916201133</v>
      </c>
      <c r="P1393">
        <v>51</v>
      </c>
      <c r="Q1393" t="s">
        <v>3084</v>
      </c>
    </row>
    <row r="1394" spans="1:17" x14ac:dyDescent="0.3">
      <c r="A1394" t="s">
        <v>17</v>
      </c>
      <c r="B1394" t="str">
        <f>"603630"</f>
        <v>603630</v>
      </c>
      <c r="C1394" t="s">
        <v>3085</v>
      </c>
      <c r="D1394" t="s">
        <v>709</v>
      </c>
      <c r="F1394">
        <v>846676546</v>
      </c>
      <c r="G1394">
        <v>729808487</v>
      </c>
      <c r="H1394">
        <v>748162857</v>
      </c>
      <c r="I1394">
        <v>774896842</v>
      </c>
      <c r="J1394">
        <v>765223818</v>
      </c>
      <c r="K1394">
        <v>794884463</v>
      </c>
      <c r="P1394">
        <v>148</v>
      </c>
      <c r="Q1394" t="s">
        <v>3086</v>
      </c>
    </row>
    <row r="1395" spans="1:17" x14ac:dyDescent="0.3">
      <c r="A1395" t="s">
        <v>17</v>
      </c>
      <c r="B1395" t="str">
        <f>"603633"</f>
        <v>603633</v>
      </c>
      <c r="C1395" t="s">
        <v>3087</v>
      </c>
      <c r="D1395" t="s">
        <v>313</v>
      </c>
      <c r="F1395">
        <v>468743382</v>
      </c>
      <c r="G1395">
        <v>404658762</v>
      </c>
      <c r="H1395">
        <v>315552999</v>
      </c>
      <c r="I1395">
        <v>342432669</v>
      </c>
      <c r="J1395">
        <v>246515098</v>
      </c>
      <c r="K1395">
        <v>246783058</v>
      </c>
      <c r="L1395">
        <v>0</v>
      </c>
      <c r="P1395">
        <v>90</v>
      </c>
      <c r="Q1395" t="s">
        <v>3088</v>
      </c>
    </row>
    <row r="1396" spans="1:17" x14ac:dyDescent="0.3">
      <c r="A1396" t="s">
        <v>17</v>
      </c>
      <c r="B1396" t="str">
        <f>"603636"</f>
        <v>603636</v>
      </c>
      <c r="C1396" t="s">
        <v>3089</v>
      </c>
      <c r="D1396" t="s">
        <v>316</v>
      </c>
      <c r="F1396">
        <v>681554525</v>
      </c>
      <c r="G1396">
        <v>515629069</v>
      </c>
      <c r="H1396">
        <v>426064245</v>
      </c>
      <c r="I1396">
        <v>304495319</v>
      </c>
      <c r="J1396">
        <v>373485072</v>
      </c>
      <c r="K1396">
        <v>202182240</v>
      </c>
      <c r="L1396">
        <v>175401453</v>
      </c>
      <c r="M1396">
        <v>0</v>
      </c>
      <c r="N1396">
        <v>0</v>
      </c>
      <c r="P1396">
        <v>202</v>
      </c>
      <c r="Q1396" t="s">
        <v>3090</v>
      </c>
    </row>
    <row r="1397" spans="1:17" x14ac:dyDescent="0.3">
      <c r="A1397" t="s">
        <v>17</v>
      </c>
      <c r="B1397" t="str">
        <f>"603637"</f>
        <v>603637</v>
      </c>
      <c r="C1397" t="s">
        <v>3091</v>
      </c>
      <c r="D1397" t="s">
        <v>2019</v>
      </c>
      <c r="F1397">
        <v>891967941</v>
      </c>
      <c r="G1397">
        <v>485842560</v>
      </c>
      <c r="H1397">
        <v>759232815</v>
      </c>
      <c r="I1397">
        <v>329472549</v>
      </c>
      <c r="J1397">
        <v>234916477</v>
      </c>
      <c r="K1397">
        <v>156451719</v>
      </c>
      <c r="L1397">
        <v>383940543</v>
      </c>
      <c r="P1397">
        <v>70</v>
      </c>
      <c r="Q1397" t="s">
        <v>3092</v>
      </c>
    </row>
    <row r="1398" spans="1:17" x14ac:dyDescent="0.3">
      <c r="A1398" t="s">
        <v>17</v>
      </c>
      <c r="B1398" t="str">
        <f>"603638"</f>
        <v>603638</v>
      </c>
      <c r="C1398" t="s">
        <v>3093</v>
      </c>
      <c r="D1398" t="s">
        <v>2001</v>
      </c>
      <c r="F1398">
        <v>1460784793</v>
      </c>
      <c r="G1398">
        <v>1045091408</v>
      </c>
      <c r="H1398">
        <v>770787579</v>
      </c>
      <c r="I1398">
        <v>514044215</v>
      </c>
      <c r="J1398">
        <v>371106511</v>
      </c>
      <c r="K1398">
        <v>236643393</v>
      </c>
      <c r="L1398">
        <v>0</v>
      </c>
      <c r="P1398">
        <v>665</v>
      </c>
      <c r="Q1398" t="s">
        <v>3094</v>
      </c>
    </row>
    <row r="1399" spans="1:17" x14ac:dyDescent="0.3">
      <c r="A1399" t="s">
        <v>17</v>
      </c>
      <c r="B1399" t="str">
        <f>"603639"</f>
        <v>603639</v>
      </c>
      <c r="C1399" t="s">
        <v>3095</v>
      </c>
      <c r="D1399" t="s">
        <v>853</v>
      </c>
      <c r="F1399">
        <v>1745141125</v>
      </c>
      <c r="G1399">
        <v>1610460131</v>
      </c>
      <c r="H1399">
        <v>1528107571</v>
      </c>
      <c r="I1399">
        <v>1187241689</v>
      </c>
      <c r="J1399">
        <v>741104765</v>
      </c>
      <c r="K1399">
        <v>551939133</v>
      </c>
      <c r="L1399">
        <v>0</v>
      </c>
      <c r="P1399">
        <v>1565</v>
      </c>
      <c r="Q1399" t="s">
        <v>3096</v>
      </c>
    </row>
    <row r="1400" spans="1:17" x14ac:dyDescent="0.3">
      <c r="A1400" t="s">
        <v>17</v>
      </c>
      <c r="B1400" t="str">
        <f>"603648"</f>
        <v>603648</v>
      </c>
      <c r="C1400" t="s">
        <v>3097</v>
      </c>
      <c r="D1400" t="s">
        <v>3098</v>
      </c>
      <c r="F1400">
        <v>1233696497</v>
      </c>
      <c r="G1400">
        <v>1088534525</v>
      </c>
      <c r="H1400">
        <v>1011909073</v>
      </c>
      <c r="I1400">
        <v>919619850</v>
      </c>
      <c r="J1400">
        <v>967488721</v>
      </c>
      <c r="K1400">
        <v>891045268</v>
      </c>
      <c r="P1400">
        <v>72</v>
      </c>
      <c r="Q1400" t="s">
        <v>3099</v>
      </c>
    </row>
    <row r="1401" spans="1:17" x14ac:dyDescent="0.3">
      <c r="A1401" t="s">
        <v>17</v>
      </c>
      <c r="B1401" t="str">
        <f>"603650"</f>
        <v>603650</v>
      </c>
      <c r="C1401" t="s">
        <v>3100</v>
      </c>
      <c r="D1401" t="s">
        <v>3101</v>
      </c>
      <c r="F1401">
        <v>1343378242</v>
      </c>
      <c r="G1401">
        <v>1037330481</v>
      </c>
      <c r="H1401">
        <v>1304527163</v>
      </c>
      <c r="I1401">
        <v>1084468449</v>
      </c>
      <c r="J1401">
        <v>1007866419</v>
      </c>
      <c r="P1401">
        <v>258</v>
      </c>
      <c r="Q1401" t="s">
        <v>3102</v>
      </c>
    </row>
    <row r="1402" spans="1:17" x14ac:dyDescent="0.3">
      <c r="A1402" t="s">
        <v>17</v>
      </c>
      <c r="B1402" t="str">
        <f>"603655"</f>
        <v>603655</v>
      </c>
      <c r="C1402" t="s">
        <v>3103</v>
      </c>
      <c r="D1402" t="s">
        <v>985</v>
      </c>
      <c r="F1402">
        <v>134186370</v>
      </c>
      <c r="G1402">
        <v>99720766</v>
      </c>
      <c r="H1402">
        <v>101529498</v>
      </c>
      <c r="I1402">
        <v>116558814</v>
      </c>
      <c r="J1402">
        <v>118324052</v>
      </c>
      <c r="K1402">
        <v>101284234</v>
      </c>
      <c r="P1402">
        <v>88</v>
      </c>
      <c r="Q1402" t="s">
        <v>3104</v>
      </c>
    </row>
    <row r="1403" spans="1:17" x14ac:dyDescent="0.3">
      <c r="A1403" t="s">
        <v>17</v>
      </c>
      <c r="B1403" t="str">
        <f>"603656"</f>
        <v>603656</v>
      </c>
      <c r="C1403" t="s">
        <v>3105</v>
      </c>
      <c r="D1403" t="s">
        <v>741</v>
      </c>
      <c r="F1403">
        <v>326565154</v>
      </c>
      <c r="G1403">
        <v>333355543</v>
      </c>
      <c r="H1403">
        <v>286401980</v>
      </c>
      <c r="I1403">
        <v>294393825</v>
      </c>
      <c r="J1403">
        <v>282716985</v>
      </c>
      <c r="K1403">
        <v>275832613</v>
      </c>
      <c r="P1403">
        <v>80</v>
      </c>
      <c r="Q1403" t="s">
        <v>3106</v>
      </c>
    </row>
    <row r="1404" spans="1:17" x14ac:dyDescent="0.3">
      <c r="A1404" t="s">
        <v>17</v>
      </c>
      <c r="B1404" t="str">
        <f>"603657"</f>
        <v>603657</v>
      </c>
      <c r="C1404" t="s">
        <v>3107</v>
      </c>
      <c r="D1404" t="s">
        <v>1253</v>
      </c>
      <c r="F1404">
        <v>814129870</v>
      </c>
      <c r="G1404">
        <v>435424608</v>
      </c>
      <c r="H1404">
        <v>424581215</v>
      </c>
      <c r="I1404">
        <v>397432705</v>
      </c>
      <c r="J1404">
        <v>269418127</v>
      </c>
      <c r="P1404">
        <v>152</v>
      </c>
      <c r="Q1404" t="s">
        <v>3108</v>
      </c>
    </row>
    <row r="1405" spans="1:17" x14ac:dyDescent="0.3">
      <c r="A1405" t="s">
        <v>17</v>
      </c>
      <c r="B1405" t="str">
        <f>"603658"</f>
        <v>603658</v>
      </c>
      <c r="C1405" t="s">
        <v>3109</v>
      </c>
      <c r="D1405" t="s">
        <v>1305</v>
      </c>
      <c r="F1405">
        <v>2977288864</v>
      </c>
      <c r="G1405">
        <v>1971196231</v>
      </c>
      <c r="H1405">
        <v>1920071406</v>
      </c>
      <c r="I1405">
        <v>1553265912</v>
      </c>
      <c r="J1405">
        <v>1117118040</v>
      </c>
      <c r="K1405">
        <v>778963243</v>
      </c>
      <c r="L1405">
        <v>569765128</v>
      </c>
      <c r="P1405">
        <v>2606</v>
      </c>
      <c r="Q1405" t="s">
        <v>3110</v>
      </c>
    </row>
    <row r="1406" spans="1:17" x14ac:dyDescent="0.3">
      <c r="A1406" t="s">
        <v>17</v>
      </c>
      <c r="B1406" t="str">
        <f>"603659"</f>
        <v>603659</v>
      </c>
      <c r="C1406" t="s">
        <v>3111</v>
      </c>
      <c r="D1406" t="s">
        <v>1786</v>
      </c>
      <c r="F1406">
        <v>5233996812</v>
      </c>
      <c r="G1406">
        <v>2477690724</v>
      </c>
      <c r="H1406">
        <v>2432098048</v>
      </c>
      <c r="I1406">
        <v>1748679433</v>
      </c>
      <c r="J1406">
        <v>926703819</v>
      </c>
      <c r="K1406">
        <v>718680028</v>
      </c>
      <c r="P1406">
        <v>1047</v>
      </c>
      <c r="Q1406" t="s">
        <v>3112</v>
      </c>
    </row>
    <row r="1407" spans="1:17" x14ac:dyDescent="0.3">
      <c r="A1407" t="s">
        <v>17</v>
      </c>
      <c r="B1407" t="str">
        <f>"603660"</f>
        <v>603660</v>
      </c>
      <c r="C1407" t="s">
        <v>3113</v>
      </c>
      <c r="D1407" t="s">
        <v>236</v>
      </c>
      <c r="F1407">
        <v>1753848163</v>
      </c>
      <c r="G1407">
        <v>1378886625</v>
      </c>
      <c r="H1407">
        <v>1559326881</v>
      </c>
      <c r="I1407">
        <v>1354887780</v>
      </c>
      <c r="J1407">
        <v>1361760144</v>
      </c>
      <c r="K1407">
        <v>980964517</v>
      </c>
      <c r="P1407">
        <v>291</v>
      </c>
      <c r="Q1407" t="s">
        <v>3114</v>
      </c>
    </row>
    <row r="1408" spans="1:17" x14ac:dyDescent="0.3">
      <c r="A1408" t="s">
        <v>17</v>
      </c>
      <c r="B1408" t="str">
        <f>"603661"</f>
        <v>603661</v>
      </c>
      <c r="C1408" t="s">
        <v>3115</v>
      </c>
      <c r="D1408" t="s">
        <v>757</v>
      </c>
      <c r="F1408">
        <v>3997323409</v>
      </c>
      <c r="G1408">
        <v>2445783131</v>
      </c>
      <c r="H1408">
        <v>1916290315</v>
      </c>
      <c r="I1408">
        <v>1607104141</v>
      </c>
      <c r="J1408">
        <v>1395171810</v>
      </c>
      <c r="K1408">
        <v>1253586168</v>
      </c>
      <c r="P1408">
        <v>148</v>
      </c>
      <c r="Q1408" t="s">
        <v>3116</v>
      </c>
    </row>
    <row r="1409" spans="1:17" x14ac:dyDescent="0.3">
      <c r="A1409" t="s">
        <v>17</v>
      </c>
      <c r="B1409" t="str">
        <f>"603662"</f>
        <v>603662</v>
      </c>
      <c r="C1409" t="s">
        <v>3117</v>
      </c>
      <c r="D1409" t="s">
        <v>2551</v>
      </c>
      <c r="F1409">
        <v>937245237</v>
      </c>
      <c r="G1409">
        <v>581908247</v>
      </c>
      <c r="H1409">
        <v>538210219</v>
      </c>
      <c r="I1409">
        <v>544333918</v>
      </c>
      <c r="P1409">
        <v>125</v>
      </c>
      <c r="Q1409" t="s">
        <v>3118</v>
      </c>
    </row>
    <row r="1410" spans="1:17" x14ac:dyDescent="0.3">
      <c r="A1410" t="s">
        <v>17</v>
      </c>
      <c r="B1410" t="str">
        <f>"603663"</f>
        <v>603663</v>
      </c>
      <c r="C1410" t="s">
        <v>3119</v>
      </c>
      <c r="D1410" t="s">
        <v>736</v>
      </c>
      <c r="F1410">
        <v>563067353</v>
      </c>
      <c r="G1410">
        <v>469299926</v>
      </c>
      <c r="H1410">
        <v>501088713</v>
      </c>
      <c r="I1410">
        <v>360161922</v>
      </c>
      <c r="J1410">
        <v>253680820</v>
      </c>
      <c r="K1410">
        <v>198415265</v>
      </c>
      <c r="L1410">
        <v>186578986</v>
      </c>
      <c r="P1410">
        <v>143</v>
      </c>
      <c r="Q1410" t="s">
        <v>3120</v>
      </c>
    </row>
    <row r="1411" spans="1:17" x14ac:dyDescent="0.3">
      <c r="A1411" t="s">
        <v>17</v>
      </c>
      <c r="B1411" t="str">
        <f>"603665"</f>
        <v>603665</v>
      </c>
      <c r="C1411" t="s">
        <v>3121</v>
      </c>
      <c r="D1411" t="s">
        <v>330</v>
      </c>
      <c r="F1411">
        <v>820357776</v>
      </c>
      <c r="G1411">
        <v>804636363</v>
      </c>
      <c r="H1411">
        <v>725825240</v>
      </c>
      <c r="I1411">
        <v>745131332</v>
      </c>
      <c r="J1411">
        <v>610836077</v>
      </c>
      <c r="K1411">
        <v>549416084</v>
      </c>
      <c r="P1411">
        <v>89</v>
      </c>
      <c r="Q1411" t="s">
        <v>3122</v>
      </c>
    </row>
    <row r="1412" spans="1:17" x14ac:dyDescent="0.3">
      <c r="A1412" t="s">
        <v>17</v>
      </c>
      <c r="B1412" t="str">
        <f>"603666"</f>
        <v>603666</v>
      </c>
      <c r="C1412" t="s">
        <v>3123</v>
      </c>
      <c r="D1412" t="s">
        <v>2911</v>
      </c>
      <c r="F1412">
        <v>643354529</v>
      </c>
      <c r="G1412">
        <v>422327937</v>
      </c>
      <c r="H1412">
        <v>344102093</v>
      </c>
      <c r="I1412">
        <v>267506425</v>
      </c>
      <c r="J1412">
        <v>90280473</v>
      </c>
      <c r="P1412">
        <v>449</v>
      </c>
      <c r="Q1412" t="s">
        <v>3124</v>
      </c>
    </row>
    <row r="1413" spans="1:17" x14ac:dyDescent="0.3">
      <c r="A1413" t="s">
        <v>17</v>
      </c>
      <c r="B1413" t="str">
        <f>"603667"</f>
        <v>603667</v>
      </c>
      <c r="C1413" t="s">
        <v>3125</v>
      </c>
      <c r="D1413" t="s">
        <v>274</v>
      </c>
      <c r="F1413">
        <v>1790407694</v>
      </c>
      <c r="G1413">
        <v>1075013119</v>
      </c>
      <c r="H1413">
        <v>1246056956</v>
      </c>
      <c r="I1413">
        <v>863903923</v>
      </c>
      <c r="J1413">
        <v>827158984</v>
      </c>
      <c r="K1413">
        <v>772017978</v>
      </c>
      <c r="L1413">
        <v>727359656</v>
      </c>
      <c r="P1413">
        <v>115</v>
      </c>
      <c r="Q1413" t="s">
        <v>3126</v>
      </c>
    </row>
    <row r="1414" spans="1:17" x14ac:dyDescent="0.3">
      <c r="A1414" t="s">
        <v>17</v>
      </c>
      <c r="B1414" t="str">
        <f>"603668"</f>
        <v>603668</v>
      </c>
      <c r="C1414" t="s">
        <v>3127</v>
      </c>
      <c r="D1414" t="s">
        <v>3128</v>
      </c>
      <c r="F1414">
        <v>3629318369</v>
      </c>
      <c r="G1414">
        <v>2327405806</v>
      </c>
      <c r="H1414">
        <v>1345695094</v>
      </c>
      <c r="I1414">
        <v>695661603</v>
      </c>
      <c r="J1414">
        <v>603021335</v>
      </c>
      <c r="K1414">
        <v>463029441</v>
      </c>
      <c r="L1414">
        <v>430056313</v>
      </c>
      <c r="P1414">
        <v>126</v>
      </c>
      <c r="Q1414" t="s">
        <v>3129</v>
      </c>
    </row>
    <row r="1415" spans="1:17" x14ac:dyDescent="0.3">
      <c r="A1415" t="s">
        <v>17</v>
      </c>
      <c r="B1415" t="str">
        <f>"603669"</f>
        <v>603669</v>
      </c>
      <c r="C1415" t="s">
        <v>3130</v>
      </c>
      <c r="D1415" t="s">
        <v>143</v>
      </c>
      <c r="F1415">
        <v>759776294</v>
      </c>
      <c r="G1415">
        <v>932258035</v>
      </c>
      <c r="H1415">
        <v>1339471480</v>
      </c>
      <c r="I1415">
        <v>1423490208</v>
      </c>
      <c r="J1415">
        <v>560564829</v>
      </c>
      <c r="K1415">
        <v>352036562</v>
      </c>
      <c r="L1415">
        <v>420342836</v>
      </c>
      <c r="M1415">
        <v>452158182</v>
      </c>
      <c r="P1415">
        <v>194</v>
      </c>
      <c r="Q1415" t="s">
        <v>3131</v>
      </c>
    </row>
    <row r="1416" spans="1:17" x14ac:dyDescent="0.3">
      <c r="A1416" t="s">
        <v>17</v>
      </c>
      <c r="B1416" t="str">
        <f>"603676"</f>
        <v>603676</v>
      </c>
      <c r="C1416" t="s">
        <v>3132</v>
      </c>
      <c r="D1416" t="s">
        <v>143</v>
      </c>
      <c r="F1416">
        <v>810832632</v>
      </c>
      <c r="G1416">
        <v>567098600</v>
      </c>
      <c r="H1416">
        <v>488438004</v>
      </c>
      <c r="I1416">
        <v>515407894</v>
      </c>
      <c r="J1416">
        <v>228287115</v>
      </c>
      <c r="K1416">
        <v>304340204</v>
      </c>
      <c r="P1416">
        <v>108</v>
      </c>
      <c r="Q1416" t="s">
        <v>3133</v>
      </c>
    </row>
    <row r="1417" spans="1:17" x14ac:dyDescent="0.3">
      <c r="A1417" t="s">
        <v>17</v>
      </c>
      <c r="B1417" t="str">
        <f>"603677"</f>
        <v>603677</v>
      </c>
      <c r="C1417" t="s">
        <v>3134</v>
      </c>
      <c r="D1417" t="s">
        <v>1253</v>
      </c>
      <c r="F1417">
        <v>1255876135</v>
      </c>
      <c r="G1417">
        <v>906571138</v>
      </c>
      <c r="H1417">
        <v>1041286200</v>
      </c>
      <c r="I1417">
        <v>891479141</v>
      </c>
      <c r="J1417">
        <v>750349992</v>
      </c>
      <c r="K1417">
        <v>747228866</v>
      </c>
      <c r="L1417">
        <v>778602863</v>
      </c>
      <c r="P1417">
        <v>124</v>
      </c>
      <c r="Q1417" t="s">
        <v>3135</v>
      </c>
    </row>
    <row r="1418" spans="1:17" x14ac:dyDescent="0.3">
      <c r="A1418" t="s">
        <v>17</v>
      </c>
      <c r="B1418" t="str">
        <f>"603678"</f>
        <v>603678</v>
      </c>
      <c r="C1418" t="s">
        <v>3136</v>
      </c>
      <c r="D1418" t="s">
        <v>1136</v>
      </c>
      <c r="F1418">
        <v>3637237330</v>
      </c>
      <c r="G1418">
        <v>2329065581</v>
      </c>
      <c r="H1418">
        <v>1653761746</v>
      </c>
      <c r="I1418">
        <v>1480007417</v>
      </c>
      <c r="J1418">
        <v>1268311234</v>
      </c>
      <c r="K1418">
        <v>1091595766</v>
      </c>
      <c r="L1418">
        <v>848808170</v>
      </c>
      <c r="M1418">
        <v>689030470</v>
      </c>
      <c r="N1418">
        <v>661688744</v>
      </c>
      <c r="P1418">
        <v>639</v>
      </c>
      <c r="Q1418" t="s">
        <v>3137</v>
      </c>
    </row>
    <row r="1419" spans="1:17" x14ac:dyDescent="0.3">
      <c r="A1419" t="s">
        <v>17</v>
      </c>
      <c r="B1419" t="str">
        <f>"603679"</f>
        <v>603679</v>
      </c>
      <c r="C1419" t="s">
        <v>3138</v>
      </c>
      <c r="D1419" t="s">
        <v>803</v>
      </c>
      <c r="F1419">
        <v>424136758</v>
      </c>
      <c r="G1419">
        <v>350959681</v>
      </c>
      <c r="H1419">
        <v>319479229</v>
      </c>
      <c r="I1419">
        <v>274609172</v>
      </c>
      <c r="J1419">
        <v>306286816</v>
      </c>
      <c r="K1419">
        <v>268416073</v>
      </c>
      <c r="P1419">
        <v>164</v>
      </c>
      <c r="Q1419" t="s">
        <v>3139</v>
      </c>
    </row>
    <row r="1420" spans="1:17" x14ac:dyDescent="0.3">
      <c r="A1420" t="s">
        <v>17</v>
      </c>
      <c r="B1420" t="str">
        <f>"603680"</f>
        <v>603680</v>
      </c>
      <c r="C1420" t="s">
        <v>3140</v>
      </c>
      <c r="D1420" t="s">
        <v>1012</v>
      </c>
      <c r="F1420">
        <v>2188801697</v>
      </c>
      <c r="G1420">
        <v>1846061650</v>
      </c>
      <c r="H1420">
        <v>1668640638</v>
      </c>
      <c r="I1420">
        <v>1988195238</v>
      </c>
      <c r="J1420">
        <v>1643744160</v>
      </c>
      <c r="K1420">
        <v>1778079220</v>
      </c>
      <c r="P1420">
        <v>81</v>
      </c>
      <c r="Q1420" t="s">
        <v>3141</v>
      </c>
    </row>
    <row r="1421" spans="1:17" x14ac:dyDescent="0.3">
      <c r="A1421" t="s">
        <v>17</v>
      </c>
      <c r="B1421" t="str">
        <f>"603681"</f>
        <v>603681</v>
      </c>
      <c r="C1421" t="s">
        <v>3142</v>
      </c>
      <c r="D1421" t="s">
        <v>3143</v>
      </c>
      <c r="F1421">
        <v>2609252190</v>
      </c>
      <c r="G1421">
        <v>1605994439</v>
      </c>
      <c r="H1421">
        <v>1562800307</v>
      </c>
      <c r="I1421">
        <v>1242503321</v>
      </c>
      <c r="P1421">
        <v>113</v>
      </c>
      <c r="Q1421" t="s">
        <v>3144</v>
      </c>
    </row>
    <row r="1422" spans="1:17" x14ac:dyDescent="0.3">
      <c r="A1422" t="s">
        <v>17</v>
      </c>
      <c r="B1422" t="str">
        <f>"603682"</f>
        <v>603682</v>
      </c>
      <c r="C1422" t="s">
        <v>3145</v>
      </c>
      <c r="D1422" t="s">
        <v>271</v>
      </c>
      <c r="F1422">
        <v>687545873</v>
      </c>
      <c r="G1422">
        <v>534143326</v>
      </c>
      <c r="H1422">
        <v>627289990</v>
      </c>
      <c r="P1422">
        <v>156</v>
      </c>
      <c r="Q1422" t="s">
        <v>3146</v>
      </c>
    </row>
    <row r="1423" spans="1:17" x14ac:dyDescent="0.3">
      <c r="A1423" t="s">
        <v>17</v>
      </c>
      <c r="B1423" t="str">
        <f>"603683"</f>
        <v>603683</v>
      </c>
      <c r="C1423" t="s">
        <v>3147</v>
      </c>
      <c r="D1423" t="s">
        <v>3143</v>
      </c>
      <c r="F1423">
        <v>973108673</v>
      </c>
      <c r="G1423">
        <v>643452366</v>
      </c>
      <c r="H1423">
        <v>678441379</v>
      </c>
      <c r="I1423">
        <v>577443597</v>
      </c>
      <c r="J1423">
        <v>518672031</v>
      </c>
      <c r="K1423">
        <v>476960029</v>
      </c>
      <c r="P1423">
        <v>58</v>
      </c>
      <c r="Q1423" t="s">
        <v>3148</v>
      </c>
    </row>
    <row r="1424" spans="1:17" x14ac:dyDescent="0.3">
      <c r="A1424" t="s">
        <v>17</v>
      </c>
      <c r="B1424" t="str">
        <f>"603685"</f>
        <v>603685</v>
      </c>
      <c r="C1424" t="s">
        <v>3149</v>
      </c>
      <c r="D1424" t="s">
        <v>803</v>
      </c>
      <c r="F1424">
        <v>763008644</v>
      </c>
      <c r="G1424">
        <v>557589371</v>
      </c>
      <c r="H1424">
        <v>570795323</v>
      </c>
      <c r="I1424">
        <v>427915438</v>
      </c>
      <c r="J1424">
        <v>398817746</v>
      </c>
      <c r="K1424">
        <v>296019932</v>
      </c>
      <c r="P1424">
        <v>102</v>
      </c>
      <c r="Q1424" t="s">
        <v>3150</v>
      </c>
    </row>
    <row r="1425" spans="1:17" x14ac:dyDescent="0.3">
      <c r="A1425" t="s">
        <v>17</v>
      </c>
      <c r="B1425" t="str">
        <f>"603686"</f>
        <v>603686</v>
      </c>
      <c r="C1425" t="s">
        <v>3151</v>
      </c>
      <c r="D1425" t="s">
        <v>1070</v>
      </c>
      <c r="F1425">
        <v>3704958964</v>
      </c>
      <c r="G1425">
        <v>3687397374</v>
      </c>
      <c r="H1425">
        <v>2859690888</v>
      </c>
      <c r="I1425">
        <v>1929426316</v>
      </c>
      <c r="J1425">
        <v>1720323367</v>
      </c>
      <c r="K1425">
        <v>1212705270</v>
      </c>
      <c r="L1425">
        <v>841770150</v>
      </c>
      <c r="M1425">
        <v>722184763</v>
      </c>
      <c r="P1425">
        <v>760</v>
      </c>
      <c r="Q1425" t="s">
        <v>3152</v>
      </c>
    </row>
    <row r="1426" spans="1:17" x14ac:dyDescent="0.3">
      <c r="A1426" t="s">
        <v>17</v>
      </c>
      <c r="B1426" t="str">
        <f>"603687"</f>
        <v>603687</v>
      </c>
      <c r="C1426" t="s">
        <v>3153</v>
      </c>
      <c r="D1426" t="s">
        <v>2156</v>
      </c>
      <c r="F1426">
        <v>890075471</v>
      </c>
      <c r="G1426">
        <v>724579759</v>
      </c>
      <c r="H1426">
        <v>849960844</v>
      </c>
      <c r="I1426">
        <v>766155754</v>
      </c>
      <c r="J1426">
        <v>675983076</v>
      </c>
      <c r="P1426">
        <v>92</v>
      </c>
      <c r="Q1426" t="s">
        <v>3154</v>
      </c>
    </row>
    <row r="1427" spans="1:17" x14ac:dyDescent="0.3">
      <c r="A1427" t="s">
        <v>17</v>
      </c>
      <c r="B1427" t="str">
        <f>"603688"</f>
        <v>603688</v>
      </c>
      <c r="C1427" t="s">
        <v>3155</v>
      </c>
      <c r="D1427" t="s">
        <v>2739</v>
      </c>
      <c r="F1427">
        <v>510733161</v>
      </c>
      <c r="G1427">
        <v>351898666</v>
      </c>
      <c r="H1427">
        <v>375216572</v>
      </c>
      <c r="I1427">
        <v>386724840</v>
      </c>
      <c r="J1427">
        <v>302679609</v>
      </c>
      <c r="K1427">
        <v>264597981</v>
      </c>
      <c r="L1427">
        <v>260093253</v>
      </c>
      <c r="M1427">
        <v>206509023</v>
      </c>
      <c r="N1427">
        <v>200928605</v>
      </c>
      <c r="O1427">
        <v>207443302</v>
      </c>
      <c r="P1427">
        <v>219</v>
      </c>
      <c r="Q1427" t="s">
        <v>3156</v>
      </c>
    </row>
    <row r="1428" spans="1:17" x14ac:dyDescent="0.3">
      <c r="A1428" t="s">
        <v>17</v>
      </c>
      <c r="B1428" t="str">
        <f>"603689"</f>
        <v>603689</v>
      </c>
      <c r="C1428" t="s">
        <v>3157</v>
      </c>
      <c r="D1428" t="s">
        <v>749</v>
      </c>
      <c r="F1428">
        <v>3932726246</v>
      </c>
      <c r="G1428">
        <v>3368296864</v>
      </c>
      <c r="H1428">
        <v>3203368360</v>
      </c>
      <c r="I1428">
        <v>2539463597</v>
      </c>
      <c r="J1428">
        <v>2142793004</v>
      </c>
      <c r="K1428">
        <v>1726962242</v>
      </c>
      <c r="L1428">
        <v>0</v>
      </c>
      <c r="P1428">
        <v>117</v>
      </c>
      <c r="Q1428" t="s">
        <v>3158</v>
      </c>
    </row>
    <row r="1429" spans="1:17" x14ac:dyDescent="0.3">
      <c r="A1429" t="s">
        <v>17</v>
      </c>
      <c r="B1429" t="str">
        <f>"603690"</f>
        <v>603690</v>
      </c>
      <c r="C1429" t="s">
        <v>3159</v>
      </c>
      <c r="D1429" t="s">
        <v>3160</v>
      </c>
      <c r="F1429">
        <v>1149630838</v>
      </c>
      <c r="G1429">
        <v>835566518</v>
      </c>
      <c r="H1429">
        <v>492806398</v>
      </c>
      <c r="I1429">
        <v>476944359</v>
      </c>
      <c r="J1429">
        <v>122508828</v>
      </c>
      <c r="K1429">
        <v>180163038</v>
      </c>
      <c r="L1429">
        <v>128517781</v>
      </c>
      <c r="P1429">
        <v>450</v>
      </c>
      <c r="Q1429" t="s">
        <v>3161</v>
      </c>
    </row>
    <row r="1430" spans="1:17" x14ac:dyDescent="0.3">
      <c r="A1430" t="s">
        <v>17</v>
      </c>
      <c r="B1430" t="str">
        <f>"603693"</f>
        <v>603693</v>
      </c>
      <c r="C1430" t="s">
        <v>3162</v>
      </c>
      <c r="D1430" t="s">
        <v>383</v>
      </c>
      <c r="F1430">
        <v>1052699237</v>
      </c>
      <c r="G1430">
        <v>1178432557</v>
      </c>
      <c r="H1430">
        <v>957730621</v>
      </c>
      <c r="I1430">
        <v>1173398831</v>
      </c>
      <c r="J1430">
        <v>925537463</v>
      </c>
      <c r="P1430">
        <v>160</v>
      </c>
      <c r="Q1430" t="s">
        <v>3163</v>
      </c>
    </row>
    <row r="1431" spans="1:17" x14ac:dyDescent="0.3">
      <c r="A1431" t="s">
        <v>17</v>
      </c>
      <c r="B1431" t="str">
        <f>"603696"</f>
        <v>603696</v>
      </c>
      <c r="C1431" t="s">
        <v>3164</v>
      </c>
      <c r="D1431" t="s">
        <v>433</v>
      </c>
      <c r="F1431">
        <v>435351034</v>
      </c>
      <c r="G1431">
        <v>315354647</v>
      </c>
      <c r="H1431">
        <v>328284429</v>
      </c>
      <c r="I1431">
        <v>256716486</v>
      </c>
      <c r="J1431">
        <v>185334924</v>
      </c>
      <c r="K1431">
        <v>213063383</v>
      </c>
      <c r="L1431">
        <v>0</v>
      </c>
      <c r="M1431">
        <v>0</v>
      </c>
      <c r="P1431">
        <v>195</v>
      </c>
      <c r="Q1431" t="s">
        <v>3165</v>
      </c>
    </row>
    <row r="1432" spans="1:17" x14ac:dyDescent="0.3">
      <c r="A1432" t="s">
        <v>17</v>
      </c>
      <c r="B1432" t="str">
        <f>"603697"</f>
        <v>603697</v>
      </c>
      <c r="C1432" t="s">
        <v>3166</v>
      </c>
      <c r="D1432" t="s">
        <v>3167</v>
      </c>
      <c r="F1432">
        <v>1005670362</v>
      </c>
      <c r="G1432">
        <v>876691779</v>
      </c>
      <c r="H1432">
        <v>855944678</v>
      </c>
      <c r="I1432">
        <v>993458827</v>
      </c>
      <c r="P1432">
        <v>394</v>
      </c>
      <c r="Q1432" t="s">
        <v>3168</v>
      </c>
    </row>
    <row r="1433" spans="1:17" x14ac:dyDescent="0.3">
      <c r="A1433" t="s">
        <v>17</v>
      </c>
      <c r="B1433" t="str">
        <f>"603698"</f>
        <v>603698</v>
      </c>
      <c r="C1433" t="s">
        <v>3169</v>
      </c>
      <c r="D1433" t="s">
        <v>395</v>
      </c>
      <c r="F1433">
        <v>1730879552</v>
      </c>
      <c r="G1433">
        <v>1178789049</v>
      </c>
      <c r="H1433">
        <v>794482216</v>
      </c>
      <c r="I1433">
        <v>534003273</v>
      </c>
      <c r="J1433">
        <v>743866065</v>
      </c>
      <c r="K1433">
        <v>241078179</v>
      </c>
      <c r="L1433">
        <v>408315566</v>
      </c>
      <c r="M1433">
        <v>751055902</v>
      </c>
      <c r="P1433">
        <v>108</v>
      </c>
      <c r="Q1433" t="s">
        <v>3170</v>
      </c>
    </row>
    <row r="1434" spans="1:17" x14ac:dyDescent="0.3">
      <c r="A1434" t="s">
        <v>17</v>
      </c>
      <c r="B1434" t="str">
        <f>"603699"</f>
        <v>603699</v>
      </c>
      <c r="C1434" t="s">
        <v>3171</v>
      </c>
      <c r="D1434" t="s">
        <v>274</v>
      </c>
      <c r="F1434">
        <v>2529260682</v>
      </c>
      <c r="G1434">
        <v>2648281894</v>
      </c>
      <c r="H1434">
        <v>2016642128</v>
      </c>
      <c r="I1434">
        <v>1741621963</v>
      </c>
      <c r="J1434">
        <v>1550151968</v>
      </c>
      <c r="K1434">
        <v>1602267910</v>
      </c>
      <c r="L1434">
        <v>1695381417</v>
      </c>
      <c r="M1434">
        <v>1706969246</v>
      </c>
      <c r="N1434">
        <v>1612705139</v>
      </c>
      <c r="P1434">
        <v>271</v>
      </c>
      <c r="Q1434" t="s">
        <v>3172</v>
      </c>
    </row>
    <row r="1435" spans="1:17" x14ac:dyDescent="0.3">
      <c r="A1435" t="s">
        <v>17</v>
      </c>
      <c r="B1435" t="str">
        <f>"603700"</f>
        <v>603700</v>
      </c>
      <c r="C1435" t="s">
        <v>3173</v>
      </c>
      <c r="D1435" t="s">
        <v>2551</v>
      </c>
      <c r="F1435">
        <v>1080164696</v>
      </c>
      <c r="G1435">
        <v>898367810</v>
      </c>
      <c r="H1435">
        <v>724994671</v>
      </c>
      <c r="I1435">
        <v>0</v>
      </c>
      <c r="J1435">
        <v>579454147</v>
      </c>
      <c r="P1435">
        <v>395</v>
      </c>
      <c r="Q1435" t="s">
        <v>3174</v>
      </c>
    </row>
    <row r="1436" spans="1:17" x14ac:dyDescent="0.3">
      <c r="A1436" t="s">
        <v>17</v>
      </c>
      <c r="B1436" t="str">
        <f>"603701"</f>
        <v>603701</v>
      </c>
      <c r="C1436" t="s">
        <v>3175</v>
      </c>
      <c r="D1436" t="s">
        <v>348</v>
      </c>
      <c r="F1436">
        <v>290943409</v>
      </c>
      <c r="G1436">
        <v>208956212</v>
      </c>
      <c r="H1436">
        <v>225414192</v>
      </c>
      <c r="I1436">
        <v>243402752</v>
      </c>
      <c r="J1436">
        <v>252017989</v>
      </c>
      <c r="K1436">
        <v>225486330</v>
      </c>
      <c r="L1436">
        <v>222114455</v>
      </c>
      <c r="P1436">
        <v>93</v>
      </c>
      <c r="Q1436" t="s">
        <v>3176</v>
      </c>
    </row>
    <row r="1437" spans="1:17" x14ac:dyDescent="0.3">
      <c r="A1437" t="s">
        <v>17</v>
      </c>
      <c r="B1437" t="str">
        <f>"603703"</f>
        <v>603703</v>
      </c>
      <c r="C1437" t="s">
        <v>3177</v>
      </c>
      <c r="D1437" t="s">
        <v>803</v>
      </c>
      <c r="F1437">
        <v>645419850</v>
      </c>
      <c r="G1437">
        <v>503261730</v>
      </c>
      <c r="H1437">
        <v>602129379</v>
      </c>
      <c r="I1437">
        <v>509485870</v>
      </c>
      <c r="J1437">
        <v>594656523</v>
      </c>
      <c r="K1437">
        <v>323725761</v>
      </c>
      <c r="L1437">
        <v>245347381</v>
      </c>
      <c r="M1437">
        <v>262645860</v>
      </c>
      <c r="P1437">
        <v>78</v>
      </c>
      <c r="Q1437" t="s">
        <v>3178</v>
      </c>
    </row>
    <row r="1438" spans="1:17" x14ac:dyDescent="0.3">
      <c r="A1438" t="s">
        <v>17</v>
      </c>
      <c r="B1438" t="str">
        <f>"603706"</f>
        <v>603706</v>
      </c>
      <c r="C1438" t="s">
        <v>3179</v>
      </c>
      <c r="D1438" t="s">
        <v>749</v>
      </c>
      <c r="F1438">
        <v>610840647</v>
      </c>
      <c r="G1438">
        <v>478592315</v>
      </c>
      <c r="H1438">
        <v>345862531</v>
      </c>
      <c r="I1438">
        <v>294832450</v>
      </c>
      <c r="J1438">
        <v>342525793</v>
      </c>
      <c r="P1438">
        <v>91</v>
      </c>
      <c r="Q1438" t="s">
        <v>3180</v>
      </c>
    </row>
    <row r="1439" spans="1:17" x14ac:dyDescent="0.3">
      <c r="A1439" t="s">
        <v>17</v>
      </c>
      <c r="B1439" t="str">
        <f>"603707"</f>
        <v>603707</v>
      </c>
      <c r="C1439" t="s">
        <v>3181</v>
      </c>
      <c r="D1439" t="s">
        <v>143</v>
      </c>
      <c r="F1439">
        <v>2470372442</v>
      </c>
      <c r="G1439">
        <v>2019303230</v>
      </c>
      <c r="H1439">
        <v>1652414873</v>
      </c>
      <c r="I1439">
        <v>1399963861</v>
      </c>
      <c r="J1439">
        <v>668006468</v>
      </c>
      <c r="K1439">
        <v>458464455</v>
      </c>
      <c r="P1439">
        <v>771</v>
      </c>
      <c r="Q1439" t="s">
        <v>3182</v>
      </c>
    </row>
    <row r="1440" spans="1:17" x14ac:dyDescent="0.3">
      <c r="A1440" t="s">
        <v>17</v>
      </c>
      <c r="B1440" t="str">
        <f>"603708"</f>
        <v>603708</v>
      </c>
      <c r="C1440" t="s">
        <v>3183</v>
      </c>
      <c r="D1440" t="s">
        <v>798</v>
      </c>
      <c r="F1440">
        <v>16955591963</v>
      </c>
      <c r="G1440">
        <v>16106374128</v>
      </c>
      <c r="H1440">
        <v>13458265958</v>
      </c>
      <c r="I1440">
        <v>11830504771</v>
      </c>
      <c r="J1440">
        <v>10372411561</v>
      </c>
      <c r="K1440">
        <v>10044047534</v>
      </c>
      <c r="P1440">
        <v>702</v>
      </c>
      <c r="Q1440" t="s">
        <v>3184</v>
      </c>
    </row>
    <row r="1441" spans="1:17" x14ac:dyDescent="0.3">
      <c r="A1441" t="s">
        <v>17</v>
      </c>
      <c r="B1441" t="str">
        <f>"603709"</f>
        <v>603709</v>
      </c>
      <c r="C1441" t="s">
        <v>3185</v>
      </c>
      <c r="D1441" t="s">
        <v>757</v>
      </c>
      <c r="F1441">
        <v>781570431</v>
      </c>
      <c r="G1441">
        <v>741779134</v>
      </c>
      <c r="H1441">
        <v>696891628</v>
      </c>
      <c r="I1441">
        <v>592189814</v>
      </c>
      <c r="J1441">
        <v>558756029</v>
      </c>
      <c r="K1441">
        <v>0</v>
      </c>
      <c r="P1441">
        <v>99</v>
      </c>
      <c r="Q1441" t="s">
        <v>3186</v>
      </c>
    </row>
    <row r="1442" spans="1:17" x14ac:dyDescent="0.3">
      <c r="A1442" t="s">
        <v>17</v>
      </c>
      <c r="B1442" t="str">
        <f>"603711"</f>
        <v>603711</v>
      </c>
      <c r="C1442" t="s">
        <v>3187</v>
      </c>
      <c r="D1442" t="s">
        <v>440</v>
      </c>
      <c r="F1442">
        <v>2548952533</v>
      </c>
      <c r="G1442">
        <v>2253870076</v>
      </c>
      <c r="H1442">
        <v>2820762382</v>
      </c>
      <c r="I1442">
        <v>2292258857</v>
      </c>
      <c r="J1442">
        <v>1588507642</v>
      </c>
      <c r="P1442">
        <v>392</v>
      </c>
      <c r="Q1442" t="s">
        <v>3188</v>
      </c>
    </row>
    <row r="1443" spans="1:17" x14ac:dyDescent="0.3">
      <c r="A1443" t="s">
        <v>17</v>
      </c>
      <c r="B1443" t="str">
        <f>"603712"</f>
        <v>603712</v>
      </c>
      <c r="C1443" t="s">
        <v>3189</v>
      </c>
      <c r="D1443" t="s">
        <v>1136</v>
      </c>
      <c r="F1443">
        <v>2152136986</v>
      </c>
      <c r="G1443">
        <v>1262148813</v>
      </c>
      <c r="H1443">
        <v>1071042055</v>
      </c>
      <c r="I1443">
        <v>927716765</v>
      </c>
      <c r="J1443">
        <v>611969755</v>
      </c>
      <c r="K1443">
        <v>447032588</v>
      </c>
      <c r="P1443">
        <v>325</v>
      </c>
      <c r="Q1443" t="s">
        <v>3190</v>
      </c>
    </row>
    <row r="1444" spans="1:17" x14ac:dyDescent="0.3">
      <c r="A1444" t="s">
        <v>17</v>
      </c>
      <c r="B1444" t="str">
        <f>"603713"</f>
        <v>603713</v>
      </c>
      <c r="C1444" t="s">
        <v>3191</v>
      </c>
      <c r="D1444" t="s">
        <v>1592</v>
      </c>
      <c r="F1444">
        <v>5370998586</v>
      </c>
      <c r="G1444">
        <v>2192529440</v>
      </c>
      <c r="H1444">
        <v>1825917043</v>
      </c>
      <c r="I1444">
        <v>1265031676</v>
      </c>
      <c r="J1444">
        <v>892032776</v>
      </c>
      <c r="P1444">
        <v>457</v>
      </c>
      <c r="Q1444" t="s">
        <v>3192</v>
      </c>
    </row>
    <row r="1445" spans="1:17" x14ac:dyDescent="0.3">
      <c r="A1445" t="s">
        <v>17</v>
      </c>
      <c r="B1445" t="str">
        <f>"603716"</f>
        <v>603716</v>
      </c>
      <c r="C1445" t="s">
        <v>3193</v>
      </c>
      <c r="D1445" t="s">
        <v>125</v>
      </c>
      <c r="F1445">
        <v>1820383289</v>
      </c>
      <c r="G1445">
        <v>1280873027</v>
      </c>
      <c r="H1445">
        <v>1201008669</v>
      </c>
      <c r="I1445">
        <v>835004323</v>
      </c>
      <c r="J1445">
        <v>580347911</v>
      </c>
      <c r="K1445">
        <v>439027045</v>
      </c>
      <c r="L1445">
        <v>408626810</v>
      </c>
      <c r="P1445">
        <v>137</v>
      </c>
      <c r="Q1445" t="s">
        <v>3194</v>
      </c>
    </row>
    <row r="1446" spans="1:17" x14ac:dyDescent="0.3">
      <c r="A1446" t="s">
        <v>17</v>
      </c>
      <c r="B1446" t="str">
        <f>"603717"</f>
        <v>603717</v>
      </c>
      <c r="C1446" t="s">
        <v>3195</v>
      </c>
      <c r="D1446" t="s">
        <v>2408</v>
      </c>
      <c r="F1446">
        <v>551977732</v>
      </c>
      <c r="G1446">
        <v>368290902</v>
      </c>
      <c r="H1446">
        <v>414354342</v>
      </c>
      <c r="I1446">
        <v>633700118</v>
      </c>
      <c r="J1446">
        <v>425255590</v>
      </c>
      <c r="K1446">
        <v>571470524</v>
      </c>
      <c r="P1446">
        <v>55</v>
      </c>
      <c r="Q1446" t="s">
        <v>3196</v>
      </c>
    </row>
    <row r="1447" spans="1:17" x14ac:dyDescent="0.3">
      <c r="A1447" t="s">
        <v>17</v>
      </c>
      <c r="B1447" t="str">
        <f>"603718"</f>
        <v>603718</v>
      </c>
      <c r="C1447" t="s">
        <v>3197</v>
      </c>
      <c r="D1447" t="s">
        <v>453</v>
      </c>
      <c r="F1447">
        <v>220837903</v>
      </c>
      <c r="G1447">
        <v>184639710</v>
      </c>
      <c r="H1447">
        <v>185466556</v>
      </c>
      <c r="I1447">
        <v>157115724</v>
      </c>
      <c r="J1447">
        <v>269446294</v>
      </c>
      <c r="K1447">
        <v>242895210</v>
      </c>
      <c r="L1447">
        <v>226085035</v>
      </c>
      <c r="M1447">
        <v>200079322</v>
      </c>
      <c r="P1447">
        <v>166</v>
      </c>
      <c r="Q1447" t="s">
        <v>3198</v>
      </c>
    </row>
    <row r="1448" spans="1:17" x14ac:dyDescent="0.3">
      <c r="A1448" t="s">
        <v>17</v>
      </c>
      <c r="B1448" t="str">
        <f>"603719"</f>
        <v>603719</v>
      </c>
      <c r="C1448" t="s">
        <v>3199</v>
      </c>
      <c r="D1448" t="s">
        <v>3167</v>
      </c>
      <c r="F1448">
        <v>7088368292</v>
      </c>
      <c r="G1448">
        <v>6007273828</v>
      </c>
      <c r="H1448">
        <v>5971119313</v>
      </c>
      <c r="I1448">
        <v>5162062763</v>
      </c>
      <c r="P1448">
        <v>715</v>
      </c>
      <c r="Q1448" t="s">
        <v>3200</v>
      </c>
    </row>
    <row r="1449" spans="1:17" x14ac:dyDescent="0.3">
      <c r="A1449" t="s">
        <v>17</v>
      </c>
      <c r="B1449" t="str">
        <f>"603721"</f>
        <v>603721</v>
      </c>
      <c r="C1449" t="s">
        <v>3201</v>
      </c>
      <c r="D1449" t="s">
        <v>113</v>
      </c>
      <c r="F1449">
        <v>209058510</v>
      </c>
      <c r="G1449">
        <v>192070537</v>
      </c>
      <c r="H1449">
        <v>185569135</v>
      </c>
      <c r="I1449">
        <v>180890030</v>
      </c>
      <c r="J1449">
        <v>314529582</v>
      </c>
      <c r="K1449">
        <v>305244162</v>
      </c>
      <c r="P1449">
        <v>89</v>
      </c>
      <c r="Q1449" t="s">
        <v>3202</v>
      </c>
    </row>
    <row r="1450" spans="1:17" x14ac:dyDescent="0.3">
      <c r="A1450" t="s">
        <v>17</v>
      </c>
      <c r="B1450" t="str">
        <f>"603722"</f>
        <v>603722</v>
      </c>
      <c r="C1450" t="s">
        <v>3203</v>
      </c>
      <c r="D1450" t="s">
        <v>1192</v>
      </c>
      <c r="F1450">
        <v>498979153</v>
      </c>
      <c r="G1450">
        <v>296467952</v>
      </c>
      <c r="H1450">
        <v>346347317</v>
      </c>
      <c r="I1450">
        <v>252800255</v>
      </c>
      <c r="J1450">
        <v>175821134</v>
      </c>
      <c r="K1450">
        <v>161056392</v>
      </c>
      <c r="P1450">
        <v>83</v>
      </c>
      <c r="Q1450" t="s">
        <v>3204</v>
      </c>
    </row>
    <row r="1451" spans="1:17" x14ac:dyDescent="0.3">
      <c r="A1451" t="s">
        <v>17</v>
      </c>
      <c r="B1451" t="str">
        <f>"603725"</f>
        <v>603725</v>
      </c>
      <c r="C1451" t="s">
        <v>3205</v>
      </c>
      <c r="D1451" t="s">
        <v>386</v>
      </c>
      <c r="F1451">
        <v>1115297483</v>
      </c>
      <c r="G1451">
        <v>506625299</v>
      </c>
      <c r="H1451">
        <v>624561982</v>
      </c>
      <c r="I1451">
        <v>670236833</v>
      </c>
      <c r="J1451">
        <v>644965921</v>
      </c>
      <c r="K1451">
        <v>610501605</v>
      </c>
      <c r="P1451">
        <v>74</v>
      </c>
      <c r="Q1451" t="s">
        <v>3206</v>
      </c>
    </row>
    <row r="1452" spans="1:17" x14ac:dyDescent="0.3">
      <c r="A1452" t="s">
        <v>17</v>
      </c>
      <c r="B1452" t="str">
        <f>"603726"</f>
        <v>603726</v>
      </c>
      <c r="C1452" t="s">
        <v>3207</v>
      </c>
      <c r="D1452" t="s">
        <v>1253</v>
      </c>
      <c r="F1452">
        <v>1055265123</v>
      </c>
      <c r="G1452">
        <v>703239849</v>
      </c>
      <c r="H1452">
        <v>710880505</v>
      </c>
      <c r="I1452">
        <v>1169492367</v>
      </c>
      <c r="J1452">
        <v>881410088</v>
      </c>
      <c r="K1452">
        <v>493671859</v>
      </c>
      <c r="L1452">
        <v>665724447</v>
      </c>
      <c r="P1452">
        <v>123</v>
      </c>
      <c r="Q1452" t="s">
        <v>3208</v>
      </c>
    </row>
    <row r="1453" spans="1:17" x14ac:dyDescent="0.3">
      <c r="A1453" t="s">
        <v>17</v>
      </c>
      <c r="B1453" t="str">
        <f>"603727"</f>
        <v>603727</v>
      </c>
      <c r="C1453" t="s">
        <v>3209</v>
      </c>
      <c r="D1453" t="s">
        <v>762</v>
      </c>
      <c r="F1453">
        <v>2611852098</v>
      </c>
      <c r="G1453">
        <v>1928567139</v>
      </c>
      <c r="H1453">
        <v>819643895</v>
      </c>
      <c r="I1453">
        <v>159683515</v>
      </c>
      <c r="J1453">
        <v>398779545</v>
      </c>
      <c r="K1453">
        <v>2418731186</v>
      </c>
      <c r="P1453">
        <v>123</v>
      </c>
      <c r="Q1453" t="s">
        <v>3210</v>
      </c>
    </row>
    <row r="1454" spans="1:17" x14ac:dyDescent="0.3">
      <c r="A1454" t="s">
        <v>17</v>
      </c>
      <c r="B1454" t="str">
        <f>"603728"</f>
        <v>603728</v>
      </c>
      <c r="C1454" t="s">
        <v>3211</v>
      </c>
      <c r="D1454" t="s">
        <v>1171</v>
      </c>
      <c r="F1454">
        <v>2085816336</v>
      </c>
      <c r="G1454">
        <v>1671488997</v>
      </c>
      <c r="H1454">
        <v>1604534286</v>
      </c>
      <c r="I1454">
        <v>1435934390</v>
      </c>
      <c r="J1454">
        <v>1233075835</v>
      </c>
      <c r="K1454">
        <v>1096452391</v>
      </c>
      <c r="P1454">
        <v>310</v>
      </c>
      <c r="Q1454" t="s">
        <v>3212</v>
      </c>
    </row>
    <row r="1455" spans="1:17" x14ac:dyDescent="0.3">
      <c r="A1455" t="s">
        <v>17</v>
      </c>
      <c r="B1455" t="str">
        <f>"603729"</f>
        <v>603729</v>
      </c>
      <c r="C1455" t="s">
        <v>3213</v>
      </c>
      <c r="D1455" t="s">
        <v>207</v>
      </c>
      <c r="F1455">
        <v>665004607</v>
      </c>
      <c r="G1455">
        <v>434319197</v>
      </c>
      <c r="H1455">
        <v>560098514</v>
      </c>
      <c r="I1455">
        <v>965931805</v>
      </c>
      <c r="J1455">
        <v>639660700</v>
      </c>
      <c r="K1455">
        <v>821194756</v>
      </c>
      <c r="L1455">
        <v>915876087</v>
      </c>
      <c r="M1455">
        <v>770143478</v>
      </c>
      <c r="P1455">
        <v>51</v>
      </c>
      <c r="Q1455" t="s">
        <v>3214</v>
      </c>
    </row>
    <row r="1456" spans="1:17" x14ac:dyDescent="0.3">
      <c r="A1456" t="s">
        <v>17</v>
      </c>
      <c r="B1456" t="str">
        <f>"603730"</f>
        <v>603730</v>
      </c>
      <c r="C1456" t="s">
        <v>3215</v>
      </c>
      <c r="D1456" t="s">
        <v>191</v>
      </c>
      <c r="F1456">
        <v>3359903026</v>
      </c>
      <c r="G1456">
        <v>3110418525</v>
      </c>
      <c r="H1456">
        <v>3976113983</v>
      </c>
      <c r="I1456">
        <v>3059724156</v>
      </c>
      <c r="J1456">
        <v>2512207967</v>
      </c>
      <c r="K1456">
        <v>1965302850</v>
      </c>
      <c r="P1456">
        <v>522</v>
      </c>
      <c r="Q1456" t="s">
        <v>3216</v>
      </c>
    </row>
    <row r="1457" spans="1:17" x14ac:dyDescent="0.3">
      <c r="A1457" t="s">
        <v>17</v>
      </c>
      <c r="B1457" t="str">
        <f>"603733"</f>
        <v>603733</v>
      </c>
      <c r="C1457" t="s">
        <v>3217</v>
      </c>
      <c r="D1457" t="s">
        <v>244</v>
      </c>
      <c r="F1457">
        <v>3913135413</v>
      </c>
      <c r="G1457">
        <v>2781399910</v>
      </c>
      <c r="H1457">
        <v>2716907598</v>
      </c>
      <c r="I1457">
        <v>2220200815</v>
      </c>
      <c r="J1457">
        <v>1591318998</v>
      </c>
      <c r="P1457">
        <v>233</v>
      </c>
      <c r="Q1457" t="s">
        <v>3218</v>
      </c>
    </row>
    <row r="1458" spans="1:17" x14ac:dyDescent="0.3">
      <c r="A1458" t="s">
        <v>17</v>
      </c>
      <c r="B1458" t="str">
        <f>"603737"</f>
        <v>603737</v>
      </c>
      <c r="C1458" t="s">
        <v>3219</v>
      </c>
      <c r="D1458" t="s">
        <v>2876</v>
      </c>
      <c r="F1458">
        <v>7879359048</v>
      </c>
      <c r="G1458">
        <v>4509467484</v>
      </c>
      <c r="H1458">
        <v>3598109399</v>
      </c>
      <c r="I1458">
        <v>2169277283</v>
      </c>
      <c r="J1458">
        <v>1831415375</v>
      </c>
      <c r="K1458">
        <v>1273560936</v>
      </c>
      <c r="L1458">
        <v>1049828282</v>
      </c>
      <c r="P1458">
        <v>1048</v>
      </c>
      <c r="Q1458" t="s">
        <v>3220</v>
      </c>
    </row>
    <row r="1459" spans="1:17" x14ac:dyDescent="0.3">
      <c r="A1459" t="s">
        <v>17</v>
      </c>
      <c r="B1459" t="str">
        <f>"603738"</f>
        <v>603738</v>
      </c>
      <c r="C1459" t="s">
        <v>3221</v>
      </c>
      <c r="D1459" t="s">
        <v>546</v>
      </c>
      <c r="F1459">
        <v>672164618</v>
      </c>
      <c r="G1459">
        <v>464100993</v>
      </c>
      <c r="H1459">
        <v>458425226</v>
      </c>
      <c r="I1459">
        <v>467933832</v>
      </c>
      <c r="J1459">
        <v>360456800</v>
      </c>
      <c r="K1459">
        <v>294793051</v>
      </c>
      <c r="L1459">
        <v>218547405</v>
      </c>
      <c r="P1459">
        <v>246</v>
      </c>
      <c r="Q1459" t="s">
        <v>3222</v>
      </c>
    </row>
    <row r="1460" spans="1:17" x14ac:dyDescent="0.3">
      <c r="A1460" t="s">
        <v>17</v>
      </c>
      <c r="B1460" t="str">
        <f>"603739"</f>
        <v>603739</v>
      </c>
      <c r="C1460" t="s">
        <v>3223</v>
      </c>
      <c r="D1460" t="s">
        <v>453</v>
      </c>
      <c r="F1460">
        <v>843877680</v>
      </c>
      <c r="G1460">
        <v>707585383</v>
      </c>
      <c r="H1460">
        <v>630338126</v>
      </c>
      <c r="I1460">
        <v>0</v>
      </c>
      <c r="J1460">
        <v>0</v>
      </c>
      <c r="P1460">
        <v>123</v>
      </c>
      <c r="Q1460" t="s">
        <v>3224</v>
      </c>
    </row>
    <row r="1461" spans="1:17" x14ac:dyDescent="0.3">
      <c r="A1461" t="s">
        <v>17</v>
      </c>
      <c r="B1461" t="str">
        <f>"603755"</f>
        <v>603755</v>
      </c>
      <c r="C1461" t="s">
        <v>3225</v>
      </c>
      <c r="D1461" t="s">
        <v>433</v>
      </c>
      <c r="F1461">
        <v>231668822</v>
      </c>
      <c r="G1461">
        <v>178124105</v>
      </c>
      <c r="H1461">
        <v>199099236</v>
      </c>
      <c r="I1461">
        <v>148245549</v>
      </c>
      <c r="P1461">
        <v>370</v>
      </c>
      <c r="Q1461" t="s">
        <v>3226</v>
      </c>
    </row>
    <row r="1462" spans="1:17" x14ac:dyDescent="0.3">
      <c r="A1462" t="s">
        <v>17</v>
      </c>
      <c r="B1462" t="str">
        <f>"603757"</f>
        <v>603757</v>
      </c>
      <c r="C1462" t="s">
        <v>3227</v>
      </c>
      <c r="D1462" t="s">
        <v>560</v>
      </c>
      <c r="F1462">
        <v>1053165722</v>
      </c>
      <c r="G1462">
        <v>967689606</v>
      </c>
      <c r="H1462">
        <v>859004350</v>
      </c>
      <c r="I1462">
        <v>825212478</v>
      </c>
      <c r="J1462">
        <v>725836612</v>
      </c>
      <c r="K1462">
        <v>566461239</v>
      </c>
      <c r="P1462">
        <v>523</v>
      </c>
      <c r="Q1462" t="s">
        <v>3228</v>
      </c>
    </row>
    <row r="1463" spans="1:17" x14ac:dyDescent="0.3">
      <c r="A1463" t="s">
        <v>17</v>
      </c>
      <c r="B1463" t="str">
        <f>"603758"</f>
        <v>603758</v>
      </c>
      <c r="C1463" t="s">
        <v>3229</v>
      </c>
      <c r="D1463" t="s">
        <v>348</v>
      </c>
      <c r="F1463">
        <v>1116921085</v>
      </c>
      <c r="G1463">
        <v>671743568</v>
      </c>
      <c r="H1463">
        <v>411403958</v>
      </c>
      <c r="I1463">
        <v>625396013</v>
      </c>
      <c r="J1463">
        <v>1164167558</v>
      </c>
      <c r="K1463">
        <v>1093573891</v>
      </c>
      <c r="P1463">
        <v>133</v>
      </c>
      <c r="Q1463" t="s">
        <v>3230</v>
      </c>
    </row>
    <row r="1464" spans="1:17" x14ac:dyDescent="0.3">
      <c r="A1464" t="s">
        <v>17</v>
      </c>
      <c r="B1464" t="str">
        <f>"603759"</f>
        <v>603759</v>
      </c>
      <c r="C1464" t="s">
        <v>3231</v>
      </c>
      <c r="D1464" t="s">
        <v>33</v>
      </c>
      <c r="F1464">
        <v>647724663</v>
      </c>
      <c r="G1464">
        <v>486675313</v>
      </c>
      <c r="P1464">
        <v>48</v>
      </c>
      <c r="Q1464" t="s">
        <v>3232</v>
      </c>
    </row>
    <row r="1465" spans="1:17" x14ac:dyDescent="0.3">
      <c r="A1465" t="s">
        <v>17</v>
      </c>
      <c r="B1465" t="str">
        <f>"603766"</f>
        <v>603766</v>
      </c>
      <c r="C1465" t="s">
        <v>3233</v>
      </c>
      <c r="D1465" t="s">
        <v>1654</v>
      </c>
      <c r="F1465">
        <v>8557468913</v>
      </c>
      <c r="G1465">
        <v>6534449414</v>
      </c>
      <c r="H1465">
        <v>6487835291</v>
      </c>
      <c r="I1465">
        <v>7232437919</v>
      </c>
      <c r="J1465">
        <v>6481060765</v>
      </c>
      <c r="K1465">
        <v>5613405436</v>
      </c>
      <c r="L1465">
        <v>4443744158</v>
      </c>
      <c r="M1465">
        <v>4588576613</v>
      </c>
      <c r="N1465">
        <v>4854794876</v>
      </c>
      <c r="O1465">
        <v>4475915712</v>
      </c>
      <c r="P1465">
        <v>460</v>
      </c>
      <c r="Q1465" t="s">
        <v>3234</v>
      </c>
    </row>
    <row r="1466" spans="1:17" x14ac:dyDescent="0.3">
      <c r="A1466" t="s">
        <v>17</v>
      </c>
      <c r="B1466" t="str">
        <f>"603767"</f>
        <v>603767</v>
      </c>
      <c r="C1466" t="s">
        <v>3235</v>
      </c>
      <c r="D1466" t="s">
        <v>348</v>
      </c>
      <c r="F1466">
        <v>646965478</v>
      </c>
      <c r="G1466">
        <v>330553136</v>
      </c>
      <c r="H1466">
        <v>396372700</v>
      </c>
      <c r="I1466">
        <v>386942763</v>
      </c>
      <c r="J1466">
        <v>461433194</v>
      </c>
      <c r="K1466">
        <v>355232642</v>
      </c>
      <c r="P1466">
        <v>80</v>
      </c>
      <c r="Q1466" t="s">
        <v>3236</v>
      </c>
    </row>
    <row r="1467" spans="1:17" x14ac:dyDescent="0.3">
      <c r="A1467" t="s">
        <v>17</v>
      </c>
      <c r="B1467" t="str">
        <f>"603768"</f>
        <v>603768</v>
      </c>
      <c r="C1467" t="s">
        <v>3237</v>
      </c>
      <c r="D1467" t="s">
        <v>985</v>
      </c>
      <c r="F1467">
        <v>942709261</v>
      </c>
      <c r="G1467">
        <v>961927373</v>
      </c>
      <c r="H1467">
        <v>597873631</v>
      </c>
      <c r="I1467">
        <v>560638550</v>
      </c>
      <c r="J1467">
        <v>447620420</v>
      </c>
      <c r="K1467">
        <v>400064371</v>
      </c>
      <c r="P1467">
        <v>58</v>
      </c>
      <c r="Q1467" t="s">
        <v>3238</v>
      </c>
    </row>
    <row r="1468" spans="1:17" x14ac:dyDescent="0.3">
      <c r="A1468" t="s">
        <v>17</v>
      </c>
      <c r="B1468" t="str">
        <f>"603773"</f>
        <v>603773</v>
      </c>
      <c r="C1468" t="s">
        <v>3239</v>
      </c>
      <c r="D1468" t="s">
        <v>1117</v>
      </c>
      <c r="F1468">
        <v>1053580360</v>
      </c>
      <c r="G1468">
        <v>692041538</v>
      </c>
      <c r="H1468">
        <v>445809752</v>
      </c>
      <c r="I1468">
        <v>580624309</v>
      </c>
      <c r="J1468">
        <v>430214174</v>
      </c>
      <c r="P1468">
        <v>141</v>
      </c>
      <c r="Q1468" t="s">
        <v>3240</v>
      </c>
    </row>
    <row r="1469" spans="1:17" x14ac:dyDescent="0.3">
      <c r="A1469" t="s">
        <v>17</v>
      </c>
      <c r="B1469" t="str">
        <f>"603776"</f>
        <v>603776</v>
      </c>
      <c r="C1469" t="s">
        <v>3241</v>
      </c>
      <c r="D1469" t="s">
        <v>1654</v>
      </c>
      <c r="F1469">
        <v>491577072</v>
      </c>
      <c r="G1469">
        <v>606091604</v>
      </c>
      <c r="H1469">
        <v>541042626</v>
      </c>
      <c r="I1469">
        <v>493504196</v>
      </c>
      <c r="J1469">
        <v>572705325</v>
      </c>
      <c r="K1469">
        <v>433918498</v>
      </c>
      <c r="P1469">
        <v>189</v>
      </c>
      <c r="Q1469" t="s">
        <v>3242</v>
      </c>
    </row>
    <row r="1470" spans="1:17" x14ac:dyDescent="0.3">
      <c r="A1470" t="s">
        <v>17</v>
      </c>
      <c r="B1470" t="str">
        <f>"603777"</f>
        <v>603777</v>
      </c>
      <c r="C1470" t="s">
        <v>3243</v>
      </c>
      <c r="D1470" t="s">
        <v>3167</v>
      </c>
      <c r="F1470">
        <v>3451515577</v>
      </c>
      <c r="G1470">
        <v>3367790357</v>
      </c>
      <c r="H1470">
        <v>3319220087</v>
      </c>
      <c r="I1470">
        <v>3311484603</v>
      </c>
      <c r="J1470">
        <v>2968793537</v>
      </c>
      <c r="K1470">
        <v>2729655234</v>
      </c>
      <c r="L1470">
        <v>2646035084</v>
      </c>
      <c r="P1470">
        <v>259</v>
      </c>
      <c r="Q1470" t="s">
        <v>3244</v>
      </c>
    </row>
    <row r="1471" spans="1:17" x14ac:dyDescent="0.3">
      <c r="A1471" t="s">
        <v>17</v>
      </c>
      <c r="B1471" t="str">
        <f>"603778"</f>
        <v>603778</v>
      </c>
      <c r="C1471" t="s">
        <v>3245</v>
      </c>
      <c r="D1471" t="s">
        <v>2408</v>
      </c>
      <c r="F1471">
        <v>117821771</v>
      </c>
      <c r="G1471">
        <v>111959640</v>
      </c>
      <c r="H1471">
        <v>216633788</v>
      </c>
      <c r="I1471">
        <v>281589476</v>
      </c>
      <c r="J1471">
        <v>196207526</v>
      </c>
      <c r="K1471">
        <v>310661970</v>
      </c>
      <c r="L1471">
        <v>321605866</v>
      </c>
      <c r="M1471">
        <v>238364070</v>
      </c>
      <c r="P1471">
        <v>72</v>
      </c>
      <c r="Q1471" t="s">
        <v>3246</v>
      </c>
    </row>
    <row r="1472" spans="1:17" x14ac:dyDescent="0.3">
      <c r="A1472" t="s">
        <v>17</v>
      </c>
      <c r="B1472" t="str">
        <f>"603779"</f>
        <v>603779</v>
      </c>
      <c r="C1472" t="s">
        <v>3247</v>
      </c>
      <c r="D1472" t="s">
        <v>134</v>
      </c>
      <c r="F1472">
        <v>284292939</v>
      </c>
      <c r="G1472">
        <v>301304299</v>
      </c>
      <c r="H1472">
        <v>480492080</v>
      </c>
      <c r="I1472">
        <v>485638151</v>
      </c>
      <c r="J1472">
        <v>582083332</v>
      </c>
      <c r="K1472">
        <v>458383315</v>
      </c>
      <c r="L1472">
        <v>524526729</v>
      </c>
      <c r="P1472">
        <v>101</v>
      </c>
      <c r="Q1472" t="s">
        <v>3248</v>
      </c>
    </row>
    <row r="1473" spans="1:17" x14ac:dyDescent="0.3">
      <c r="A1473" t="s">
        <v>17</v>
      </c>
      <c r="B1473" t="str">
        <f>"603786"</f>
        <v>603786</v>
      </c>
      <c r="C1473" t="s">
        <v>3249</v>
      </c>
      <c r="D1473" t="s">
        <v>1415</v>
      </c>
      <c r="F1473">
        <v>2076845838</v>
      </c>
      <c r="G1473">
        <v>1725732379</v>
      </c>
      <c r="H1473">
        <v>1953408828</v>
      </c>
      <c r="I1473">
        <v>1849387602</v>
      </c>
      <c r="P1473">
        <v>345</v>
      </c>
      <c r="Q1473" t="s">
        <v>3250</v>
      </c>
    </row>
    <row r="1474" spans="1:17" x14ac:dyDescent="0.3">
      <c r="A1474" t="s">
        <v>17</v>
      </c>
      <c r="B1474" t="str">
        <f>"603787"</f>
        <v>603787</v>
      </c>
      <c r="C1474" t="s">
        <v>3251</v>
      </c>
      <c r="D1474" t="s">
        <v>1654</v>
      </c>
      <c r="F1474">
        <v>3547356439</v>
      </c>
      <c r="G1474">
        <v>3535516893</v>
      </c>
      <c r="H1474">
        <v>2048152700</v>
      </c>
      <c r="I1474">
        <v>2700840547</v>
      </c>
      <c r="J1474">
        <v>2200000922</v>
      </c>
      <c r="K1474">
        <v>1697316952</v>
      </c>
      <c r="P1474">
        <v>103</v>
      </c>
      <c r="Q1474" t="s">
        <v>3252</v>
      </c>
    </row>
    <row r="1475" spans="1:17" x14ac:dyDescent="0.3">
      <c r="A1475" t="s">
        <v>17</v>
      </c>
      <c r="B1475" t="str">
        <f>"603788"</f>
        <v>603788</v>
      </c>
      <c r="C1475" t="s">
        <v>3253</v>
      </c>
      <c r="D1475" t="s">
        <v>348</v>
      </c>
      <c r="F1475">
        <v>802695597</v>
      </c>
      <c r="G1475">
        <v>714136420</v>
      </c>
      <c r="H1475">
        <v>933862615</v>
      </c>
      <c r="I1475">
        <v>1153393945</v>
      </c>
      <c r="J1475">
        <v>786003328</v>
      </c>
      <c r="K1475">
        <v>633974072</v>
      </c>
      <c r="L1475">
        <v>466390174</v>
      </c>
      <c r="M1475">
        <v>415897038</v>
      </c>
      <c r="P1475">
        <v>330</v>
      </c>
      <c r="Q1475" t="s">
        <v>3254</v>
      </c>
    </row>
    <row r="1476" spans="1:17" x14ac:dyDescent="0.3">
      <c r="A1476" t="s">
        <v>17</v>
      </c>
      <c r="B1476" t="str">
        <f>"603789"</f>
        <v>603789</v>
      </c>
      <c r="C1476" t="s">
        <v>3255</v>
      </c>
      <c r="D1476" t="s">
        <v>1979</v>
      </c>
      <c r="F1476">
        <v>363391358</v>
      </c>
      <c r="G1476">
        <v>230961010</v>
      </c>
      <c r="H1476">
        <v>381814250</v>
      </c>
      <c r="I1476">
        <v>314750177</v>
      </c>
      <c r="J1476">
        <v>479140272</v>
      </c>
      <c r="K1476">
        <v>406465958</v>
      </c>
      <c r="L1476">
        <v>591810101</v>
      </c>
      <c r="M1476">
        <v>573550870</v>
      </c>
      <c r="P1476">
        <v>64</v>
      </c>
      <c r="Q1476" t="s">
        <v>3256</v>
      </c>
    </row>
    <row r="1477" spans="1:17" x14ac:dyDescent="0.3">
      <c r="A1477" t="s">
        <v>17</v>
      </c>
      <c r="B1477" t="str">
        <f>"603790"</f>
        <v>603790</v>
      </c>
      <c r="C1477" t="s">
        <v>3257</v>
      </c>
      <c r="D1477" t="s">
        <v>779</v>
      </c>
      <c r="F1477">
        <v>377116784</v>
      </c>
      <c r="G1477">
        <v>310837268</v>
      </c>
      <c r="H1477">
        <v>364748735</v>
      </c>
      <c r="I1477">
        <v>296221478</v>
      </c>
      <c r="J1477">
        <v>308425923</v>
      </c>
      <c r="P1477">
        <v>64</v>
      </c>
      <c r="Q1477" t="s">
        <v>3258</v>
      </c>
    </row>
    <row r="1478" spans="1:17" x14ac:dyDescent="0.3">
      <c r="A1478" t="s">
        <v>17</v>
      </c>
      <c r="B1478" t="str">
        <f>"603797"</f>
        <v>603797</v>
      </c>
      <c r="C1478" t="s">
        <v>3259</v>
      </c>
      <c r="D1478" t="s">
        <v>33</v>
      </c>
      <c r="F1478">
        <v>479053796</v>
      </c>
      <c r="G1478">
        <v>409232887</v>
      </c>
      <c r="H1478">
        <v>364428259</v>
      </c>
      <c r="I1478">
        <v>211624064</v>
      </c>
      <c r="J1478">
        <v>172698730</v>
      </c>
      <c r="K1478">
        <v>160276319</v>
      </c>
      <c r="P1478">
        <v>243</v>
      </c>
      <c r="Q1478" t="s">
        <v>3260</v>
      </c>
    </row>
    <row r="1479" spans="1:17" x14ac:dyDescent="0.3">
      <c r="A1479" t="s">
        <v>17</v>
      </c>
      <c r="B1479" t="str">
        <f>"603798"</f>
        <v>603798</v>
      </c>
      <c r="C1479" t="s">
        <v>3261</v>
      </c>
      <c r="D1479" t="s">
        <v>1615</v>
      </c>
      <c r="F1479">
        <v>825395966</v>
      </c>
      <c r="G1479">
        <v>744300986</v>
      </c>
      <c r="H1479">
        <v>792227937</v>
      </c>
      <c r="I1479">
        <v>740967588</v>
      </c>
      <c r="J1479">
        <v>791216372</v>
      </c>
      <c r="K1479">
        <v>707212610</v>
      </c>
      <c r="L1479">
        <v>601199948</v>
      </c>
      <c r="P1479">
        <v>141</v>
      </c>
      <c r="Q1479" t="s">
        <v>3262</v>
      </c>
    </row>
    <row r="1480" spans="1:17" x14ac:dyDescent="0.3">
      <c r="A1480" t="s">
        <v>17</v>
      </c>
      <c r="B1480" t="str">
        <f>"603799"</f>
        <v>603799</v>
      </c>
      <c r="C1480" t="s">
        <v>3263</v>
      </c>
      <c r="D1480" t="s">
        <v>1440</v>
      </c>
      <c r="F1480">
        <v>24198271939</v>
      </c>
      <c r="G1480">
        <v>15549968170</v>
      </c>
      <c r="H1480">
        <v>14318398081</v>
      </c>
      <c r="I1480">
        <v>9547530116</v>
      </c>
      <c r="J1480">
        <v>4909548652</v>
      </c>
      <c r="K1480">
        <v>3317064022</v>
      </c>
      <c r="L1480">
        <v>2864102417</v>
      </c>
      <c r="M1480">
        <v>3219462315</v>
      </c>
      <c r="P1480">
        <v>1518</v>
      </c>
      <c r="Q1480" t="s">
        <v>3264</v>
      </c>
    </row>
    <row r="1481" spans="1:17" x14ac:dyDescent="0.3">
      <c r="A1481" t="s">
        <v>17</v>
      </c>
      <c r="B1481" t="str">
        <f>"603800"</f>
        <v>603800</v>
      </c>
      <c r="C1481" t="s">
        <v>3265</v>
      </c>
      <c r="D1481" t="s">
        <v>395</v>
      </c>
      <c r="F1481">
        <v>604454090</v>
      </c>
      <c r="G1481">
        <v>653692401</v>
      </c>
      <c r="H1481">
        <v>677115483</v>
      </c>
      <c r="I1481">
        <v>776951887</v>
      </c>
      <c r="J1481">
        <v>476842224</v>
      </c>
      <c r="K1481">
        <v>372122487</v>
      </c>
      <c r="L1481">
        <v>0</v>
      </c>
      <c r="M1481">
        <v>0</v>
      </c>
      <c r="P1481">
        <v>75</v>
      </c>
      <c r="Q1481" t="s">
        <v>3266</v>
      </c>
    </row>
    <row r="1482" spans="1:17" x14ac:dyDescent="0.3">
      <c r="A1482" t="s">
        <v>17</v>
      </c>
      <c r="B1482" t="str">
        <f>"603801"</f>
        <v>603801</v>
      </c>
      <c r="C1482" t="s">
        <v>3267</v>
      </c>
      <c r="D1482" t="s">
        <v>2647</v>
      </c>
      <c r="F1482">
        <v>3562313695</v>
      </c>
      <c r="G1482">
        <v>2542394674</v>
      </c>
      <c r="H1482">
        <v>2026891274</v>
      </c>
      <c r="I1482">
        <v>2060970736</v>
      </c>
      <c r="J1482">
        <v>1754655653</v>
      </c>
      <c r="K1482">
        <v>1197825686</v>
      </c>
      <c r="P1482">
        <v>768</v>
      </c>
      <c r="Q1482" t="s">
        <v>3268</v>
      </c>
    </row>
    <row r="1483" spans="1:17" x14ac:dyDescent="0.3">
      <c r="A1483" t="s">
        <v>17</v>
      </c>
      <c r="B1483" t="str">
        <f>"603803"</f>
        <v>603803</v>
      </c>
      <c r="C1483" t="s">
        <v>3269</v>
      </c>
      <c r="D1483" t="s">
        <v>786</v>
      </c>
      <c r="F1483">
        <v>1389464774</v>
      </c>
      <c r="G1483">
        <v>1579371394</v>
      </c>
      <c r="H1483">
        <v>2380542198</v>
      </c>
      <c r="I1483">
        <v>1619281177</v>
      </c>
      <c r="J1483">
        <v>1419121953</v>
      </c>
      <c r="K1483">
        <v>1420823808</v>
      </c>
      <c r="P1483">
        <v>153</v>
      </c>
      <c r="Q1483" t="s">
        <v>3270</v>
      </c>
    </row>
    <row r="1484" spans="1:17" x14ac:dyDescent="0.3">
      <c r="A1484" t="s">
        <v>17</v>
      </c>
      <c r="B1484" t="str">
        <f>"603806"</f>
        <v>603806</v>
      </c>
      <c r="C1484" t="s">
        <v>3271</v>
      </c>
      <c r="D1484" t="s">
        <v>478</v>
      </c>
      <c r="F1484">
        <v>6112236876</v>
      </c>
      <c r="G1484">
        <v>4089216961</v>
      </c>
      <c r="H1484">
        <v>3595619567</v>
      </c>
      <c r="I1484">
        <v>2807307255</v>
      </c>
      <c r="J1484">
        <v>2734153238</v>
      </c>
      <c r="K1484">
        <v>2432507630</v>
      </c>
      <c r="L1484">
        <v>1810411861</v>
      </c>
      <c r="M1484">
        <v>1649215785</v>
      </c>
      <c r="N1484">
        <v>1447157151</v>
      </c>
      <c r="P1484">
        <v>1029</v>
      </c>
      <c r="Q1484" t="s">
        <v>3272</v>
      </c>
    </row>
    <row r="1485" spans="1:17" x14ac:dyDescent="0.3">
      <c r="A1485" t="s">
        <v>17</v>
      </c>
      <c r="B1485" t="str">
        <f>"603808"</f>
        <v>603808</v>
      </c>
      <c r="C1485" t="s">
        <v>3273</v>
      </c>
      <c r="D1485" t="s">
        <v>255</v>
      </c>
      <c r="F1485">
        <v>1731339254</v>
      </c>
      <c r="G1485">
        <v>1425213902</v>
      </c>
      <c r="H1485">
        <v>2096082697</v>
      </c>
      <c r="I1485">
        <v>1940189655</v>
      </c>
      <c r="J1485">
        <v>1540666471</v>
      </c>
      <c r="K1485">
        <v>798262406</v>
      </c>
      <c r="L1485">
        <v>651151945</v>
      </c>
      <c r="M1485">
        <v>615268907</v>
      </c>
      <c r="P1485">
        <v>479</v>
      </c>
      <c r="Q1485" t="s">
        <v>3274</v>
      </c>
    </row>
    <row r="1486" spans="1:17" x14ac:dyDescent="0.3">
      <c r="A1486" t="s">
        <v>17</v>
      </c>
      <c r="B1486" t="str">
        <f>"603809"</f>
        <v>603809</v>
      </c>
      <c r="C1486" t="s">
        <v>3275</v>
      </c>
      <c r="D1486" t="s">
        <v>348</v>
      </c>
      <c r="F1486">
        <v>1007134495</v>
      </c>
      <c r="G1486">
        <v>611134559</v>
      </c>
      <c r="H1486">
        <v>618659123</v>
      </c>
      <c r="I1486">
        <v>643925001</v>
      </c>
      <c r="J1486">
        <v>456517085</v>
      </c>
      <c r="K1486">
        <v>378458108</v>
      </c>
      <c r="P1486">
        <v>137</v>
      </c>
      <c r="Q1486" t="s">
        <v>3276</v>
      </c>
    </row>
    <row r="1487" spans="1:17" x14ac:dyDescent="0.3">
      <c r="A1487" t="s">
        <v>17</v>
      </c>
      <c r="B1487" t="str">
        <f>"603810"</f>
        <v>603810</v>
      </c>
      <c r="C1487" t="s">
        <v>3277</v>
      </c>
      <c r="D1487" t="s">
        <v>853</v>
      </c>
      <c r="F1487">
        <v>773393642</v>
      </c>
      <c r="G1487">
        <v>850875469</v>
      </c>
      <c r="H1487">
        <v>632269018</v>
      </c>
      <c r="I1487">
        <v>763858414</v>
      </c>
      <c r="J1487">
        <v>435655439</v>
      </c>
      <c r="P1487">
        <v>79</v>
      </c>
      <c r="Q1487" t="s">
        <v>3278</v>
      </c>
    </row>
    <row r="1488" spans="1:17" x14ac:dyDescent="0.3">
      <c r="A1488" t="s">
        <v>17</v>
      </c>
      <c r="B1488" t="str">
        <f>"603811"</f>
        <v>603811</v>
      </c>
      <c r="C1488" t="s">
        <v>3279</v>
      </c>
      <c r="D1488" t="s">
        <v>143</v>
      </c>
      <c r="F1488">
        <v>506564788</v>
      </c>
      <c r="G1488">
        <v>489200575</v>
      </c>
      <c r="H1488">
        <v>513272526</v>
      </c>
      <c r="I1488">
        <v>389036753</v>
      </c>
      <c r="J1488">
        <v>203392497</v>
      </c>
      <c r="K1488">
        <v>205098775</v>
      </c>
      <c r="P1488">
        <v>327</v>
      </c>
      <c r="Q1488" t="s">
        <v>3280</v>
      </c>
    </row>
    <row r="1489" spans="1:17" x14ac:dyDescent="0.3">
      <c r="A1489" t="s">
        <v>17</v>
      </c>
      <c r="B1489" t="str">
        <f>"603813"</f>
        <v>603813</v>
      </c>
      <c r="C1489" t="s">
        <v>3281</v>
      </c>
      <c r="D1489" t="s">
        <v>2492</v>
      </c>
      <c r="F1489">
        <v>393897700</v>
      </c>
      <c r="G1489">
        <v>385302773</v>
      </c>
      <c r="H1489">
        <v>959239749</v>
      </c>
      <c r="I1489">
        <v>523104634</v>
      </c>
      <c r="J1489">
        <v>320476299</v>
      </c>
      <c r="K1489">
        <v>261141547</v>
      </c>
      <c r="P1489">
        <v>59</v>
      </c>
      <c r="Q1489" t="s">
        <v>3282</v>
      </c>
    </row>
    <row r="1490" spans="1:17" x14ac:dyDescent="0.3">
      <c r="A1490" t="s">
        <v>17</v>
      </c>
      <c r="B1490" t="str">
        <f>"603815"</f>
        <v>603815</v>
      </c>
      <c r="C1490" t="s">
        <v>3283</v>
      </c>
      <c r="D1490" t="s">
        <v>101</v>
      </c>
      <c r="F1490">
        <v>3001543532</v>
      </c>
      <c r="G1490">
        <v>1991051912</v>
      </c>
      <c r="H1490">
        <v>1814573942</v>
      </c>
      <c r="I1490">
        <v>1530342904</v>
      </c>
      <c r="P1490">
        <v>85</v>
      </c>
      <c r="Q1490" t="s">
        <v>3284</v>
      </c>
    </row>
    <row r="1491" spans="1:17" x14ac:dyDescent="0.3">
      <c r="A1491" t="s">
        <v>17</v>
      </c>
      <c r="B1491" t="str">
        <f>"603816"</f>
        <v>603816</v>
      </c>
      <c r="C1491" t="s">
        <v>3285</v>
      </c>
      <c r="D1491" t="s">
        <v>757</v>
      </c>
      <c r="F1491">
        <v>14014618703</v>
      </c>
      <c r="G1491">
        <v>9110697894</v>
      </c>
      <c r="H1491">
        <v>8865495480</v>
      </c>
      <c r="I1491">
        <v>6576934459</v>
      </c>
      <c r="J1491">
        <v>5401461163</v>
      </c>
      <c r="K1491">
        <v>3649721372</v>
      </c>
      <c r="L1491">
        <v>2880520446</v>
      </c>
      <c r="P1491">
        <v>1965</v>
      </c>
      <c r="Q1491" t="s">
        <v>3286</v>
      </c>
    </row>
    <row r="1492" spans="1:17" x14ac:dyDescent="0.3">
      <c r="A1492" t="s">
        <v>17</v>
      </c>
      <c r="B1492" t="str">
        <f>"603817"</f>
        <v>603817</v>
      </c>
      <c r="C1492" t="s">
        <v>3287</v>
      </c>
      <c r="D1492" t="s">
        <v>33</v>
      </c>
      <c r="F1492">
        <v>491756390</v>
      </c>
      <c r="G1492">
        <v>429779799</v>
      </c>
      <c r="H1492">
        <v>439640958</v>
      </c>
      <c r="I1492">
        <v>314787254</v>
      </c>
      <c r="J1492">
        <v>312118988</v>
      </c>
      <c r="K1492">
        <v>331596118</v>
      </c>
      <c r="L1492">
        <v>170720542</v>
      </c>
      <c r="P1492">
        <v>121</v>
      </c>
      <c r="Q1492" t="s">
        <v>3288</v>
      </c>
    </row>
    <row r="1493" spans="1:17" x14ac:dyDescent="0.3">
      <c r="A1493" t="s">
        <v>17</v>
      </c>
      <c r="B1493" t="str">
        <f>"603818"</f>
        <v>603818</v>
      </c>
      <c r="C1493" t="s">
        <v>3289</v>
      </c>
      <c r="D1493" t="s">
        <v>757</v>
      </c>
      <c r="F1493">
        <v>3963913672</v>
      </c>
      <c r="G1493">
        <v>3204702009</v>
      </c>
      <c r="H1493">
        <v>3427435843</v>
      </c>
      <c r="I1493">
        <v>1915874069</v>
      </c>
      <c r="J1493">
        <v>1620583409</v>
      </c>
      <c r="K1493">
        <v>1317551638</v>
      </c>
      <c r="L1493">
        <v>1015092098</v>
      </c>
      <c r="M1493">
        <v>897990461</v>
      </c>
      <c r="P1493">
        <v>202</v>
      </c>
      <c r="Q1493" t="s">
        <v>3290</v>
      </c>
    </row>
    <row r="1494" spans="1:17" x14ac:dyDescent="0.3">
      <c r="A1494" t="s">
        <v>17</v>
      </c>
      <c r="B1494" t="str">
        <f>"603819"</f>
        <v>603819</v>
      </c>
      <c r="C1494" t="s">
        <v>3291</v>
      </c>
      <c r="D1494" t="s">
        <v>1171</v>
      </c>
      <c r="F1494">
        <v>714230600</v>
      </c>
      <c r="G1494">
        <v>568195212</v>
      </c>
      <c r="H1494">
        <v>590990051</v>
      </c>
      <c r="I1494">
        <v>486496434</v>
      </c>
      <c r="J1494">
        <v>337091545</v>
      </c>
      <c r="K1494">
        <v>307354646</v>
      </c>
      <c r="L1494">
        <v>381989069</v>
      </c>
      <c r="P1494">
        <v>74</v>
      </c>
      <c r="Q1494" t="s">
        <v>3292</v>
      </c>
    </row>
    <row r="1495" spans="1:17" x14ac:dyDescent="0.3">
      <c r="A1495" t="s">
        <v>17</v>
      </c>
      <c r="B1495" t="str">
        <f>"603822"</f>
        <v>603822</v>
      </c>
      <c r="C1495" t="s">
        <v>3293</v>
      </c>
      <c r="D1495" t="s">
        <v>386</v>
      </c>
      <c r="F1495">
        <v>1213917280</v>
      </c>
      <c r="G1495">
        <v>975964341</v>
      </c>
      <c r="H1495">
        <v>859187243</v>
      </c>
      <c r="I1495">
        <v>697505361</v>
      </c>
      <c r="J1495">
        <v>650132990</v>
      </c>
      <c r="K1495">
        <v>374238900</v>
      </c>
      <c r="L1495">
        <v>342450259</v>
      </c>
      <c r="P1495">
        <v>124</v>
      </c>
      <c r="Q1495" t="s">
        <v>3294</v>
      </c>
    </row>
    <row r="1496" spans="1:17" x14ac:dyDescent="0.3">
      <c r="A1496" t="s">
        <v>17</v>
      </c>
      <c r="B1496" t="str">
        <f>"603823"</f>
        <v>603823</v>
      </c>
      <c r="C1496" t="s">
        <v>3295</v>
      </c>
      <c r="D1496" t="s">
        <v>2570</v>
      </c>
      <c r="F1496">
        <v>1065261031</v>
      </c>
      <c r="G1496">
        <v>872724945</v>
      </c>
      <c r="H1496">
        <v>923018008</v>
      </c>
      <c r="I1496">
        <v>890593802</v>
      </c>
      <c r="J1496">
        <v>634881162</v>
      </c>
      <c r="K1496">
        <v>610762162</v>
      </c>
      <c r="L1496">
        <v>0</v>
      </c>
      <c r="P1496">
        <v>142</v>
      </c>
      <c r="Q1496" t="s">
        <v>3296</v>
      </c>
    </row>
    <row r="1497" spans="1:17" x14ac:dyDescent="0.3">
      <c r="A1497" t="s">
        <v>17</v>
      </c>
      <c r="B1497" t="str">
        <f>"603825"</f>
        <v>603825</v>
      </c>
      <c r="C1497" t="s">
        <v>3297</v>
      </c>
      <c r="D1497" t="s">
        <v>207</v>
      </c>
      <c r="F1497">
        <v>9034800085</v>
      </c>
      <c r="G1497">
        <v>6859659744</v>
      </c>
      <c r="H1497">
        <v>7534464000</v>
      </c>
      <c r="I1497">
        <v>6535191299</v>
      </c>
      <c r="J1497">
        <v>5421353101</v>
      </c>
      <c r="K1497">
        <v>4655561371</v>
      </c>
      <c r="P1497">
        <v>158</v>
      </c>
      <c r="Q1497" t="s">
        <v>3298</v>
      </c>
    </row>
    <row r="1498" spans="1:17" x14ac:dyDescent="0.3">
      <c r="A1498" t="s">
        <v>17</v>
      </c>
      <c r="B1498" t="str">
        <f>"603826"</f>
        <v>603826</v>
      </c>
      <c r="C1498" t="s">
        <v>3299</v>
      </c>
      <c r="D1498" t="s">
        <v>2739</v>
      </c>
      <c r="F1498">
        <v>525213339</v>
      </c>
      <c r="G1498">
        <v>437492562</v>
      </c>
      <c r="H1498">
        <v>392449952</v>
      </c>
      <c r="I1498">
        <v>406039479</v>
      </c>
      <c r="J1498">
        <v>310385124</v>
      </c>
      <c r="K1498">
        <v>253636563</v>
      </c>
      <c r="P1498">
        <v>265</v>
      </c>
      <c r="Q1498" t="s">
        <v>3300</v>
      </c>
    </row>
    <row r="1499" spans="1:17" x14ac:dyDescent="0.3">
      <c r="A1499" t="s">
        <v>17</v>
      </c>
      <c r="B1499" t="str">
        <f>"603828"</f>
        <v>603828</v>
      </c>
      <c r="C1499" t="s">
        <v>3301</v>
      </c>
      <c r="D1499" t="s">
        <v>450</v>
      </c>
      <c r="F1499">
        <v>1784931374</v>
      </c>
      <c r="G1499">
        <v>1614913431</v>
      </c>
      <c r="H1499">
        <v>1498896915</v>
      </c>
      <c r="I1499">
        <v>1454329906</v>
      </c>
      <c r="J1499">
        <v>1264304153</v>
      </c>
      <c r="K1499">
        <v>960786956</v>
      </c>
      <c r="L1499">
        <v>812684021</v>
      </c>
      <c r="M1499">
        <v>763895605</v>
      </c>
      <c r="P1499">
        <v>66</v>
      </c>
      <c r="Q1499" t="s">
        <v>3302</v>
      </c>
    </row>
    <row r="1500" spans="1:17" x14ac:dyDescent="0.3">
      <c r="A1500" t="s">
        <v>17</v>
      </c>
      <c r="B1500" t="str">
        <f>"603829"</f>
        <v>603829</v>
      </c>
      <c r="C1500" t="s">
        <v>3303</v>
      </c>
      <c r="D1500" t="s">
        <v>657</v>
      </c>
      <c r="F1500">
        <v>511392998</v>
      </c>
      <c r="G1500">
        <v>295010465</v>
      </c>
      <c r="H1500">
        <v>254914006</v>
      </c>
      <c r="I1500">
        <v>247279788</v>
      </c>
      <c r="J1500">
        <v>238961537</v>
      </c>
      <c r="K1500">
        <v>224279894</v>
      </c>
      <c r="P1500">
        <v>50</v>
      </c>
      <c r="Q1500" t="s">
        <v>3304</v>
      </c>
    </row>
    <row r="1501" spans="1:17" x14ac:dyDescent="0.3">
      <c r="A1501" t="s">
        <v>17</v>
      </c>
      <c r="B1501" t="str">
        <f>"603833"</f>
        <v>603833</v>
      </c>
      <c r="C1501" t="s">
        <v>3305</v>
      </c>
      <c r="D1501" t="s">
        <v>2647</v>
      </c>
      <c r="F1501">
        <v>16662505280</v>
      </c>
      <c r="G1501">
        <v>10945677527</v>
      </c>
      <c r="H1501">
        <v>10644781900</v>
      </c>
      <c r="I1501">
        <v>9148139642</v>
      </c>
      <c r="J1501">
        <v>7824904776</v>
      </c>
      <c r="K1501">
        <v>6941470286</v>
      </c>
      <c r="P1501">
        <v>2566</v>
      </c>
      <c r="Q1501" t="s">
        <v>3306</v>
      </c>
    </row>
    <row r="1502" spans="1:17" x14ac:dyDescent="0.3">
      <c r="A1502" t="s">
        <v>17</v>
      </c>
      <c r="B1502" t="str">
        <f>"603836"</f>
        <v>603836</v>
      </c>
      <c r="C1502" t="s">
        <v>3307</v>
      </c>
      <c r="D1502" t="s">
        <v>287</v>
      </c>
      <c r="F1502">
        <v>6681790537</v>
      </c>
      <c r="P1502">
        <v>29</v>
      </c>
      <c r="Q1502" t="s">
        <v>3308</v>
      </c>
    </row>
    <row r="1503" spans="1:17" x14ac:dyDescent="0.3">
      <c r="A1503" t="s">
        <v>17</v>
      </c>
      <c r="B1503" t="str">
        <f>"603838"</f>
        <v>603838</v>
      </c>
      <c r="C1503" t="s">
        <v>3309</v>
      </c>
      <c r="D1503" t="s">
        <v>2436</v>
      </c>
      <c r="F1503">
        <v>285161974</v>
      </c>
      <c r="G1503">
        <v>257550783</v>
      </c>
      <c r="H1503">
        <v>275010140</v>
      </c>
      <c r="I1503">
        <v>359089004</v>
      </c>
      <c r="J1503">
        <v>293690421</v>
      </c>
      <c r="K1503">
        <v>325756698</v>
      </c>
      <c r="L1503">
        <v>301933039</v>
      </c>
      <c r="M1503">
        <v>427648808</v>
      </c>
      <c r="P1503">
        <v>49</v>
      </c>
      <c r="Q1503" t="s">
        <v>3310</v>
      </c>
    </row>
    <row r="1504" spans="1:17" x14ac:dyDescent="0.3">
      <c r="A1504" t="s">
        <v>17</v>
      </c>
      <c r="B1504" t="str">
        <f>"603839"</f>
        <v>603839</v>
      </c>
      <c r="C1504" t="s">
        <v>3311</v>
      </c>
      <c r="D1504" t="s">
        <v>255</v>
      </c>
      <c r="F1504">
        <v>2164764333</v>
      </c>
      <c r="G1504">
        <v>2248030236</v>
      </c>
      <c r="H1504">
        <v>1866740873</v>
      </c>
      <c r="I1504">
        <v>1264167946</v>
      </c>
      <c r="J1504">
        <v>1127930483</v>
      </c>
      <c r="K1504">
        <v>939733115</v>
      </c>
      <c r="L1504">
        <v>975621848</v>
      </c>
      <c r="P1504">
        <v>136</v>
      </c>
      <c r="Q1504" t="s">
        <v>3312</v>
      </c>
    </row>
    <row r="1505" spans="1:17" x14ac:dyDescent="0.3">
      <c r="A1505" t="s">
        <v>17</v>
      </c>
      <c r="B1505" t="str">
        <f>"603843"</f>
        <v>603843</v>
      </c>
      <c r="C1505" t="s">
        <v>3313</v>
      </c>
      <c r="D1505" t="s">
        <v>101</v>
      </c>
      <c r="F1505">
        <v>2979295125</v>
      </c>
      <c r="G1505">
        <v>3687708767</v>
      </c>
      <c r="H1505">
        <v>2340567559</v>
      </c>
      <c r="I1505">
        <v>1347967909</v>
      </c>
      <c r="J1505">
        <v>555610580</v>
      </c>
      <c r="K1505">
        <v>964634036</v>
      </c>
      <c r="L1505">
        <v>1047014098</v>
      </c>
      <c r="P1505">
        <v>90</v>
      </c>
      <c r="Q1505" t="s">
        <v>3314</v>
      </c>
    </row>
    <row r="1506" spans="1:17" x14ac:dyDescent="0.3">
      <c r="A1506" t="s">
        <v>17</v>
      </c>
      <c r="B1506" t="str">
        <f>"603848"</f>
        <v>603848</v>
      </c>
      <c r="C1506" t="s">
        <v>3315</v>
      </c>
      <c r="D1506" t="s">
        <v>757</v>
      </c>
      <c r="F1506">
        <v>1053900097</v>
      </c>
      <c r="G1506">
        <v>709648504</v>
      </c>
      <c r="H1506">
        <v>866961497</v>
      </c>
      <c r="I1506">
        <v>921837447</v>
      </c>
      <c r="J1506">
        <v>906281563</v>
      </c>
      <c r="K1506">
        <v>0</v>
      </c>
      <c r="P1506">
        <v>415</v>
      </c>
      <c r="Q1506" t="s">
        <v>3316</v>
      </c>
    </row>
    <row r="1507" spans="1:17" x14ac:dyDescent="0.3">
      <c r="A1507" t="s">
        <v>17</v>
      </c>
      <c r="B1507" t="str">
        <f>"603855"</f>
        <v>603855</v>
      </c>
      <c r="C1507" t="s">
        <v>3317</v>
      </c>
      <c r="D1507" t="s">
        <v>741</v>
      </c>
      <c r="F1507">
        <v>2080356502</v>
      </c>
      <c r="G1507">
        <v>1294848858</v>
      </c>
      <c r="H1507">
        <v>1269815482</v>
      </c>
      <c r="I1507">
        <v>1113217852</v>
      </c>
      <c r="J1507">
        <v>1121515889</v>
      </c>
      <c r="K1507">
        <v>866957077</v>
      </c>
      <c r="P1507">
        <v>220</v>
      </c>
      <c r="Q1507" t="s">
        <v>3318</v>
      </c>
    </row>
    <row r="1508" spans="1:17" x14ac:dyDescent="0.3">
      <c r="A1508" t="s">
        <v>17</v>
      </c>
      <c r="B1508" t="str">
        <f>"603856"</f>
        <v>603856</v>
      </c>
      <c r="C1508" t="s">
        <v>3319</v>
      </c>
      <c r="D1508" t="s">
        <v>3320</v>
      </c>
      <c r="F1508">
        <v>1321923474</v>
      </c>
      <c r="G1508">
        <v>1487473906</v>
      </c>
      <c r="H1508">
        <v>1039681574</v>
      </c>
      <c r="I1508">
        <v>1063122449</v>
      </c>
      <c r="J1508">
        <v>965158302</v>
      </c>
      <c r="K1508">
        <v>834919602</v>
      </c>
      <c r="P1508">
        <v>138</v>
      </c>
      <c r="Q1508" t="s">
        <v>3321</v>
      </c>
    </row>
    <row r="1509" spans="1:17" x14ac:dyDescent="0.3">
      <c r="A1509" t="s">
        <v>17</v>
      </c>
      <c r="B1509" t="str">
        <f>"603858"</f>
        <v>603858</v>
      </c>
      <c r="C1509" t="s">
        <v>3322</v>
      </c>
      <c r="D1509" t="s">
        <v>188</v>
      </c>
      <c r="F1509">
        <v>12267645769</v>
      </c>
      <c r="G1509">
        <v>12050976354</v>
      </c>
      <c r="H1509">
        <v>11951104700</v>
      </c>
      <c r="I1509">
        <v>11527870074</v>
      </c>
      <c r="J1509">
        <v>11208421158</v>
      </c>
      <c r="K1509">
        <v>9867249344</v>
      </c>
      <c r="L1509">
        <v>9310731547</v>
      </c>
      <c r="P1509">
        <v>828</v>
      </c>
      <c r="Q1509" t="s">
        <v>3323</v>
      </c>
    </row>
    <row r="1510" spans="1:17" x14ac:dyDescent="0.3">
      <c r="A1510" t="s">
        <v>17</v>
      </c>
      <c r="B1510" t="str">
        <f>"603859"</f>
        <v>603859</v>
      </c>
      <c r="C1510" t="s">
        <v>3324</v>
      </c>
      <c r="D1510" t="s">
        <v>2423</v>
      </c>
      <c r="F1510">
        <v>557805670</v>
      </c>
      <c r="G1510">
        <v>555558274</v>
      </c>
      <c r="H1510">
        <v>415224036</v>
      </c>
      <c r="I1510">
        <v>192154230</v>
      </c>
      <c r="J1510">
        <v>113013700</v>
      </c>
      <c r="K1510">
        <v>64479125</v>
      </c>
      <c r="L1510">
        <v>104855416</v>
      </c>
      <c r="P1510">
        <v>205</v>
      </c>
      <c r="Q1510" t="s">
        <v>3325</v>
      </c>
    </row>
    <row r="1511" spans="1:17" x14ac:dyDescent="0.3">
      <c r="A1511" t="s">
        <v>17</v>
      </c>
      <c r="B1511" t="str">
        <f>"603860"</f>
        <v>603860</v>
      </c>
      <c r="C1511" t="s">
        <v>3326</v>
      </c>
      <c r="D1511" t="s">
        <v>1272</v>
      </c>
      <c r="F1511">
        <v>94606125</v>
      </c>
      <c r="G1511">
        <v>91453837</v>
      </c>
      <c r="H1511">
        <v>113972943</v>
      </c>
      <c r="I1511">
        <v>104711197</v>
      </c>
      <c r="J1511">
        <v>93336752</v>
      </c>
      <c r="K1511">
        <v>82638774</v>
      </c>
      <c r="P1511">
        <v>58</v>
      </c>
      <c r="Q1511" t="s">
        <v>3327</v>
      </c>
    </row>
    <row r="1512" spans="1:17" x14ac:dyDescent="0.3">
      <c r="A1512" t="s">
        <v>17</v>
      </c>
      <c r="B1512" t="str">
        <f>"603861"</f>
        <v>603861</v>
      </c>
      <c r="C1512" t="s">
        <v>3328</v>
      </c>
      <c r="D1512" t="s">
        <v>657</v>
      </c>
      <c r="F1512">
        <v>1998769375</v>
      </c>
      <c r="G1512">
        <v>1833137443</v>
      </c>
      <c r="H1512">
        <v>1682978603</v>
      </c>
      <c r="I1512">
        <v>1498304472</v>
      </c>
      <c r="J1512">
        <v>1085043574</v>
      </c>
      <c r="K1512">
        <v>1074325747</v>
      </c>
      <c r="L1512">
        <v>880659752</v>
      </c>
      <c r="P1512">
        <v>109</v>
      </c>
      <c r="Q1512" t="s">
        <v>3329</v>
      </c>
    </row>
    <row r="1513" spans="1:17" x14ac:dyDescent="0.3">
      <c r="A1513" t="s">
        <v>17</v>
      </c>
      <c r="B1513" t="str">
        <f>"603863"</f>
        <v>603863</v>
      </c>
      <c r="C1513" t="s">
        <v>3330</v>
      </c>
      <c r="D1513" t="s">
        <v>694</v>
      </c>
      <c r="F1513">
        <v>413679102</v>
      </c>
      <c r="G1513">
        <v>343392003</v>
      </c>
      <c r="H1513">
        <v>449498073</v>
      </c>
      <c r="I1513">
        <v>454082048</v>
      </c>
      <c r="P1513">
        <v>51</v>
      </c>
      <c r="Q1513" t="s">
        <v>3331</v>
      </c>
    </row>
    <row r="1514" spans="1:17" x14ac:dyDescent="0.3">
      <c r="A1514" t="s">
        <v>17</v>
      </c>
      <c r="B1514" t="str">
        <f>"603866"</f>
        <v>603866</v>
      </c>
      <c r="C1514" t="s">
        <v>3332</v>
      </c>
      <c r="D1514" t="s">
        <v>2479</v>
      </c>
      <c r="F1514">
        <v>5131912846</v>
      </c>
      <c r="G1514">
        <v>4841285795</v>
      </c>
      <c r="H1514">
        <v>4512785847</v>
      </c>
      <c r="I1514">
        <v>3894593877</v>
      </c>
      <c r="J1514">
        <v>3311567244</v>
      </c>
      <c r="K1514">
        <v>2682176083</v>
      </c>
      <c r="L1514">
        <v>2062309072</v>
      </c>
      <c r="M1514">
        <v>1634190376</v>
      </c>
      <c r="P1514">
        <v>7676</v>
      </c>
      <c r="Q1514" t="s">
        <v>3333</v>
      </c>
    </row>
    <row r="1515" spans="1:17" x14ac:dyDescent="0.3">
      <c r="A1515" t="s">
        <v>17</v>
      </c>
      <c r="B1515" t="str">
        <f>"603867"</f>
        <v>603867</v>
      </c>
      <c r="C1515" t="s">
        <v>3334</v>
      </c>
      <c r="D1515" t="s">
        <v>386</v>
      </c>
      <c r="F1515">
        <v>1604943032</v>
      </c>
      <c r="G1515">
        <v>1302110207</v>
      </c>
      <c r="H1515">
        <v>1150838825</v>
      </c>
      <c r="I1515">
        <v>1286500785</v>
      </c>
      <c r="P1515">
        <v>88</v>
      </c>
      <c r="Q1515" t="s">
        <v>3335</v>
      </c>
    </row>
    <row r="1516" spans="1:17" x14ac:dyDescent="0.3">
      <c r="A1516" t="s">
        <v>17</v>
      </c>
      <c r="B1516" t="str">
        <f>"603868"</f>
        <v>603868</v>
      </c>
      <c r="C1516" t="s">
        <v>3336</v>
      </c>
      <c r="D1516" t="s">
        <v>3337</v>
      </c>
      <c r="F1516">
        <v>3122631547</v>
      </c>
      <c r="G1516">
        <v>2865966733</v>
      </c>
      <c r="H1516">
        <v>3022386801</v>
      </c>
      <c r="I1516">
        <v>3154677615</v>
      </c>
      <c r="J1516">
        <v>3109697004</v>
      </c>
      <c r="K1516">
        <v>2731966361</v>
      </c>
      <c r="L1516">
        <v>2328417833</v>
      </c>
      <c r="P1516">
        <v>4435</v>
      </c>
      <c r="Q1516" t="s">
        <v>3338</v>
      </c>
    </row>
    <row r="1517" spans="1:17" x14ac:dyDescent="0.3">
      <c r="A1517" t="s">
        <v>17</v>
      </c>
      <c r="B1517" t="str">
        <f>"603869"</f>
        <v>603869</v>
      </c>
      <c r="C1517" t="s">
        <v>3339</v>
      </c>
      <c r="D1517" t="s">
        <v>316</v>
      </c>
      <c r="F1517">
        <v>590237977</v>
      </c>
      <c r="G1517">
        <v>959458465</v>
      </c>
      <c r="H1517">
        <v>2089828150</v>
      </c>
      <c r="I1517">
        <v>2295617425</v>
      </c>
      <c r="J1517">
        <v>1239697256</v>
      </c>
      <c r="K1517">
        <v>405645649</v>
      </c>
      <c r="L1517">
        <v>318082742</v>
      </c>
      <c r="M1517">
        <v>256951616</v>
      </c>
      <c r="P1517">
        <v>143</v>
      </c>
      <c r="Q1517" t="s">
        <v>3340</v>
      </c>
    </row>
    <row r="1518" spans="1:17" x14ac:dyDescent="0.3">
      <c r="A1518" t="s">
        <v>17</v>
      </c>
      <c r="B1518" t="str">
        <f>"603871"</f>
        <v>603871</v>
      </c>
      <c r="C1518" t="s">
        <v>3341</v>
      </c>
      <c r="D1518" t="s">
        <v>287</v>
      </c>
      <c r="F1518">
        <v>2551743515</v>
      </c>
      <c r="G1518">
        <v>2637679441</v>
      </c>
      <c r="H1518">
        <v>3595891799</v>
      </c>
      <c r="I1518">
        <v>3587705364</v>
      </c>
      <c r="J1518">
        <v>2726268897</v>
      </c>
      <c r="K1518">
        <v>720273592</v>
      </c>
      <c r="P1518">
        <v>324</v>
      </c>
      <c r="Q1518" t="s">
        <v>3342</v>
      </c>
    </row>
    <row r="1519" spans="1:17" x14ac:dyDescent="0.3">
      <c r="A1519" t="s">
        <v>17</v>
      </c>
      <c r="B1519" t="str">
        <f>"603876"</f>
        <v>603876</v>
      </c>
      <c r="C1519" t="s">
        <v>3343</v>
      </c>
      <c r="D1519" t="s">
        <v>504</v>
      </c>
      <c r="F1519">
        <v>7548920022</v>
      </c>
      <c r="G1519">
        <v>5753895442</v>
      </c>
      <c r="H1519">
        <v>5705403587</v>
      </c>
      <c r="I1519">
        <v>4914634136</v>
      </c>
      <c r="J1519">
        <v>3436188723</v>
      </c>
      <c r="P1519">
        <v>143</v>
      </c>
      <c r="Q1519" t="s">
        <v>3344</v>
      </c>
    </row>
    <row r="1520" spans="1:17" x14ac:dyDescent="0.3">
      <c r="A1520" t="s">
        <v>17</v>
      </c>
      <c r="B1520" t="str">
        <f>"603877"</f>
        <v>603877</v>
      </c>
      <c r="C1520" t="s">
        <v>3345</v>
      </c>
      <c r="D1520" t="s">
        <v>255</v>
      </c>
      <c r="F1520">
        <v>7993872222</v>
      </c>
      <c r="G1520">
        <v>5850084081</v>
      </c>
      <c r="H1520">
        <v>5531604763</v>
      </c>
      <c r="I1520">
        <v>5463113186</v>
      </c>
      <c r="J1520">
        <v>4828084852</v>
      </c>
      <c r="K1520">
        <v>4488872039</v>
      </c>
      <c r="L1520">
        <v>4264888432</v>
      </c>
      <c r="P1520">
        <v>364</v>
      </c>
      <c r="Q1520" t="s">
        <v>3346</v>
      </c>
    </row>
    <row r="1521" spans="1:17" x14ac:dyDescent="0.3">
      <c r="A1521" t="s">
        <v>17</v>
      </c>
      <c r="B1521" t="str">
        <f>"603878"</f>
        <v>603878</v>
      </c>
      <c r="C1521" t="s">
        <v>3347</v>
      </c>
      <c r="D1521" t="s">
        <v>2229</v>
      </c>
      <c r="F1521">
        <v>1948699362</v>
      </c>
      <c r="G1521">
        <v>1472424886</v>
      </c>
      <c r="H1521">
        <v>1093787970</v>
      </c>
      <c r="I1521">
        <v>1047575937</v>
      </c>
      <c r="J1521">
        <v>590926565</v>
      </c>
      <c r="K1521">
        <v>1117665698</v>
      </c>
      <c r="P1521">
        <v>142</v>
      </c>
      <c r="Q1521" t="s">
        <v>3348</v>
      </c>
    </row>
    <row r="1522" spans="1:17" x14ac:dyDescent="0.3">
      <c r="A1522" t="s">
        <v>17</v>
      </c>
      <c r="B1522" t="str">
        <f>"603879"</f>
        <v>603879</v>
      </c>
      <c r="C1522" t="s">
        <v>3349</v>
      </c>
      <c r="D1522" t="s">
        <v>3350</v>
      </c>
      <c r="F1522">
        <v>367818602</v>
      </c>
      <c r="G1522">
        <v>283641623</v>
      </c>
      <c r="H1522">
        <v>332015339</v>
      </c>
      <c r="I1522">
        <v>460239020</v>
      </c>
      <c r="J1522">
        <v>437126111</v>
      </c>
      <c r="K1522">
        <v>402831593</v>
      </c>
      <c r="P1522">
        <v>55</v>
      </c>
      <c r="Q1522" t="s">
        <v>3351</v>
      </c>
    </row>
    <row r="1523" spans="1:17" x14ac:dyDescent="0.3">
      <c r="A1523" t="s">
        <v>17</v>
      </c>
      <c r="B1523" t="str">
        <f>"603880"</f>
        <v>603880</v>
      </c>
      <c r="C1523" t="s">
        <v>3352</v>
      </c>
      <c r="D1523" t="s">
        <v>1077</v>
      </c>
      <c r="F1523">
        <v>283658791</v>
      </c>
      <c r="G1523">
        <v>916551802</v>
      </c>
      <c r="H1523">
        <v>262989345</v>
      </c>
      <c r="I1523">
        <v>255914482</v>
      </c>
      <c r="J1523">
        <v>276033592</v>
      </c>
      <c r="K1523">
        <v>252248392</v>
      </c>
      <c r="P1523">
        <v>125</v>
      </c>
      <c r="Q1523" t="s">
        <v>3353</v>
      </c>
    </row>
    <row r="1524" spans="1:17" x14ac:dyDescent="0.3">
      <c r="A1524" t="s">
        <v>17</v>
      </c>
      <c r="B1524" t="str">
        <f>"603881"</f>
        <v>603881</v>
      </c>
      <c r="C1524" t="s">
        <v>3354</v>
      </c>
      <c r="D1524" t="s">
        <v>316</v>
      </c>
      <c r="F1524">
        <v>801667154</v>
      </c>
      <c r="G1524">
        <v>579252040</v>
      </c>
      <c r="H1524">
        <v>659683627</v>
      </c>
      <c r="I1524">
        <v>548997081</v>
      </c>
      <c r="J1524">
        <v>324831631</v>
      </c>
      <c r="K1524">
        <v>296083192</v>
      </c>
      <c r="L1524">
        <v>227213976</v>
      </c>
      <c r="P1524">
        <v>486</v>
      </c>
      <c r="Q1524" t="s">
        <v>3355</v>
      </c>
    </row>
    <row r="1525" spans="1:17" x14ac:dyDescent="0.3">
      <c r="A1525" t="s">
        <v>17</v>
      </c>
      <c r="B1525" t="str">
        <f>"603882"</f>
        <v>603882</v>
      </c>
      <c r="C1525" t="s">
        <v>3356</v>
      </c>
      <c r="D1525" t="s">
        <v>2565</v>
      </c>
      <c r="F1525">
        <v>6767461656</v>
      </c>
      <c r="G1525">
        <v>4615483744</v>
      </c>
      <c r="H1525">
        <v>3595869121</v>
      </c>
      <c r="I1525">
        <v>3000855430</v>
      </c>
      <c r="J1525">
        <v>2479512815</v>
      </c>
      <c r="K1525">
        <v>2138487672</v>
      </c>
      <c r="P1525">
        <v>1844</v>
      </c>
      <c r="Q1525" t="s">
        <v>3357</v>
      </c>
    </row>
    <row r="1526" spans="1:17" x14ac:dyDescent="0.3">
      <c r="A1526" t="s">
        <v>17</v>
      </c>
      <c r="B1526" t="str">
        <f>"603883"</f>
        <v>603883</v>
      </c>
      <c r="C1526" t="s">
        <v>3358</v>
      </c>
      <c r="D1526" t="s">
        <v>1684</v>
      </c>
      <c r="F1526">
        <v>12793290951</v>
      </c>
      <c r="G1526">
        <v>11485363510</v>
      </c>
      <c r="H1526">
        <v>9239937516</v>
      </c>
      <c r="I1526">
        <v>6699258803</v>
      </c>
      <c r="J1526">
        <v>6454078784</v>
      </c>
      <c r="K1526">
        <v>4915985892</v>
      </c>
      <c r="L1526">
        <v>3938212242</v>
      </c>
      <c r="M1526">
        <v>3186649182</v>
      </c>
      <c r="P1526">
        <v>868</v>
      </c>
      <c r="Q1526" t="s">
        <v>3359</v>
      </c>
    </row>
    <row r="1527" spans="1:17" x14ac:dyDescent="0.3">
      <c r="A1527" t="s">
        <v>17</v>
      </c>
      <c r="B1527" t="str">
        <f>"603885"</f>
        <v>603885</v>
      </c>
      <c r="C1527" t="s">
        <v>3360</v>
      </c>
      <c r="D1527" t="s">
        <v>77</v>
      </c>
      <c r="F1527">
        <v>10499819630</v>
      </c>
      <c r="G1527">
        <v>8041417120</v>
      </c>
      <c r="H1527">
        <v>14512198128</v>
      </c>
      <c r="I1527">
        <v>13247961913</v>
      </c>
      <c r="J1527">
        <v>11319982618</v>
      </c>
      <c r="K1527">
        <v>8933324603</v>
      </c>
      <c r="L1527">
        <v>7224726365</v>
      </c>
      <c r="M1527">
        <v>6286698482</v>
      </c>
      <c r="P1527">
        <v>475</v>
      </c>
      <c r="Q1527" t="s">
        <v>3361</v>
      </c>
    </row>
    <row r="1528" spans="1:17" x14ac:dyDescent="0.3">
      <c r="A1528" t="s">
        <v>17</v>
      </c>
      <c r="B1528" t="str">
        <f>"603886"</f>
        <v>603886</v>
      </c>
      <c r="C1528" t="s">
        <v>3362</v>
      </c>
      <c r="D1528" t="s">
        <v>2479</v>
      </c>
      <c r="F1528">
        <v>2594263498</v>
      </c>
      <c r="G1528">
        <v>2140464674</v>
      </c>
      <c r="H1528">
        <v>2150341038</v>
      </c>
      <c r="I1528">
        <v>1936878999</v>
      </c>
      <c r="J1528">
        <v>1718081693</v>
      </c>
      <c r="K1528">
        <v>1548096459</v>
      </c>
      <c r="L1528">
        <v>1452052198</v>
      </c>
      <c r="P1528">
        <v>3081</v>
      </c>
      <c r="Q1528" t="s">
        <v>3363</v>
      </c>
    </row>
    <row r="1529" spans="1:17" x14ac:dyDescent="0.3">
      <c r="A1529" t="s">
        <v>17</v>
      </c>
      <c r="B1529" t="str">
        <f>"603887"</f>
        <v>603887</v>
      </c>
      <c r="C1529" t="s">
        <v>3364</v>
      </c>
      <c r="D1529" t="s">
        <v>316</v>
      </c>
      <c r="F1529">
        <v>2303960062</v>
      </c>
      <c r="G1529">
        <v>1766831060</v>
      </c>
      <c r="H1529">
        <v>1792366451</v>
      </c>
      <c r="I1529">
        <v>685067073</v>
      </c>
      <c r="J1529">
        <v>415493824</v>
      </c>
      <c r="K1529">
        <v>365329813</v>
      </c>
      <c r="L1529">
        <v>313568749</v>
      </c>
      <c r="P1529">
        <v>241</v>
      </c>
      <c r="Q1529" t="s">
        <v>3365</v>
      </c>
    </row>
    <row r="1530" spans="1:17" x14ac:dyDescent="0.3">
      <c r="A1530" t="s">
        <v>17</v>
      </c>
      <c r="B1530" t="str">
        <f>"603888"</f>
        <v>603888</v>
      </c>
      <c r="C1530" t="s">
        <v>3366</v>
      </c>
      <c r="D1530" t="s">
        <v>522</v>
      </c>
      <c r="F1530">
        <v>1106959157</v>
      </c>
      <c r="G1530">
        <v>861971363</v>
      </c>
      <c r="H1530">
        <v>871130404</v>
      </c>
      <c r="I1530">
        <v>925463225</v>
      </c>
      <c r="J1530">
        <v>832835633</v>
      </c>
      <c r="K1530">
        <v>783042765</v>
      </c>
      <c r="L1530">
        <v>501739148</v>
      </c>
      <c r="P1530">
        <v>227</v>
      </c>
      <c r="Q1530" t="s">
        <v>3367</v>
      </c>
    </row>
    <row r="1531" spans="1:17" x14ac:dyDescent="0.3">
      <c r="A1531" t="s">
        <v>17</v>
      </c>
      <c r="B1531" t="str">
        <f>"603889"</f>
        <v>603889</v>
      </c>
      <c r="C1531" t="s">
        <v>3368</v>
      </c>
      <c r="D1531" t="s">
        <v>366</v>
      </c>
      <c r="F1531">
        <v>2510347305</v>
      </c>
      <c r="G1531">
        <v>1617604076</v>
      </c>
      <c r="H1531">
        <v>2108476906</v>
      </c>
      <c r="I1531">
        <v>1903176082</v>
      </c>
      <c r="J1531">
        <v>1869793042</v>
      </c>
      <c r="K1531">
        <v>1550632589</v>
      </c>
      <c r="L1531">
        <v>1415543088</v>
      </c>
      <c r="M1531">
        <v>1281187861</v>
      </c>
      <c r="P1531">
        <v>121</v>
      </c>
      <c r="Q1531" t="s">
        <v>3369</v>
      </c>
    </row>
    <row r="1532" spans="1:17" x14ac:dyDescent="0.3">
      <c r="A1532" t="s">
        <v>17</v>
      </c>
      <c r="B1532" t="str">
        <f>"603890"</f>
        <v>603890</v>
      </c>
      <c r="C1532" t="s">
        <v>3370</v>
      </c>
      <c r="D1532" t="s">
        <v>313</v>
      </c>
      <c r="F1532">
        <v>3225707844</v>
      </c>
      <c r="G1532">
        <v>2081793231</v>
      </c>
      <c r="H1532">
        <v>1299948442</v>
      </c>
      <c r="I1532">
        <v>1119356168</v>
      </c>
      <c r="J1532">
        <v>1099386488</v>
      </c>
      <c r="K1532">
        <v>1081339684</v>
      </c>
      <c r="P1532">
        <v>155</v>
      </c>
      <c r="Q1532" t="s">
        <v>3371</v>
      </c>
    </row>
    <row r="1533" spans="1:17" x14ac:dyDescent="0.3">
      <c r="A1533" t="s">
        <v>17</v>
      </c>
      <c r="B1533" t="str">
        <f>"603893"</f>
        <v>603893</v>
      </c>
      <c r="C1533" t="s">
        <v>3372</v>
      </c>
      <c r="D1533" t="s">
        <v>461</v>
      </c>
      <c r="F1533">
        <v>2216427570</v>
      </c>
      <c r="G1533">
        <v>1261699104</v>
      </c>
      <c r="H1533">
        <v>996504664</v>
      </c>
      <c r="I1533">
        <v>1066236809</v>
      </c>
      <c r="P1533">
        <v>444</v>
      </c>
      <c r="Q1533" t="s">
        <v>3373</v>
      </c>
    </row>
    <row r="1534" spans="1:17" x14ac:dyDescent="0.3">
      <c r="A1534" t="s">
        <v>17</v>
      </c>
      <c r="B1534" t="str">
        <f>"603895"</f>
        <v>603895</v>
      </c>
      <c r="C1534" t="s">
        <v>3374</v>
      </c>
      <c r="D1534" t="s">
        <v>741</v>
      </c>
      <c r="F1534">
        <v>309736700</v>
      </c>
      <c r="G1534">
        <v>385271529</v>
      </c>
      <c r="H1534">
        <v>254929234</v>
      </c>
      <c r="I1534">
        <v>297680345</v>
      </c>
      <c r="J1534">
        <v>195599166</v>
      </c>
      <c r="K1534">
        <v>0</v>
      </c>
      <c r="P1534">
        <v>65</v>
      </c>
      <c r="Q1534" t="s">
        <v>3375</v>
      </c>
    </row>
    <row r="1535" spans="1:17" x14ac:dyDescent="0.3">
      <c r="A1535" t="s">
        <v>17</v>
      </c>
      <c r="B1535" t="str">
        <f>"603896"</f>
        <v>603896</v>
      </c>
      <c r="C1535" t="s">
        <v>3376</v>
      </c>
      <c r="D1535" t="s">
        <v>188</v>
      </c>
      <c r="F1535">
        <v>542912416</v>
      </c>
      <c r="G1535">
        <v>441201524</v>
      </c>
      <c r="H1535">
        <v>395771370</v>
      </c>
      <c r="I1535">
        <v>365416861</v>
      </c>
      <c r="J1535">
        <v>274722122</v>
      </c>
      <c r="K1535">
        <v>243000588</v>
      </c>
      <c r="P1535">
        <v>230</v>
      </c>
      <c r="Q1535" t="s">
        <v>3377</v>
      </c>
    </row>
    <row r="1536" spans="1:17" x14ac:dyDescent="0.3">
      <c r="A1536" t="s">
        <v>17</v>
      </c>
      <c r="B1536" t="str">
        <f>"603897"</f>
        <v>603897</v>
      </c>
      <c r="C1536" t="s">
        <v>3378</v>
      </c>
      <c r="D1536" t="s">
        <v>1164</v>
      </c>
      <c r="F1536">
        <v>8089489304</v>
      </c>
      <c r="G1536">
        <v>4323097311</v>
      </c>
      <c r="H1536">
        <v>3761388276</v>
      </c>
      <c r="I1536">
        <v>3750844375</v>
      </c>
      <c r="J1536">
        <v>3126478571</v>
      </c>
      <c r="P1536">
        <v>137</v>
      </c>
      <c r="Q1536" t="s">
        <v>3379</v>
      </c>
    </row>
    <row r="1537" spans="1:17" x14ac:dyDescent="0.3">
      <c r="A1537" t="s">
        <v>17</v>
      </c>
      <c r="B1537" t="str">
        <f>"603898"</f>
        <v>603898</v>
      </c>
      <c r="C1537" t="s">
        <v>3380</v>
      </c>
      <c r="D1537" t="s">
        <v>2647</v>
      </c>
      <c r="F1537">
        <v>2456967615</v>
      </c>
      <c r="G1537">
        <v>1450099766</v>
      </c>
      <c r="H1537">
        <v>1754144518</v>
      </c>
      <c r="I1537">
        <v>1719314711</v>
      </c>
      <c r="J1537">
        <v>1428636378</v>
      </c>
      <c r="K1537">
        <v>1081036753</v>
      </c>
      <c r="L1537">
        <v>861064430</v>
      </c>
      <c r="M1537">
        <v>699465406</v>
      </c>
      <c r="P1537">
        <v>835</v>
      </c>
      <c r="Q1537" t="s">
        <v>3381</v>
      </c>
    </row>
    <row r="1538" spans="1:17" x14ac:dyDescent="0.3">
      <c r="A1538" t="s">
        <v>17</v>
      </c>
      <c r="B1538" t="str">
        <f>"603899"</f>
        <v>603899</v>
      </c>
      <c r="C1538" t="s">
        <v>3382</v>
      </c>
      <c r="D1538" t="s">
        <v>3383</v>
      </c>
      <c r="F1538">
        <v>13246339432</v>
      </c>
      <c r="G1538">
        <v>9063619056</v>
      </c>
      <c r="H1538">
        <v>8569903064</v>
      </c>
      <c r="I1538">
        <v>6605174094</v>
      </c>
      <c r="J1538">
        <v>5006884113</v>
      </c>
      <c r="K1538">
        <v>3858424594</v>
      </c>
      <c r="L1538">
        <v>3219271125</v>
      </c>
      <c r="M1538">
        <v>2611699188</v>
      </c>
      <c r="P1538">
        <v>25827</v>
      </c>
      <c r="Q1538" t="s">
        <v>3384</v>
      </c>
    </row>
    <row r="1539" spans="1:17" x14ac:dyDescent="0.3">
      <c r="A1539" t="s">
        <v>17</v>
      </c>
      <c r="B1539" t="str">
        <f>"603900"</f>
        <v>603900</v>
      </c>
      <c r="C1539" t="s">
        <v>3385</v>
      </c>
      <c r="D1539" t="s">
        <v>1238</v>
      </c>
      <c r="F1539">
        <v>1199777067</v>
      </c>
      <c r="G1539">
        <v>956367250</v>
      </c>
      <c r="H1539">
        <v>1320163799</v>
      </c>
      <c r="I1539">
        <v>1591618024</v>
      </c>
      <c r="J1539">
        <v>1709889325</v>
      </c>
      <c r="K1539">
        <v>1428541761</v>
      </c>
      <c r="L1539">
        <v>1280824205</v>
      </c>
      <c r="P1539">
        <v>137</v>
      </c>
      <c r="Q1539" t="s">
        <v>3386</v>
      </c>
    </row>
    <row r="1540" spans="1:17" x14ac:dyDescent="0.3">
      <c r="A1540" t="s">
        <v>17</v>
      </c>
      <c r="B1540" t="str">
        <f>"603901"</f>
        <v>603901</v>
      </c>
      <c r="C1540" t="s">
        <v>3387</v>
      </c>
      <c r="D1540" t="s">
        <v>3388</v>
      </c>
      <c r="F1540">
        <v>1930730668</v>
      </c>
      <c r="G1540">
        <v>1422012670</v>
      </c>
      <c r="H1540">
        <v>1379176089</v>
      </c>
      <c r="I1540">
        <v>1418198559</v>
      </c>
      <c r="J1540">
        <v>1061217725</v>
      </c>
      <c r="K1540">
        <v>798393522</v>
      </c>
      <c r="L1540">
        <v>720143297</v>
      </c>
      <c r="M1540">
        <v>757764947</v>
      </c>
      <c r="P1540">
        <v>140</v>
      </c>
      <c r="Q1540" t="s">
        <v>3389</v>
      </c>
    </row>
    <row r="1541" spans="1:17" x14ac:dyDescent="0.3">
      <c r="A1541" t="s">
        <v>17</v>
      </c>
      <c r="B1541" t="str">
        <f>"603903"</f>
        <v>603903</v>
      </c>
      <c r="C1541" t="s">
        <v>3390</v>
      </c>
      <c r="D1541" t="s">
        <v>33</v>
      </c>
      <c r="F1541">
        <v>745283981</v>
      </c>
      <c r="G1541">
        <v>978512881</v>
      </c>
      <c r="H1541">
        <v>701327113</v>
      </c>
      <c r="I1541">
        <v>430818240</v>
      </c>
      <c r="J1541">
        <v>308635253</v>
      </c>
      <c r="K1541">
        <v>269455174</v>
      </c>
      <c r="P1541">
        <v>119</v>
      </c>
      <c r="Q1541" t="s">
        <v>3391</v>
      </c>
    </row>
    <row r="1542" spans="1:17" x14ac:dyDescent="0.3">
      <c r="A1542" t="s">
        <v>17</v>
      </c>
      <c r="B1542" t="str">
        <f>"603906"</f>
        <v>603906</v>
      </c>
      <c r="C1542" t="s">
        <v>3392</v>
      </c>
      <c r="D1542" t="s">
        <v>386</v>
      </c>
      <c r="F1542">
        <v>1903765473</v>
      </c>
      <c r="G1542">
        <v>1386613033</v>
      </c>
      <c r="H1542">
        <v>1240909673</v>
      </c>
      <c r="I1542">
        <v>1028161599</v>
      </c>
      <c r="J1542">
        <v>835316158</v>
      </c>
      <c r="K1542">
        <v>667596869</v>
      </c>
      <c r="P1542">
        <v>185</v>
      </c>
      <c r="Q1542" t="s">
        <v>3393</v>
      </c>
    </row>
    <row r="1543" spans="1:17" x14ac:dyDescent="0.3">
      <c r="A1543" t="s">
        <v>17</v>
      </c>
      <c r="B1543" t="str">
        <f>"603908"</f>
        <v>603908</v>
      </c>
      <c r="C1543" t="s">
        <v>3394</v>
      </c>
      <c r="D1543" t="s">
        <v>330</v>
      </c>
      <c r="F1543">
        <v>686141823</v>
      </c>
      <c r="G1543">
        <v>504526373</v>
      </c>
      <c r="H1543">
        <v>451735585</v>
      </c>
      <c r="I1543">
        <v>478553122</v>
      </c>
      <c r="J1543">
        <v>439758067</v>
      </c>
      <c r="K1543">
        <v>385538835</v>
      </c>
      <c r="P1543">
        <v>114</v>
      </c>
      <c r="Q1543" t="s">
        <v>3395</v>
      </c>
    </row>
    <row r="1544" spans="1:17" x14ac:dyDescent="0.3">
      <c r="A1544" t="s">
        <v>17</v>
      </c>
      <c r="B1544" t="str">
        <f>"603909"</f>
        <v>603909</v>
      </c>
      <c r="C1544" t="s">
        <v>3396</v>
      </c>
      <c r="D1544" t="s">
        <v>1272</v>
      </c>
      <c r="F1544">
        <v>549120047</v>
      </c>
      <c r="G1544">
        <v>481139257</v>
      </c>
      <c r="H1544">
        <v>440988128</v>
      </c>
      <c r="I1544">
        <v>269750880</v>
      </c>
      <c r="J1544">
        <v>177584096</v>
      </c>
      <c r="K1544">
        <v>165629063</v>
      </c>
      <c r="L1544">
        <v>161778463</v>
      </c>
      <c r="P1544">
        <v>65</v>
      </c>
      <c r="Q1544" t="s">
        <v>3397</v>
      </c>
    </row>
    <row r="1545" spans="1:17" x14ac:dyDescent="0.3">
      <c r="A1545" t="s">
        <v>17</v>
      </c>
      <c r="B1545" t="str">
        <f>"603912"</f>
        <v>603912</v>
      </c>
      <c r="C1545" t="s">
        <v>3398</v>
      </c>
      <c r="D1545" t="s">
        <v>988</v>
      </c>
      <c r="F1545">
        <v>492480016</v>
      </c>
      <c r="G1545">
        <v>329012683</v>
      </c>
      <c r="H1545">
        <v>416135414</v>
      </c>
      <c r="I1545">
        <v>361980159</v>
      </c>
      <c r="J1545">
        <v>314252990</v>
      </c>
      <c r="K1545">
        <v>268498232</v>
      </c>
      <c r="P1545">
        <v>286</v>
      </c>
      <c r="Q1545" t="s">
        <v>3399</v>
      </c>
    </row>
    <row r="1546" spans="1:17" x14ac:dyDescent="0.3">
      <c r="A1546" t="s">
        <v>17</v>
      </c>
      <c r="B1546" t="str">
        <f>"603915"</f>
        <v>603915</v>
      </c>
      <c r="C1546" t="s">
        <v>3400</v>
      </c>
      <c r="D1546" t="s">
        <v>274</v>
      </c>
      <c r="F1546">
        <v>1858638941</v>
      </c>
      <c r="G1546">
        <v>1462971412</v>
      </c>
      <c r="H1546">
        <v>1203077650</v>
      </c>
      <c r="I1546">
        <v>942525600</v>
      </c>
      <c r="P1546">
        <v>160</v>
      </c>
      <c r="Q1546" t="s">
        <v>3401</v>
      </c>
    </row>
    <row r="1547" spans="1:17" x14ac:dyDescent="0.3">
      <c r="A1547" t="s">
        <v>17</v>
      </c>
      <c r="B1547" t="str">
        <f>"603916"</f>
        <v>603916</v>
      </c>
      <c r="C1547" t="s">
        <v>3402</v>
      </c>
      <c r="D1547" t="s">
        <v>386</v>
      </c>
      <c r="F1547">
        <v>2634889066</v>
      </c>
      <c r="G1547">
        <v>2134717235</v>
      </c>
      <c r="H1547">
        <v>1563730209</v>
      </c>
      <c r="I1547">
        <v>1057574240</v>
      </c>
      <c r="J1547">
        <v>1421020823</v>
      </c>
      <c r="K1547">
        <v>1145035501</v>
      </c>
      <c r="P1547">
        <v>273</v>
      </c>
      <c r="Q1547" t="s">
        <v>3403</v>
      </c>
    </row>
    <row r="1548" spans="1:17" x14ac:dyDescent="0.3">
      <c r="A1548" t="s">
        <v>17</v>
      </c>
      <c r="B1548" t="str">
        <f>"603917"</f>
        <v>603917</v>
      </c>
      <c r="C1548" t="s">
        <v>3404</v>
      </c>
      <c r="D1548" t="s">
        <v>985</v>
      </c>
      <c r="F1548">
        <v>461948373</v>
      </c>
      <c r="G1548">
        <v>372797563</v>
      </c>
      <c r="H1548">
        <v>308831602</v>
      </c>
      <c r="I1548">
        <v>275923766</v>
      </c>
      <c r="J1548">
        <v>216410559</v>
      </c>
      <c r="K1548">
        <v>216572304</v>
      </c>
      <c r="P1548">
        <v>73</v>
      </c>
      <c r="Q1548" t="s">
        <v>3405</v>
      </c>
    </row>
    <row r="1549" spans="1:17" x14ac:dyDescent="0.3">
      <c r="A1549" t="s">
        <v>17</v>
      </c>
      <c r="B1549" t="str">
        <f>"603918"</f>
        <v>603918</v>
      </c>
      <c r="C1549" t="s">
        <v>3406</v>
      </c>
      <c r="D1549" t="s">
        <v>316</v>
      </c>
      <c r="F1549">
        <v>652510362</v>
      </c>
      <c r="G1549">
        <v>641065951</v>
      </c>
      <c r="H1549">
        <v>557133878</v>
      </c>
      <c r="I1549">
        <v>485903235</v>
      </c>
      <c r="J1549">
        <v>415026778</v>
      </c>
      <c r="K1549">
        <v>351592657</v>
      </c>
      <c r="L1549">
        <v>350517724</v>
      </c>
      <c r="M1549">
        <v>304173752</v>
      </c>
      <c r="P1549">
        <v>142</v>
      </c>
      <c r="Q1549" t="s">
        <v>3407</v>
      </c>
    </row>
    <row r="1550" spans="1:17" x14ac:dyDescent="0.3">
      <c r="A1550" t="s">
        <v>17</v>
      </c>
      <c r="B1550" t="str">
        <f>"603919"</f>
        <v>603919</v>
      </c>
      <c r="C1550" t="s">
        <v>3408</v>
      </c>
      <c r="D1550" t="s">
        <v>458</v>
      </c>
      <c r="F1550">
        <v>1539199753</v>
      </c>
      <c r="G1550">
        <v>1138383324</v>
      </c>
      <c r="H1550">
        <v>1371361620</v>
      </c>
      <c r="I1550">
        <v>1126311415</v>
      </c>
      <c r="J1550">
        <v>824647184</v>
      </c>
      <c r="K1550">
        <v>989740576</v>
      </c>
      <c r="L1550">
        <v>920037971</v>
      </c>
      <c r="P1550">
        <v>446</v>
      </c>
      <c r="Q1550" t="s">
        <v>3409</v>
      </c>
    </row>
    <row r="1551" spans="1:17" x14ac:dyDescent="0.3">
      <c r="A1551" t="s">
        <v>17</v>
      </c>
      <c r="B1551" t="str">
        <f>"603920"</f>
        <v>603920</v>
      </c>
      <c r="C1551" t="s">
        <v>3410</v>
      </c>
      <c r="D1551" t="s">
        <v>425</v>
      </c>
      <c r="F1551">
        <v>2479343593</v>
      </c>
      <c r="G1551">
        <v>1851781630</v>
      </c>
      <c r="H1551">
        <v>1715177107</v>
      </c>
      <c r="I1551">
        <v>1565131459</v>
      </c>
      <c r="J1551">
        <v>1368201653</v>
      </c>
      <c r="K1551">
        <v>1106141378</v>
      </c>
      <c r="P1551">
        <v>267</v>
      </c>
      <c r="Q1551" t="s">
        <v>3411</v>
      </c>
    </row>
    <row r="1552" spans="1:17" x14ac:dyDescent="0.3">
      <c r="A1552" t="s">
        <v>17</v>
      </c>
      <c r="B1552" t="str">
        <f>"603922"</f>
        <v>603922</v>
      </c>
      <c r="C1552" t="s">
        <v>3412</v>
      </c>
      <c r="D1552" t="s">
        <v>985</v>
      </c>
      <c r="F1552">
        <v>396685976</v>
      </c>
      <c r="G1552">
        <v>417785641</v>
      </c>
      <c r="H1552">
        <v>564980483</v>
      </c>
      <c r="I1552">
        <v>940000575</v>
      </c>
      <c r="J1552">
        <v>809570427</v>
      </c>
      <c r="K1552">
        <v>721781161</v>
      </c>
      <c r="P1552">
        <v>54</v>
      </c>
      <c r="Q1552" t="s">
        <v>3413</v>
      </c>
    </row>
    <row r="1553" spans="1:17" x14ac:dyDescent="0.3">
      <c r="A1553" t="s">
        <v>17</v>
      </c>
      <c r="B1553" t="str">
        <f>"603926"</f>
        <v>603926</v>
      </c>
      <c r="C1553" t="s">
        <v>3414</v>
      </c>
      <c r="D1553" t="s">
        <v>348</v>
      </c>
      <c r="F1553">
        <v>989394396</v>
      </c>
      <c r="G1553">
        <v>755281987</v>
      </c>
      <c r="H1553">
        <v>890779718</v>
      </c>
      <c r="I1553">
        <v>635369181</v>
      </c>
      <c r="J1553">
        <v>554710729</v>
      </c>
      <c r="K1553">
        <v>464995643</v>
      </c>
      <c r="P1553">
        <v>104</v>
      </c>
      <c r="Q1553" t="s">
        <v>3415</v>
      </c>
    </row>
    <row r="1554" spans="1:17" x14ac:dyDescent="0.3">
      <c r="A1554" t="s">
        <v>17</v>
      </c>
      <c r="B1554" t="str">
        <f>"603927"</f>
        <v>603927</v>
      </c>
      <c r="C1554" t="s">
        <v>3416</v>
      </c>
      <c r="D1554" t="s">
        <v>945</v>
      </c>
      <c r="F1554">
        <v>3305117671</v>
      </c>
      <c r="G1554">
        <v>2642783299</v>
      </c>
      <c r="H1554">
        <v>2907214221</v>
      </c>
      <c r="I1554">
        <v>2914277041</v>
      </c>
      <c r="P1554">
        <v>821</v>
      </c>
      <c r="Q1554" t="s">
        <v>3417</v>
      </c>
    </row>
    <row r="1555" spans="1:17" x14ac:dyDescent="0.3">
      <c r="A1555" t="s">
        <v>17</v>
      </c>
      <c r="B1555" t="str">
        <f>"603928"</f>
        <v>603928</v>
      </c>
      <c r="C1555" t="s">
        <v>3418</v>
      </c>
      <c r="D1555" t="s">
        <v>3350</v>
      </c>
      <c r="F1555">
        <v>1502038253</v>
      </c>
      <c r="G1555">
        <v>1146933427</v>
      </c>
      <c r="H1555">
        <v>1083645496</v>
      </c>
      <c r="I1555">
        <v>1243882338</v>
      </c>
      <c r="J1555">
        <v>862364785</v>
      </c>
      <c r="K1555">
        <v>649233578</v>
      </c>
      <c r="L1555">
        <v>0</v>
      </c>
      <c r="P1555">
        <v>102</v>
      </c>
      <c r="Q1555" t="s">
        <v>3419</v>
      </c>
    </row>
    <row r="1556" spans="1:17" x14ac:dyDescent="0.3">
      <c r="A1556" t="s">
        <v>17</v>
      </c>
      <c r="B1556" t="str">
        <f>"603929"</f>
        <v>603929</v>
      </c>
      <c r="C1556" t="s">
        <v>3420</v>
      </c>
      <c r="D1556" t="s">
        <v>1986</v>
      </c>
      <c r="F1556">
        <v>1300703671</v>
      </c>
      <c r="G1556">
        <v>722377740</v>
      </c>
      <c r="H1556">
        <v>1039921919</v>
      </c>
      <c r="I1556">
        <v>1909919211</v>
      </c>
      <c r="J1556">
        <v>1011901988</v>
      </c>
      <c r="K1556">
        <v>2202617028</v>
      </c>
      <c r="P1556">
        <v>109</v>
      </c>
      <c r="Q1556" t="s">
        <v>3421</v>
      </c>
    </row>
    <row r="1557" spans="1:17" x14ac:dyDescent="0.3">
      <c r="A1557" t="s">
        <v>17</v>
      </c>
      <c r="B1557" t="str">
        <f>"603931"</f>
        <v>603931</v>
      </c>
      <c r="C1557" t="s">
        <v>3422</v>
      </c>
      <c r="D1557" t="s">
        <v>2399</v>
      </c>
      <c r="F1557">
        <v>526735328</v>
      </c>
      <c r="G1557">
        <v>403482454</v>
      </c>
      <c r="H1557">
        <v>416813783</v>
      </c>
      <c r="P1557">
        <v>88</v>
      </c>
      <c r="Q1557" t="s">
        <v>3423</v>
      </c>
    </row>
    <row r="1558" spans="1:17" x14ac:dyDescent="0.3">
      <c r="A1558" t="s">
        <v>17</v>
      </c>
      <c r="B1558" t="str">
        <f>"603933"</f>
        <v>603933</v>
      </c>
      <c r="C1558" t="s">
        <v>3424</v>
      </c>
      <c r="D1558" t="s">
        <v>651</v>
      </c>
      <c r="F1558">
        <v>1481277313</v>
      </c>
      <c r="G1558">
        <v>1048651184</v>
      </c>
      <c r="H1558">
        <v>1106348410</v>
      </c>
      <c r="I1558">
        <v>1308225070</v>
      </c>
      <c r="J1558">
        <v>1317775542</v>
      </c>
      <c r="K1558">
        <v>1065731173</v>
      </c>
      <c r="P1558">
        <v>122</v>
      </c>
      <c r="Q1558" t="s">
        <v>3425</v>
      </c>
    </row>
    <row r="1559" spans="1:17" x14ac:dyDescent="0.3">
      <c r="A1559" t="s">
        <v>17</v>
      </c>
      <c r="B1559" t="str">
        <f>"603936"</f>
        <v>603936</v>
      </c>
      <c r="C1559" t="s">
        <v>3426</v>
      </c>
      <c r="D1559" t="s">
        <v>425</v>
      </c>
      <c r="F1559">
        <v>1722465850</v>
      </c>
      <c r="G1559">
        <v>1518795353</v>
      </c>
      <c r="H1559">
        <v>1365207678</v>
      </c>
      <c r="I1559">
        <v>1194693652</v>
      </c>
      <c r="J1559">
        <v>856754816</v>
      </c>
      <c r="K1559">
        <v>946414655</v>
      </c>
      <c r="P1559">
        <v>222</v>
      </c>
      <c r="Q1559" t="s">
        <v>3427</v>
      </c>
    </row>
    <row r="1560" spans="1:17" x14ac:dyDescent="0.3">
      <c r="A1560" t="s">
        <v>17</v>
      </c>
      <c r="B1560" t="str">
        <f>"603937"</f>
        <v>603937</v>
      </c>
      <c r="C1560" t="s">
        <v>3428</v>
      </c>
      <c r="D1560" t="s">
        <v>504</v>
      </c>
      <c r="F1560">
        <v>850937545</v>
      </c>
      <c r="G1560">
        <v>580781785</v>
      </c>
      <c r="H1560">
        <v>826410086</v>
      </c>
      <c r="I1560">
        <v>652249559</v>
      </c>
      <c r="J1560">
        <v>589517673</v>
      </c>
      <c r="K1560">
        <v>526143354</v>
      </c>
      <c r="P1560">
        <v>61</v>
      </c>
      <c r="Q1560" t="s">
        <v>3429</v>
      </c>
    </row>
    <row r="1561" spans="1:17" x14ac:dyDescent="0.3">
      <c r="A1561" t="s">
        <v>17</v>
      </c>
      <c r="B1561" t="str">
        <f>"603938"</f>
        <v>603938</v>
      </c>
      <c r="C1561" t="s">
        <v>3430</v>
      </c>
      <c r="D1561" t="s">
        <v>3431</v>
      </c>
      <c r="F1561">
        <v>910514187</v>
      </c>
      <c r="G1561">
        <v>767043934</v>
      </c>
      <c r="H1561">
        <v>677967600</v>
      </c>
      <c r="I1561">
        <v>652989338</v>
      </c>
      <c r="J1561">
        <v>397213943</v>
      </c>
      <c r="K1561">
        <v>333360586</v>
      </c>
      <c r="P1561">
        <v>102</v>
      </c>
      <c r="Q1561" t="s">
        <v>3432</v>
      </c>
    </row>
    <row r="1562" spans="1:17" x14ac:dyDescent="0.3">
      <c r="A1562" t="s">
        <v>17</v>
      </c>
      <c r="B1562" t="str">
        <f>"603939"</f>
        <v>603939</v>
      </c>
      <c r="C1562" t="s">
        <v>3433</v>
      </c>
      <c r="D1562" t="s">
        <v>1684</v>
      </c>
      <c r="F1562">
        <v>11488400656</v>
      </c>
      <c r="G1562">
        <v>10120789651</v>
      </c>
      <c r="H1562">
        <v>8147175414</v>
      </c>
      <c r="I1562">
        <v>5254383812</v>
      </c>
      <c r="J1562">
        <v>3869406466</v>
      </c>
      <c r="K1562">
        <v>2979781615</v>
      </c>
      <c r="L1562">
        <v>2288101470</v>
      </c>
      <c r="M1562">
        <v>1830370132</v>
      </c>
      <c r="P1562">
        <v>1482</v>
      </c>
      <c r="Q1562" t="s">
        <v>3434</v>
      </c>
    </row>
    <row r="1563" spans="1:17" x14ac:dyDescent="0.3">
      <c r="A1563" t="s">
        <v>17</v>
      </c>
      <c r="B1563" t="str">
        <f>"603948"</f>
        <v>603948</v>
      </c>
      <c r="C1563" t="s">
        <v>3435</v>
      </c>
      <c r="D1563" t="s">
        <v>386</v>
      </c>
      <c r="F1563">
        <v>1264811331</v>
      </c>
      <c r="G1563">
        <v>783236435</v>
      </c>
      <c r="H1563">
        <v>757261215</v>
      </c>
      <c r="P1563">
        <v>60</v>
      </c>
      <c r="Q1563" t="s">
        <v>3436</v>
      </c>
    </row>
    <row r="1564" spans="1:17" x14ac:dyDescent="0.3">
      <c r="A1564" t="s">
        <v>17</v>
      </c>
      <c r="B1564" t="str">
        <f>"603949"</f>
        <v>603949</v>
      </c>
      <c r="C1564" t="s">
        <v>3437</v>
      </c>
      <c r="D1564" t="s">
        <v>348</v>
      </c>
      <c r="F1564">
        <v>371890020</v>
      </c>
      <c r="G1564">
        <v>204364071</v>
      </c>
      <c r="H1564">
        <v>227076836</v>
      </c>
      <c r="I1564">
        <v>234245060</v>
      </c>
      <c r="P1564">
        <v>158</v>
      </c>
      <c r="Q1564" t="s">
        <v>3438</v>
      </c>
    </row>
    <row r="1565" spans="1:17" x14ac:dyDescent="0.3">
      <c r="A1565" t="s">
        <v>17</v>
      </c>
      <c r="B1565" t="str">
        <f>"603950"</f>
        <v>603950</v>
      </c>
      <c r="C1565" t="s">
        <v>3439</v>
      </c>
      <c r="D1565" t="s">
        <v>348</v>
      </c>
      <c r="F1565">
        <v>1183165981</v>
      </c>
      <c r="G1565">
        <v>860588231</v>
      </c>
      <c r="H1565">
        <v>617169175</v>
      </c>
      <c r="P1565">
        <v>97</v>
      </c>
      <c r="Q1565" t="s">
        <v>3440</v>
      </c>
    </row>
    <row r="1566" spans="1:17" x14ac:dyDescent="0.3">
      <c r="A1566" t="s">
        <v>17</v>
      </c>
      <c r="B1566" t="str">
        <f>"603955"</f>
        <v>603955</v>
      </c>
      <c r="C1566" t="s">
        <v>3441</v>
      </c>
      <c r="D1566" t="s">
        <v>2408</v>
      </c>
      <c r="F1566">
        <v>526855358</v>
      </c>
      <c r="G1566">
        <v>535949352</v>
      </c>
      <c r="H1566">
        <v>374585687</v>
      </c>
      <c r="I1566">
        <v>258922510</v>
      </c>
      <c r="J1566">
        <v>134228352</v>
      </c>
      <c r="K1566">
        <v>387977890</v>
      </c>
      <c r="L1566">
        <v>0</v>
      </c>
      <c r="P1566">
        <v>60</v>
      </c>
      <c r="Q1566" t="s">
        <v>3442</v>
      </c>
    </row>
    <row r="1567" spans="1:17" x14ac:dyDescent="0.3">
      <c r="A1567" t="s">
        <v>17</v>
      </c>
      <c r="B1567" t="str">
        <f>"603956"</f>
        <v>603956</v>
      </c>
      <c r="C1567" t="s">
        <v>3443</v>
      </c>
      <c r="D1567" t="s">
        <v>741</v>
      </c>
      <c r="F1567">
        <v>675903239</v>
      </c>
      <c r="G1567">
        <v>579218713</v>
      </c>
      <c r="H1567">
        <v>478442662</v>
      </c>
      <c r="I1567">
        <v>0</v>
      </c>
      <c r="J1567">
        <v>0</v>
      </c>
      <c r="P1567">
        <v>181</v>
      </c>
      <c r="Q1567" t="s">
        <v>3444</v>
      </c>
    </row>
    <row r="1568" spans="1:17" x14ac:dyDescent="0.3">
      <c r="A1568" t="s">
        <v>17</v>
      </c>
      <c r="B1568" t="str">
        <f>"603958"</f>
        <v>603958</v>
      </c>
      <c r="C1568" t="s">
        <v>3445</v>
      </c>
      <c r="D1568" t="s">
        <v>330</v>
      </c>
      <c r="F1568">
        <v>742005461</v>
      </c>
      <c r="G1568">
        <v>669202863</v>
      </c>
      <c r="H1568">
        <v>983555418</v>
      </c>
      <c r="I1568">
        <v>1134803950</v>
      </c>
      <c r="J1568">
        <v>1272602033</v>
      </c>
      <c r="K1568">
        <v>1470245390</v>
      </c>
      <c r="L1568">
        <v>1660372473</v>
      </c>
      <c r="P1568">
        <v>67</v>
      </c>
      <c r="Q1568" t="s">
        <v>3446</v>
      </c>
    </row>
    <row r="1569" spans="1:17" x14ac:dyDescent="0.3">
      <c r="A1569" t="s">
        <v>17</v>
      </c>
      <c r="B1569" t="str">
        <f>"603959"</f>
        <v>603959</v>
      </c>
      <c r="C1569" t="s">
        <v>3447</v>
      </c>
      <c r="D1569" t="s">
        <v>2019</v>
      </c>
      <c r="F1569">
        <v>816186258</v>
      </c>
      <c r="G1569">
        <v>595361532</v>
      </c>
      <c r="H1569">
        <v>594259302</v>
      </c>
      <c r="I1569">
        <v>531777848</v>
      </c>
      <c r="J1569">
        <v>177220678</v>
      </c>
      <c r="K1569">
        <v>136360815</v>
      </c>
      <c r="L1569">
        <v>231526091</v>
      </c>
      <c r="P1569">
        <v>80</v>
      </c>
      <c r="Q1569" t="s">
        <v>3448</v>
      </c>
    </row>
    <row r="1570" spans="1:17" x14ac:dyDescent="0.3">
      <c r="A1570" t="s">
        <v>17</v>
      </c>
      <c r="B1570" t="str">
        <f>"603960"</f>
        <v>603960</v>
      </c>
      <c r="C1570" t="s">
        <v>3449</v>
      </c>
      <c r="D1570" t="s">
        <v>3450</v>
      </c>
      <c r="F1570">
        <v>335237699</v>
      </c>
      <c r="G1570">
        <v>450037513</v>
      </c>
      <c r="H1570">
        <v>443428118</v>
      </c>
      <c r="I1570">
        <v>391282270</v>
      </c>
      <c r="J1570">
        <v>220115794</v>
      </c>
      <c r="K1570">
        <v>169400693</v>
      </c>
      <c r="P1570">
        <v>383</v>
      </c>
      <c r="Q1570" t="s">
        <v>3451</v>
      </c>
    </row>
    <row r="1571" spans="1:17" x14ac:dyDescent="0.3">
      <c r="A1571" t="s">
        <v>17</v>
      </c>
      <c r="B1571" t="str">
        <f>"603963"</f>
        <v>603963</v>
      </c>
      <c r="C1571" t="s">
        <v>3452</v>
      </c>
      <c r="D1571" t="s">
        <v>188</v>
      </c>
      <c r="F1571">
        <v>146754320</v>
      </c>
      <c r="G1571">
        <v>180933035</v>
      </c>
      <c r="H1571">
        <v>273974337</v>
      </c>
      <c r="I1571">
        <v>322976017</v>
      </c>
      <c r="J1571">
        <v>215921086</v>
      </c>
      <c r="K1571">
        <v>229080441</v>
      </c>
      <c r="P1571">
        <v>109</v>
      </c>
      <c r="Q1571" t="s">
        <v>3453</v>
      </c>
    </row>
    <row r="1572" spans="1:17" x14ac:dyDescent="0.3">
      <c r="A1572" t="s">
        <v>17</v>
      </c>
      <c r="B1572" t="str">
        <f>"603966"</f>
        <v>603966</v>
      </c>
      <c r="C1572" t="s">
        <v>3454</v>
      </c>
      <c r="D1572" t="s">
        <v>395</v>
      </c>
      <c r="F1572">
        <v>1393739842</v>
      </c>
      <c r="G1572">
        <v>1047723202</v>
      </c>
      <c r="H1572">
        <v>1022215625</v>
      </c>
      <c r="I1572">
        <v>735815136</v>
      </c>
      <c r="J1572">
        <v>504584286</v>
      </c>
      <c r="K1572">
        <v>372626557</v>
      </c>
      <c r="L1572">
        <v>0</v>
      </c>
      <c r="P1572">
        <v>122</v>
      </c>
      <c r="Q1572" t="s">
        <v>3455</v>
      </c>
    </row>
    <row r="1573" spans="1:17" x14ac:dyDescent="0.3">
      <c r="A1573" t="s">
        <v>17</v>
      </c>
      <c r="B1573" t="str">
        <f>"603967"</f>
        <v>603967</v>
      </c>
      <c r="C1573" t="s">
        <v>3456</v>
      </c>
      <c r="D1573" t="s">
        <v>287</v>
      </c>
      <c r="F1573">
        <v>7740876674</v>
      </c>
      <c r="G1573">
        <v>3440841209</v>
      </c>
      <c r="H1573">
        <v>3210965117</v>
      </c>
      <c r="I1573">
        <v>3203731782</v>
      </c>
      <c r="P1573">
        <v>85</v>
      </c>
      <c r="Q1573" t="s">
        <v>3457</v>
      </c>
    </row>
    <row r="1574" spans="1:17" x14ac:dyDescent="0.3">
      <c r="A1574" t="s">
        <v>17</v>
      </c>
      <c r="B1574" t="str">
        <f>"603968"</f>
        <v>603968</v>
      </c>
      <c r="C1574" t="s">
        <v>3458</v>
      </c>
      <c r="D1574" t="s">
        <v>677</v>
      </c>
      <c r="F1574">
        <v>1466595142</v>
      </c>
      <c r="G1574">
        <v>1302903386</v>
      </c>
      <c r="H1574">
        <v>1110735059</v>
      </c>
      <c r="I1574">
        <v>990757583</v>
      </c>
      <c r="J1574">
        <v>752551158</v>
      </c>
      <c r="K1574">
        <v>750923723</v>
      </c>
      <c r="L1574">
        <v>732197518</v>
      </c>
      <c r="M1574">
        <v>806937062</v>
      </c>
      <c r="P1574">
        <v>244</v>
      </c>
      <c r="Q1574" t="s">
        <v>3459</v>
      </c>
    </row>
    <row r="1575" spans="1:17" x14ac:dyDescent="0.3">
      <c r="A1575" t="s">
        <v>17</v>
      </c>
      <c r="B1575" t="str">
        <f>"603969"</f>
        <v>603969</v>
      </c>
      <c r="C1575" t="s">
        <v>3460</v>
      </c>
      <c r="D1575" t="s">
        <v>274</v>
      </c>
      <c r="F1575">
        <v>2221416953</v>
      </c>
      <c r="G1575">
        <v>1817296202</v>
      </c>
      <c r="H1575">
        <v>1699108416</v>
      </c>
      <c r="I1575">
        <v>1489281451</v>
      </c>
      <c r="J1575">
        <v>1230150525</v>
      </c>
      <c r="K1575">
        <v>774965970</v>
      </c>
      <c r="L1575">
        <v>895613798</v>
      </c>
      <c r="M1575">
        <v>1619336971</v>
      </c>
      <c r="P1575">
        <v>94</v>
      </c>
      <c r="Q1575" t="s">
        <v>3461</v>
      </c>
    </row>
    <row r="1576" spans="1:17" x14ac:dyDescent="0.3">
      <c r="A1576" t="s">
        <v>17</v>
      </c>
      <c r="B1576" t="str">
        <f>"603970"</f>
        <v>603970</v>
      </c>
      <c r="C1576" t="s">
        <v>3462</v>
      </c>
      <c r="D1576" t="s">
        <v>853</v>
      </c>
      <c r="F1576">
        <v>6012503123</v>
      </c>
      <c r="G1576">
        <v>4131588864</v>
      </c>
      <c r="H1576">
        <v>3194535608</v>
      </c>
      <c r="I1576">
        <v>2745045129</v>
      </c>
      <c r="J1576">
        <v>2808539076</v>
      </c>
      <c r="K1576">
        <v>2547389934</v>
      </c>
      <c r="P1576">
        <v>90</v>
      </c>
      <c r="Q1576" t="s">
        <v>3463</v>
      </c>
    </row>
    <row r="1577" spans="1:17" x14ac:dyDescent="0.3">
      <c r="A1577" t="s">
        <v>17</v>
      </c>
      <c r="B1577" t="str">
        <f>"603976"</f>
        <v>603976</v>
      </c>
      <c r="C1577" t="s">
        <v>3464</v>
      </c>
      <c r="D1577" t="s">
        <v>1077</v>
      </c>
      <c r="F1577">
        <v>482968826</v>
      </c>
      <c r="G1577">
        <v>368486531</v>
      </c>
      <c r="H1577">
        <v>342735237</v>
      </c>
      <c r="I1577">
        <v>330068530</v>
      </c>
      <c r="J1577">
        <v>253789958</v>
      </c>
      <c r="K1577">
        <v>236258063</v>
      </c>
      <c r="P1577">
        <v>216</v>
      </c>
      <c r="Q1577" t="s">
        <v>3465</v>
      </c>
    </row>
    <row r="1578" spans="1:17" x14ac:dyDescent="0.3">
      <c r="A1578" t="s">
        <v>17</v>
      </c>
      <c r="B1578" t="str">
        <f>"603977"</f>
        <v>603977</v>
      </c>
      <c r="C1578" t="s">
        <v>3466</v>
      </c>
      <c r="D1578" t="s">
        <v>2713</v>
      </c>
      <c r="F1578">
        <v>1221234839</v>
      </c>
      <c r="G1578">
        <v>1164314312</v>
      </c>
      <c r="H1578">
        <v>1017369033</v>
      </c>
      <c r="I1578">
        <v>462049230</v>
      </c>
      <c r="J1578">
        <v>377727483</v>
      </c>
      <c r="K1578">
        <v>330071939</v>
      </c>
      <c r="L1578">
        <v>474163360</v>
      </c>
      <c r="P1578">
        <v>87</v>
      </c>
      <c r="Q1578" t="s">
        <v>3467</v>
      </c>
    </row>
    <row r="1579" spans="1:17" x14ac:dyDescent="0.3">
      <c r="A1579" t="s">
        <v>17</v>
      </c>
      <c r="B1579" t="str">
        <f>"603978"</f>
        <v>603978</v>
      </c>
      <c r="C1579" t="s">
        <v>3468</v>
      </c>
      <c r="D1579" t="s">
        <v>581</v>
      </c>
      <c r="F1579">
        <v>795419686</v>
      </c>
      <c r="G1579">
        <v>435404775</v>
      </c>
      <c r="H1579">
        <v>540825621</v>
      </c>
      <c r="I1579">
        <v>664955626</v>
      </c>
      <c r="J1579">
        <v>484109533</v>
      </c>
      <c r="K1579">
        <v>331186146</v>
      </c>
      <c r="P1579">
        <v>112</v>
      </c>
      <c r="Q1579" t="s">
        <v>3469</v>
      </c>
    </row>
    <row r="1580" spans="1:17" x14ac:dyDescent="0.3">
      <c r="A1580" t="s">
        <v>17</v>
      </c>
      <c r="B1580" t="str">
        <f>"603979"</f>
        <v>603979</v>
      </c>
      <c r="C1580" t="s">
        <v>3470</v>
      </c>
      <c r="D1580" t="s">
        <v>1986</v>
      </c>
      <c r="F1580">
        <v>3755849281</v>
      </c>
      <c r="G1580">
        <v>2293994367</v>
      </c>
      <c r="H1580">
        <v>2040151838</v>
      </c>
      <c r="I1580">
        <v>1639114364</v>
      </c>
      <c r="J1580">
        <v>1211478352</v>
      </c>
      <c r="K1580">
        <v>1306397891</v>
      </c>
      <c r="L1580">
        <v>1411553064</v>
      </c>
      <c r="M1580">
        <v>1526521806</v>
      </c>
      <c r="P1580">
        <v>122</v>
      </c>
      <c r="Q1580" t="s">
        <v>3471</v>
      </c>
    </row>
    <row r="1581" spans="1:17" x14ac:dyDescent="0.3">
      <c r="A1581" t="s">
        <v>17</v>
      </c>
      <c r="B1581" t="str">
        <f>"603980"</f>
        <v>603980</v>
      </c>
      <c r="C1581" t="s">
        <v>3472</v>
      </c>
      <c r="D1581" t="s">
        <v>779</v>
      </c>
      <c r="F1581">
        <v>603557850</v>
      </c>
      <c r="G1581">
        <v>644044124</v>
      </c>
      <c r="H1581">
        <v>1191373554</v>
      </c>
      <c r="I1581">
        <v>850028991</v>
      </c>
      <c r="J1581">
        <v>1090790037</v>
      </c>
      <c r="K1581">
        <v>1065939504</v>
      </c>
      <c r="P1581">
        <v>195</v>
      </c>
      <c r="Q1581" t="s">
        <v>3473</v>
      </c>
    </row>
    <row r="1582" spans="1:17" x14ac:dyDescent="0.3">
      <c r="A1582" t="s">
        <v>17</v>
      </c>
      <c r="B1582" t="str">
        <f>"603982"</f>
        <v>603982</v>
      </c>
      <c r="C1582" t="s">
        <v>3474</v>
      </c>
      <c r="D1582" t="s">
        <v>348</v>
      </c>
      <c r="F1582">
        <v>1291993716</v>
      </c>
      <c r="G1582">
        <v>949608197</v>
      </c>
      <c r="H1582">
        <v>1035776467</v>
      </c>
      <c r="I1582">
        <v>906840973</v>
      </c>
      <c r="P1582">
        <v>122</v>
      </c>
      <c r="Q1582" t="s">
        <v>3475</v>
      </c>
    </row>
    <row r="1583" spans="1:17" x14ac:dyDescent="0.3">
      <c r="A1583" t="s">
        <v>17</v>
      </c>
      <c r="B1583" t="str">
        <f>"603983"</f>
        <v>603983</v>
      </c>
      <c r="C1583" t="s">
        <v>3476</v>
      </c>
      <c r="D1583" t="s">
        <v>709</v>
      </c>
      <c r="F1583">
        <v>1168329765</v>
      </c>
      <c r="G1583">
        <v>1186404542</v>
      </c>
      <c r="H1583">
        <v>1384745509</v>
      </c>
      <c r="I1583">
        <v>1258757404</v>
      </c>
      <c r="P1583">
        <v>898</v>
      </c>
      <c r="Q1583" t="s">
        <v>3477</v>
      </c>
    </row>
    <row r="1584" spans="1:17" x14ac:dyDescent="0.3">
      <c r="A1584" t="s">
        <v>17</v>
      </c>
      <c r="B1584" t="str">
        <f>"603985"</f>
        <v>603985</v>
      </c>
      <c r="C1584" t="s">
        <v>3478</v>
      </c>
      <c r="D1584" t="s">
        <v>274</v>
      </c>
      <c r="F1584">
        <v>1037528368</v>
      </c>
      <c r="G1584">
        <v>1118066855</v>
      </c>
      <c r="H1584">
        <v>721261711</v>
      </c>
      <c r="I1584">
        <v>486679843</v>
      </c>
      <c r="J1584">
        <v>463944545</v>
      </c>
      <c r="K1584">
        <v>363628647</v>
      </c>
      <c r="P1584">
        <v>218</v>
      </c>
      <c r="Q1584" t="s">
        <v>3479</v>
      </c>
    </row>
    <row r="1585" spans="1:17" x14ac:dyDescent="0.3">
      <c r="A1585" t="s">
        <v>17</v>
      </c>
      <c r="B1585" t="str">
        <f>"603986"</f>
        <v>603986</v>
      </c>
      <c r="C1585" t="s">
        <v>3480</v>
      </c>
      <c r="D1585" t="s">
        <v>461</v>
      </c>
      <c r="F1585">
        <v>6331269408</v>
      </c>
      <c r="G1585">
        <v>3022043517</v>
      </c>
      <c r="H1585">
        <v>2192694217</v>
      </c>
      <c r="I1585">
        <v>1712200120</v>
      </c>
      <c r="J1585">
        <v>1530196898</v>
      </c>
      <c r="K1585">
        <v>1084419860</v>
      </c>
      <c r="L1585">
        <v>815964727</v>
      </c>
      <c r="P1585">
        <v>2706</v>
      </c>
      <c r="Q1585" t="s">
        <v>3481</v>
      </c>
    </row>
    <row r="1586" spans="1:17" x14ac:dyDescent="0.3">
      <c r="A1586" t="s">
        <v>17</v>
      </c>
      <c r="B1586" t="str">
        <f>"603987"</f>
        <v>603987</v>
      </c>
      <c r="C1586" t="s">
        <v>3482</v>
      </c>
      <c r="D1586" t="s">
        <v>1077</v>
      </c>
      <c r="F1586">
        <v>2141398142</v>
      </c>
      <c r="G1586">
        <v>1896306501</v>
      </c>
      <c r="H1586">
        <v>1220276345</v>
      </c>
      <c r="I1586">
        <v>1007976377</v>
      </c>
      <c r="J1586">
        <v>857768244</v>
      </c>
      <c r="K1586">
        <v>742297587</v>
      </c>
      <c r="L1586">
        <v>715476896</v>
      </c>
      <c r="P1586">
        <v>266</v>
      </c>
      <c r="Q1586" t="s">
        <v>3483</v>
      </c>
    </row>
    <row r="1587" spans="1:17" x14ac:dyDescent="0.3">
      <c r="A1587" t="s">
        <v>17</v>
      </c>
      <c r="B1587" t="str">
        <f>"603988"</f>
        <v>603988</v>
      </c>
      <c r="C1587" t="s">
        <v>3484</v>
      </c>
      <c r="D1587" t="s">
        <v>1171</v>
      </c>
      <c r="F1587">
        <v>391798042</v>
      </c>
      <c r="G1587">
        <v>329215146</v>
      </c>
      <c r="H1587">
        <v>226528875</v>
      </c>
      <c r="I1587">
        <v>208707857</v>
      </c>
      <c r="J1587">
        <v>224859143</v>
      </c>
      <c r="K1587">
        <v>131509065</v>
      </c>
      <c r="L1587">
        <v>76383765</v>
      </c>
      <c r="M1587">
        <v>172718952</v>
      </c>
      <c r="N1587">
        <v>174665945</v>
      </c>
      <c r="P1587">
        <v>192</v>
      </c>
      <c r="Q1587" t="s">
        <v>3485</v>
      </c>
    </row>
    <row r="1588" spans="1:17" x14ac:dyDescent="0.3">
      <c r="A1588" t="s">
        <v>17</v>
      </c>
      <c r="B1588" t="str">
        <f>"603989"</f>
        <v>603989</v>
      </c>
      <c r="C1588" t="s">
        <v>3486</v>
      </c>
      <c r="D1588" t="s">
        <v>546</v>
      </c>
      <c r="F1588">
        <v>1620667885</v>
      </c>
      <c r="G1588">
        <v>1242211676</v>
      </c>
      <c r="H1588">
        <v>1087201087</v>
      </c>
      <c r="I1588">
        <v>1695947375</v>
      </c>
      <c r="J1588">
        <v>1474945398</v>
      </c>
      <c r="K1588">
        <v>1137723402</v>
      </c>
      <c r="L1588">
        <v>1090428014</v>
      </c>
      <c r="M1588">
        <v>987997163</v>
      </c>
      <c r="P1588">
        <v>12177</v>
      </c>
      <c r="Q1588" t="s">
        <v>3487</v>
      </c>
    </row>
    <row r="1589" spans="1:17" x14ac:dyDescent="0.3">
      <c r="A1589" t="s">
        <v>17</v>
      </c>
      <c r="B1589" t="str">
        <f>"603990"</f>
        <v>603990</v>
      </c>
      <c r="C1589" t="s">
        <v>3488</v>
      </c>
      <c r="D1589" t="s">
        <v>945</v>
      </c>
      <c r="F1589">
        <v>245859551</v>
      </c>
      <c r="G1589">
        <v>182205581</v>
      </c>
      <c r="H1589">
        <v>182995209</v>
      </c>
      <c r="I1589">
        <v>185472129</v>
      </c>
      <c r="J1589">
        <v>147018523</v>
      </c>
      <c r="K1589">
        <v>139242920</v>
      </c>
      <c r="L1589">
        <v>0</v>
      </c>
      <c r="P1589">
        <v>143</v>
      </c>
      <c r="Q1589" t="s">
        <v>3489</v>
      </c>
    </row>
    <row r="1590" spans="1:17" x14ac:dyDescent="0.3">
      <c r="A1590" t="s">
        <v>17</v>
      </c>
      <c r="B1590" t="str">
        <f>"603991"</f>
        <v>603991</v>
      </c>
      <c r="C1590" t="s">
        <v>3490</v>
      </c>
      <c r="D1590" t="s">
        <v>1192</v>
      </c>
      <c r="F1590">
        <v>112007934</v>
      </c>
      <c r="G1590">
        <v>261488500</v>
      </c>
      <c r="H1590">
        <v>295762600</v>
      </c>
      <c r="I1590">
        <v>277246457</v>
      </c>
      <c r="J1590">
        <v>272695899</v>
      </c>
      <c r="K1590">
        <v>278548567</v>
      </c>
      <c r="P1590">
        <v>96</v>
      </c>
      <c r="Q1590" t="s">
        <v>3491</v>
      </c>
    </row>
    <row r="1591" spans="1:17" x14ac:dyDescent="0.3">
      <c r="A1591" t="s">
        <v>17</v>
      </c>
      <c r="B1591" t="str">
        <f>"603992"</f>
        <v>603992</v>
      </c>
      <c r="C1591" t="s">
        <v>3492</v>
      </c>
      <c r="D1591" t="s">
        <v>2885</v>
      </c>
      <c r="F1591">
        <v>2024688417</v>
      </c>
      <c r="G1591">
        <v>1483724211</v>
      </c>
      <c r="H1591">
        <v>1284740585</v>
      </c>
      <c r="I1591">
        <v>1357481725</v>
      </c>
      <c r="P1591">
        <v>120</v>
      </c>
      <c r="Q1591" t="s">
        <v>3493</v>
      </c>
    </row>
    <row r="1592" spans="1:17" x14ac:dyDescent="0.3">
      <c r="A1592" t="s">
        <v>17</v>
      </c>
      <c r="B1592" t="str">
        <f>"603993"</f>
        <v>603993</v>
      </c>
      <c r="C1592" t="s">
        <v>3494</v>
      </c>
      <c r="D1592" t="s">
        <v>2354</v>
      </c>
      <c r="F1592">
        <v>127569827527</v>
      </c>
      <c r="G1592">
        <v>84265362012</v>
      </c>
      <c r="H1592">
        <v>32193929554</v>
      </c>
      <c r="I1592">
        <v>22088327000</v>
      </c>
      <c r="J1592">
        <v>17426804100</v>
      </c>
      <c r="K1592">
        <v>3934667125</v>
      </c>
      <c r="L1592">
        <v>4042157168</v>
      </c>
      <c r="M1592">
        <v>4873081111</v>
      </c>
      <c r="N1592">
        <v>4019414343</v>
      </c>
      <c r="O1592">
        <v>4813457105</v>
      </c>
      <c r="P1592">
        <v>1125</v>
      </c>
      <c r="Q1592" t="s">
        <v>3495</v>
      </c>
    </row>
    <row r="1593" spans="1:17" x14ac:dyDescent="0.3">
      <c r="A1593" t="s">
        <v>17</v>
      </c>
      <c r="B1593" t="str">
        <f>"603995"</f>
        <v>603995</v>
      </c>
      <c r="C1593" t="s">
        <v>3496</v>
      </c>
      <c r="D1593" t="s">
        <v>281</v>
      </c>
      <c r="F1593">
        <v>24595001049</v>
      </c>
      <c r="G1593">
        <v>15164269068</v>
      </c>
      <c r="H1593">
        <v>12541023534</v>
      </c>
      <c r="I1593">
        <v>13057356197</v>
      </c>
      <c r="P1593">
        <v>128</v>
      </c>
      <c r="Q1593" t="s">
        <v>3497</v>
      </c>
    </row>
    <row r="1594" spans="1:17" x14ac:dyDescent="0.3">
      <c r="A1594" t="s">
        <v>17</v>
      </c>
      <c r="B1594" t="str">
        <f>"603996"</f>
        <v>603996</v>
      </c>
      <c r="C1594" t="s">
        <v>3498</v>
      </c>
      <c r="D1594" t="s">
        <v>3499</v>
      </c>
      <c r="F1594">
        <v>1131180</v>
      </c>
      <c r="G1594">
        <v>75664396</v>
      </c>
      <c r="H1594">
        <v>1201746055</v>
      </c>
      <c r="I1594">
        <v>5404988294</v>
      </c>
      <c r="J1594">
        <v>3149907364</v>
      </c>
      <c r="K1594">
        <v>1923274291</v>
      </c>
      <c r="L1594">
        <v>0</v>
      </c>
      <c r="M1594">
        <v>0</v>
      </c>
      <c r="P1594">
        <v>71</v>
      </c>
      <c r="Q1594" t="s">
        <v>3500</v>
      </c>
    </row>
    <row r="1595" spans="1:17" x14ac:dyDescent="0.3">
      <c r="A1595" t="s">
        <v>17</v>
      </c>
      <c r="B1595" t="str">
        <f>"603997"</f>
        <v>603997</v>
      </c>
      <c r="C1595" t="s">
        <v>3501</v>
      </c>
      <c r="D1595" t="s">
        <v>191</v>
      </c>
      <c r="F1595">
        <v>13534889610</v>
      </c>
      <c r="G1595">
        <v>12009615417</v>
      </c>
      <c r="H1595">
        <v>1429613922</v>
      </c>
      <c r="I1595">
        <v>1623101268</v>
      </c>
      <c r="J1595">
        <v>1545113612</v>
      </c>
      <c r="K1595">
        <v>1055147803</v>
      </c>
      <c r="L1595">
        <v>912160787</v>
      </c>
      <c r="M1595">
        <v>773103668</v>
      </c>
      <c r="P1595">
        <v>248</v>
      </c>
      <c r="Q1595" t="s">
        <v>3502</v>
      </c>
    </row>
    <row r="1596" spans="1:17" x14ac:dyDescent="0.3">
      <c r="A1596" t="s">
        <v>17</v>
      </c>
      <c r="B1596" t="str">
        <f>"603998"</f>
        <v>603998</v>
      </c>
      <c r="C1596" t="s">
        <v>3503</v>
      </c>
      <c r="D1596" t="s">
        <v>188</v>
      </c>
      <c r="F1596">
        <v>1088366622</v>
      </c>
      <c r="G1596">
        <v>915648000</v>
      </c>
      <c r="H1596">
        <v>807732993</v>
      </c>
      <c r="I1596">
        <v>772953221</v>
      </c>
      <c r="J1596">
        <v>478029228</v>
      </c>
      <c r="K1596">
        <v>338429039</v>
      </c>
      <c r="L1596">
        <v>325331005</v>
      </c>
      <c r="M1596">
        <v>296566323</v>
      </c>
      <c r="N1596">
        <v>280346771</v>
      </c>
      <c r="P1596">
        <v>126</v>
      </c>
      <c r="Q1596" t="s">
        <v>3504</v>
      </c>
    </row>
    <row r="1597" spans="1:17" x14ac:dyDescent="0.3">
      <c r="A1597" t="s">
        <v>17</v>
      </c>
      <c r="B1597" t="str">
        <f>"603999"</f>
        <v>603999</v>
      </c>
      <c r="C1597" t="s">
        <v>3505</v>
      </c>
      <c r="D1597" t="s">
        <v>525</v>
      </c>
      <c r="F1597">
        <v>521819034</v>
      </c>
      <c r="G1597">
        <v>482170498</v>
      </c>
      <c r="H1597">
        <v>361621118</v>
      </c>
      <c r="I1597">
        <v>355000085</v>
      </c>
      <c r="J1597">
        <v>336314425</v>
      </c>
      <c r="K1597">
        <v>318996319</v>
      </c>
      <c r="L1597">
        <v>0</v>
      </c>
      <c r="M1597">
        <v>0</v>
      </c>
      <c r="P1597">
        <v>85</v>
      </c>
      <c r="Q1597" t="s">
        <v>3506</v>
      </c>
    </row>
    <row r="1598" spans="1:17" x14ac:dyDescent="0.3">
      <c r="A1598" t="s">
        <v>17</v>
      </c>
      <c r="B1598" t="str">
        <f>"605001"</f>
        <v>605001</v>
      </c>
      <c r="C1598" t="s">
        <v>3507</v>
      </c>
      <c r="D1598" t="s">
        <v>1012</v>
      </c>
      <c r="F1598">
        <v>608599947</v>
      </c>
      <c r="G1598">
        <v>760293844</v>
      </c>
      <c r="H1598">
        <v>816251789</v>
      </c>
      <c r="P1598">
        <v>48</v>
      </c>
      <c r="Q1598" t="s">
        <v>3508</v>
      </c>
    </row>
    <row r="1599" spans="1:17" x14ac:dyDescent="0.3">
      <c r="A1599" t="s">
        <v>17</v>
      </c>
      <c r="B1599" t="str">
        <f>"605003"</f>
        <v>605003</v>
      </c>
      <c r="C1599" t="s">
        <v>3509</v>
      </c>
      <c r="D1599" t="s">
        <v>2862</v>
      </c>
      <c r="F1599">
        <v>426905228</v>
      </c>
      <c r="G1599">
        <v>334563557</v>
      </c>
      <c r="H1599">
        <v>334048564</v>
      </c>
      <c r="P1599">
        <v>75</v>
      </c>
      <c r="Q1599" t="s">
        <v>3510</v>
      </c>
    </row>
    <row r="1600" spans="1:17" x14ac:dyDescent="0.3">
      <c r="A1600" t="s">
        <v>17</v>
      </c>
      <c r="B1600" t="str">
        <f>"605005"</f>
        <v>605005</v>
      </c>
      <c r="C1600" t="s">
        <v>3511</v>
      </c>
      <c r="D1600" t="s">
        <v>1415</v>
      </c>
      <c r="F1600">
        <v>1145103388</v>
      </c>
      <c r="G1600">
        <v>822534324</v>
      </c>
      <c r="H1600">
        <v>908740635</v>
      </c>
      <c r="P1600">
        <v>62</v>
      </c>
      <c r="Q1600" t="s">
        <v>3512</v>
      </c>
    </row>
    <row r="1601" spans="1:17" x14ac:dyDescent="0.3">
      <c r="A1601" t="s">
        <v>17</v>
      </c>
      <c r="B1601" t="str">
        <f>"605006"</f>
        <v>605006</v>
      </c>
      <c r="C1601" t="s">
        <v>3513</v>
      </c>
      <c r="D1601" t="s">
        <v>411</v>
      </c>
      <c r="F1601">
        <v>1230918296</v>
      </c>
      <c r="G1601">
        <v>549991235</v>
      </c>
      <c r="H1601">
        <v>591475360</v>
      </c>
      <c r="P1601">
        <v>121</v>
      </c>
      <c r="Q1601" t="s">
        <v>3514</v>
      </c>
    </row>
    <row r="1602" spans="1:17" x14ac:dyDescent="0.3">
      <c r="A1602" t="s">
        <v>17</v>
      </c>
      <c r="B1602" t="str">
        <f>"605007"</f>
        <v>605007</v>
      </c>
      <c r="C1602" t="s">
        <v>3515</v>
      </c>
      <c r="D1602" t="s">
        <v>244</v>
      </c>
      <c r="F1602">
        <v>2367994827</v>
      </c>
      <c r="G1602">
        <v>1839510938</v>
      </c>
      <c r="H1602">
        <v>1629151118</v>
      </c>
      <c r="P1602">
        <v>81</v>
      </c>
      <c r="Q1602" t="s">
        <v>3516</v>
      </c>
    </row>
    <row r="1603" spans="1:17" x14ac:dyDescent="0.3">
      <c r="A1603" t="s">
        <v>17</v>
      </c>
      <c r="B1603" t="str">
        <f>"605008"</f>
        <v>605008</v>
      </c>
      <c r="C1603" t="s">
        <v>3517</v>
      </c>
      <c r="D1603" t="s">
        <v>1192</v>
      </c>
      <c r="F1603">
        <v>1120772931</v>
      </c>
      <c r="G1603">
        <v>608119401</v>
      </c>
      <c r="H1603">
        <v>567179514</v>
      </c>
      <c r="P1603">
        <v>66</v>
      </c>
      <c r="Q1603" t="s">
        <v>3518</v>
      </c>
    </row>
    <row r="1604" spans="1:17" x14ac:dyDescent="0.3">
      <c r="A1604" t="s">
        <v>17</v>
      </c>
      <c r="B1604" t="str">
        <f>"605009"</f>
        <v>605009</v>
      </c>
      <c r="C1604" t="s">
        <v>3519</v>
      </c>
      <c r="D1604" t="s">
        <v>2728</v>
      </c>
      <c r="F1604">
        <v>1615245886</v>
      </c>
      <c r="G1604">
        <v>2243646099</v>
      </c>
      <c r="H1604">
        <v>1639393104</v>
      </c>
      <c r="P1604">
        <v>355</v>
      </c>
      <c r="Q1604" t="s">
        <v>3520</v>
      </c>
    </row>
    <row r="1605" spans="1:17" x14ac:dyDescent="0.3">
      <c r="A1605" t="s">
        <v>17</v>
      </c>
      <c r="B1605" t="str">
        <f>"605011"</f>
        <v>605011</v>
      </c>
      <c r="C1605" t="s">
        <v>3521</v>
      </c>
      <c r="D1605" t="s">
        <v>351</v>
      </c>
      <c r="F1605">
        <v>2335070302</v>
      </c>
      <c r="P1605">
        <v>27</v>
      </c>
      <c r="Q1605" t="s">
        <v>3522</v>
      </c>
    </row>
    <row r="1606" spans="1:17" x14ac:dyDescent="0.3">
      <c r="A1606" t="s">
        <v>17</v>
      </c>
      <c r="B1606" t="str">
        <f>"605016"</f>
        <v>605016</v>
      </c>
      <c r="C1606" t="s">
        <v>3523</v>
      </c>
      <c r="D1606" t="s">
        <v>677</v>
      </c>
      <c r="F1606">
        <v>444118286</v>
      </c>
      <c r="G1606">
        <v>368010970</v>
      </c>
      <c r="P1606">
        <v>65</v>
      </c>
      <c r="Q1606" t="s">
        <v>3524</v>
      </c>
    </row>
    <row r="1607" spans="1:17" x14ac:dyDescent="0.3">
      <c r="A1607" t="s">
        <v>17</v>
      </c>
      <c r="B1607" t="str">
        <f>"605018"</f>
        <v>605018</v>
      </c>
      <c r="C1607" t="s">
        <v>3525</v>
      </c>
      <c r="D1607" t="s">
        <v>985</v>
      </c>
      <c r="F1607">
        <v>1235729521</v>
      </c>
      <c r="G1607">
        <v>1105926673</v>
      </c>
      <c r="H1607">
        <v>1137781423</v>
      </c>
      <c r="P1607">
        <v>48</v>
      </c>
      <c r="Q1607" t="s">
        <v>3526</v>
      </c>
    </row>
    <row r="1608" spans="1:17" x14ac:dyDescent="0.3">
      <c r="A1608" t="s">
        <v>17</v>
      </c>
      <c r="B1608" t="str">
        <f>"605020"</f>
        <v>605020</v>
      </c>
      <c r="C1608" t="s">
        <v>3527</v>
      </c>
      <c r="D1608" t="s">
        <v>375</v>
      </c>
      <c r="F1608">
        <v>1546313170</v>
      </c>
      <c r="P1608">
        <v>33</v>
      </c>
      <c r="Q1608" t="s">
        <v>3528</v>
      </c>
    </row>
    <row r="1609" spans="1:17" x14ac:dyDescent="0.3">
      <c r="A1609" t="s">
        <v>17</v>
      </c>
      <c r="B1609" t="str">
        <f>"605028"</f>
        <v>605028</v>
      </c>
      <c r="C1609" t="s">
        <v>3529</v>
      </c>
      <c r="D1609" t="s">
        <v>351</v>
      </c>
      <c r="F1609">
        <v>280327500</v>
      </c>
      <c r="P1609">
        <v>46</v>
      </c>
      <c r="Q1609" t="s">
        <v>3530</v>
      </c>
    </row>
    <row r="1610" spans="1:17" x14ac:dyDescent="0.3">
      <c r="A1610" t="s">
        <v>17</v>
      </c>
      <c r="B1610" t="str">
        <f>"605033"</f>
        <v>605033</v>
      </c>
      <c r="C1610" t="s">
        <v>3531</v>
      </c>
      <c r="D1610" t="s">
        <v>853</v>
      </c>
      <c r="F1610">
        <v>380316845</v>
      </c>
      <c r="P1610">
        <v>14</v>
      </c>
      <c r="Q1610" t="s">
        <v>3532</v>
      </c>
    </row>
    <row r="1611" spans="1:17" x14ac:dyDescent="0.3">
      <c r="A1611" t="s">
        <v>17</v>
      </c>
      <c r="B1611" t="str">
        <f>"605050"</f>
        <v>605050</v>
      </c>
      <c r="C1611" t="s">
        <v>3533</v>
      </c>
      <c r="D1611" t="s">
        <v>128</v>
      </c>
      <c r="F1611">
        <v>6561803688</v>
      </c>
      <c r="G1611">
        <v>3647429380</v>
      </c>
      <c r="H1611">
        <v>3068154653</v>
      </c>
      <c r="P1611">
        <v>37</v>
      </c>
      <c r="Q1611" t="s">
        <v>3534</v>
      </c>
    </row>
    <row r="1612" spans="1:17" x14ac:dyDescent="0.3">
      <c r="A1612" t="s">
        <v>17</v>
      </c>
      <c r="B1612" t="str">
        <f>"605055"</f>
        <v>605055</v>
      </c>
      <c r="C1612" t="s">
        <v>3535</v>
      </c>
      <c r="D1612" t="s">
        <v>817</v>
      </c>
      <c r="F1612">
        <v>802650669</v>
      </c>
      <c r="G1612">
        <v>517879198</v>
      </c>
      <c r="H1612">
        <v>604272470</v>
      </c>
      <c r="P1612">
        <v>38</v>
      </c>
      <c r="Q1612" t="s">
        <v>3536</v>
      </c>
    </row>
    <row r="1613" spans="1:17" x14ac:dyDescent="0.3">
      <c r="A1613" t="s">
        <v>17</v>
      </c>
      <c r="B1613" t="str">
        <f>"605056"</f>
        <v>605056</v>
      </c>
      <c r="C1613" t="s">
        <v>3537</v>
      </c>
      <c r="D1613" t="s">
        <v>2551</v>
      </c>
      <c r="F1613">
        <v>1368982466</v>
      </c>
      <c r="G1613">
        <v>1489448581</v>
      </c>
      <c r="P1613">
        <v>21</v>
      </c>
      <c r="Q1613" t="s">
        <v>3538</v>
      </c>
    </row>
    <row r="1614" spans="1:17" x14ac:dyDescent="0.3">
      <c r="A1614" t="s">
        <v>17</v>
      </c>
      <c r="B1614" t="str">
        <f>"605058"</f>
        <v>605058</v>
      </c>
      <c r="C1614" t="s">
        <v>3539</v>
      </c>
      <c r="D1614" t="s">
        <v>425</v>
      </c>
      <c r="F1614">
        <v>483898713</v>
      </c>
      <c r="G1614">
        <v>360251668</v>
      </c>
      <c r="H1614">
        <v>356611958</v>
      </c>
      <c r="P1614">
        <v>48</v>
      </c>
      <c r="Q1614" t="s">
        <v>3540</v>
      </c>
    </row>
    <row r="1615" spans="1:17" x14ac:dyDescent="0.3">
      <c r="A1615" t="s">
        <v>17</v>
      </c>
      <c r="B1615" t="str">
        <f>"605060"</f>
        <v>605060</v>
      </c>
      <c r="C1615" t="s">
        <v>3541</v>
      </c>
      <c r="D1615" t="s">
        <v>560</v>
      </c>
      <c r="F1615">
        <v>522397845</v>
      </c>
      <c r="G1615">
        <v>445435150</v>
      </c>
      <c r="P1615">
        <v>43</v>
      </c>
      <c r="Q1615" t="s">
        <v>3542</v>
      </c>
    </row>
    <row r="1616" spans="1:17" x14ac:dyDescent="0.3">
      <c r="A1616" t="s">
        <v>17</v>
      </c>
      <c r="B1616" t="str">
        <f>"605066"</f>
        <v>605066</v>
      </c>
      <c r="C1616" t="s">
        <v>3543</v>
      </c>
      <c r="D1616" t="s">
        <v>657</v>
      </c>
      <c r="F1616">
        <v>1600637018</v>
      </c>
      <c r="G1616">
        <v>1142245019</v>
      </c>
      <c r="H1616">
        <v>1104393055</v>
      </c>
      <c r="P1616">
        <v>54</v>
      </c>
      <c r="Q1616" t="s">
        <v>3544</v>
      </c>
    </row>
    <row r="1617" spans="1:17" x14ac:dyDescent="0.3">
      <c r="A1617" t="s">
        <v>17</v>
      </c>
      <c r="B1617" t="str">
        <f>"605068"</f>
        <v>605068</v>
      </c>
      <c r="C1617" t="s">
        <v>3545</v>
      </c>
      <c r="D1617" t="s">
        <v>191</v>
      </c>
      <c r="F1617">
        <v>782620502</v>
      </c>
      <c r="G1617">
        <v>670873807</v>
      </c>
      <c r="H1617">
        <v>452770404</v>
      </c>
      <c r="P1617">
        <v>89</v>
      </c>
      <c r="Q1617" t="s">
        <v>3546</v>
      </c>
    </row>
    <row r="1618" spans="1:17" x14ac:dyDescent="0.3">
      <c r="A1618" t="s">
        <v>17</v>
      </c>
      <c r="B1618" t="str">
        <f>"605069"</f>
        <v>605069</v>
      </c>
      <c r="C1618" t="s">
        <v>3547</v>
      </c>
      <c r="D1618" t="s">
        <v>3548</v>
      </c>
      <c r="F1618">
        <v>519605687</v>
      </c>
      <c r="P1618">
        <v>16</v>
      </c>
      <c r="Q1618" t="s">
        <v>3549</v>
      </c>
    </row>
    <row r="1619" spans="1:17" x14ac:dyDescent="0.3">
      <c r="A1619" t="s">
        <v>17</v>
      </c>
      <c r="B1619" t="str">
        <f>"605077"</f>
        <v>605077</v>
      </c>
      <c r="C1619" t="s">
        <v>3550</v>
      </c>
      <c r="D1619" t="s">
        <v>677</v>
      </c>
      <c r="F1619">
        <v>1188838297</v>
      </c>
      <c r="G1619">
        <v>1051422911</v>
      </c>
      <c r="H1619">
        <v>1184739142</v>
      </c>
      <c r="P1619">
        <v>88</v>
      </c>
      <c r="Q1619" t="s">
        <v>3551</v>
      </c>
    </row>
    <row r="1620" spans="1:17" x14ac:dyDescent="0.3">
      <c r="A1620" t="s">
        <v>17</v>
      </c>
      <c r="B1620" t="str">
        <f>"605080"</f>
        <v>605080</v>
      </c>
      <c r="C1620" t="s">
        <v>3552</v>
      </c>
      <c r="D1620" t="s">
        <v>2904</v>
      </c>
      <c r="F1620">
        <v>666613415</v>
      </c>
      <c r="G1620">
        <v>460991540</v>
      </c>
      <c r="P1620">
        <v>47</v>
      </c>
      <c r="Q1620" t="s">
        <v>3553</v>
      </c>
    </row>
    <row r="1621" spans="1:17" x14ac:dyDescent="0.3">
      <c r="A1621" t="s">
        <v>17</v>
      </c>
      <c r="B1621" t="str">
        <f>"605081"</f>
        <v>605081</v>
      </c>
      <c r="C1621" t="s">
        <v>3554</v>
      </c>
      <c r="D1621" t="s">
        <v>33</v>
      </c>
      <c r="F1621">
        <v>132456170</v>
      </c>
      <c r="G1621">
        <v>205453706</v>
      </c>
      <c r="H1621">
        <v>149585577</v>
      </c>
      <c r="P1621">
        <v>30</v>
      </c>
      <c r="Q1621" t="s">
        <v>3555</v>
      </c>
    </row>
    <row r="1622" spans="1:17" x14ac:dyDescent="0.3">
      <c r="A1622" t="s">
        <v>17</v>
      </c>
      <c r="B1622" t="str">
        <f>"605086"</f>
        <v>605086</v>
      </c>
      <c r="C1622" t="s">
        <v>3556</v>
      </c>
      <c r="D1622" t="s">
        <v>2739</v>
      </c>
      <c r="F1622">
        <v>242327933</v>
      </c>
      <c r="G1622">
        <v>161093076</v>
      </c>
      <c r="P1622">
        <v>29</v>
      </c>
      <c r="Q1622" t="s">
        <v>3557</v>
      </c>
    </row>
    <row r="1623" spans="1:17" x14ac:dyDescent="0.3">
      <c r="A1623" t="s">
        <v>17</v>
      </c>
      <c r="B1623" t="str">
        <f>"605088"</f>
        <v>605088</v>
      </c>
      <c r="C1623" t="s">
        <v>3558</v>
      </c>
      <c r="D1623" t="s">
        <v>348</v>
      </c>
      <c r="F1623">
        <v>1716233685</v>
      </c>
      <c r="G1623">
        <v>1172135354</v>
      </c>
      <c r="H1623">
        <v>1361658128</v>
      </c>
      <c r="P1623">
        <v>47</v>
      </c>
      <c r="Q1623" t="s">
        <v>3559</v>
      </c>
    </row>
    <row r="1624" spans="1:17" x14ac:dyDescent="0.3">
      <c r="A1624" t="s">
        <v>17</v>
      </c>
      <c r="B1624" t="str">
        <f>"605089"</f>
        <v>605089</v>
      </c>
      <c r="C1624" t="s">
        <v>3560</v>
      </c>
      <c r="D1624" t="s">
        <v>2838</v>
      </c>
      <c r="F1624">
        <v>629608262</v>
      </c>
      <c r="G1624">
        <v>501422519</v>
      </c>
      <c r="P1624">
        <v>131</v>
      </c>
      <c r="Q1624" t="s">
        <v>3561</v>
      </c>
    </row>
    <row r="1625" spans="1:17" x14ac:dyDescent="0.3">
      <c r="A1625" t="s">
        <v>17</v>
      </c>
      <c r="B1625" t="str">
        <f>"605090"</f>
        <v>605090</v>
      </c>
      <c r="C1625" t="s">
        <v>3562</v>
      </c>
      <c r="D1625" t="s">
        <v>749</v>
      </c>
      <c r="F1625">
        <v>12148190906</v>
      </c>
      <c r="G1625">
        <v>6635513877</v>
      </c>
      <c r="P1625">
        <v>51</v>
      </c>
      <c r="Q1625" t="s">
        <v>3563</v>
      </c>
    </row>
    <row r="1626" spans="1:17" x14ac:dyDescent="0.3">
      <c r="A1626" t="s">
        <v>17</v>
      </c>
      <c r="B1626" t="str">
        <f>"605098"</f>
        <v>605098</v>
      </c>
      <c r="C1626" t="s">
        <v>3564</v>
      </c>
      <c r="D1626" t="s">
        <v>1336</v>
      </c>
      <c r="F1626">
        <v>446253036</v>
      </c>
      <c r="G1626">
        <v>293275202</v>
      </c>
      <c r="P1626">
        <v>53</v>
      </c>
      <c r="Q1626" t="s">
        <v>3565</v>
      </c>
    </row>
    <row r="1627" spans="1:17" x14ac:dyDescent="0.3">
      <c r="A1627" t="s">
        <v>17</v>
      </c>
      <c r="B1627" t="str">
        <f>"605099"</f>
        <v>605099</v>
      </c>
      <c r="C1627" t="s">
        <v>3566</v>
      </c>
      <c r="D1627" t="s">
        <v>2436</v>
      </c>
      <c r="F1627">
        <v>1701113583</v>
      </c>
      <c r="G1627">
        <v>1279374879</v>
      </c>
      <c r="H1627">
        <v>1176616134</v>
      </c>
      <c r="P1627">
        <v>166</v>
      </c>
      <c r="Q1627" t="s">
        <v>3567</v>
      </c>
    </row>
    <row r="1628" spans="1:17" x14ac:dyDescent="0.3">
      <c r="A1628" t="s">
        <v>17</v>
      </c>
      <c r="B1628" t="str">
        <f>"605100"</f>
        <v>605100</v>
      </c>
      <c r="C1628" t="s">
        <v>3568</v>
      </c>
      <c r="D1628" t="s">
        <v>274</v>
      </c>
      <c r="F1628">
        <v>614597363</v>
      </c>
      <c r="G1628">
        <v>565033351</v>
      </c>
      <c r="H1628">
        <v>378056950</v>
      </c>
      <c r="P1628">
        <v>60</v>
      </c>
      <c r="Q1628" t="s">
        <v>3569</v>
      </c>
    </row>
    <row r="1629" spans="1:17" x14ac:dyDescent="0.3">
      <c r="A1629" t="s">
        <v>17</v>
      </c>
      <c r="B1629" t="str">
        <f>"605108"</f>
        <v>605108</v>
      </c>
      <c r="C1629" t="s">
        <v>3570</v>
      </c>
      <c r="D1629" t="s">
        <v>3571</v>
      </c>
      <c r="F1629">
        <v>1191539194</v>
      </c>
      <c r="G1629">
        <v>818792834</v>
      </c>
      <c r="H1629">
        <v>1120931873</v>
      </c>
      <c r="P1629">
        <v>104</v>
      </c>
      <c r="Q1629" t="s">
        <v>3572</v>
      </c>
    </row>
    <row r="1630" spans="1:17" x14ac:dyDescent="0.3">
      <c r="A1630" t="s">
        <v>17</v>
      </c>
      <c r="B1630" t="str">
        <f>"605111"</f>
        <v>605111</v>
      </c>
      <c r="C1630" t="s">
        <v>3573</v>
      </c>
      <c r="D1630" t="s">
        <v>795</v>
      </c>
      <c r="F1630">
        <v>1297111370</v>
      </c>
      <c r="G1630">
        <v>648355920</v>
      </c>
      <c r="H1630">
        <v>477437998</v>
      </c>
      <c r="J1630">
        <v>369216948</v>
      </c>
      <c r="P1630">
        <v>332</v>
      </c>
      <c r="Q1630" t="s">
        <v>3574</v>
      </c>
    </row>
    <row r="1631" spans="1:17" x14ac:dyDescent="0.3">
      <c r="A1631" t="s">
        <v>17</v>
      </c>
      <c r="B1631" t="str">
        <f>"605116"</f>
        <v>605116</v>
      </c>
      <c r="C1631" t="s">
        <v>3575</v>
      </c>
      <c r="D1631" t="s">
        <v>496</v>
      </c>
      <c r="F1631">
        <v>590100160</v>
      </c>
      <c r="G1631">
        <v>567571793</v>
      </c>
      <c r="H1631">
        <v>435110487</v>
      </c>
      <c r="P1631">
        <v>81</v>
      </c>
      <c r="Q1631" t="s">
        <v>3576</v>
      </c>
    </row>
    <row r="1632" spans="1:17" x14ac:dyDescent="0.3">
      <c r="A1632" t="s">
        <v>17</v>
      </c>
      <c r="B1632" t="str">
        <f>"605117"</f>
        <v>605117</v>
      </c>
      <c r="C1632" t="s">
        <v>3577</v>
      </c>
      <c r="D1632" t="s">
        <v>1253</v>
      </c>
      <c r="F1632">
        <v>1735245055</v>
      </c>
      <c r="G1632">
        <v>1045378856</v>
      </c>
      <c r="P1632">
        <v>141</v>
      </c>
      <c r="Q1632" t="s">
        <v>3578</v>
      </c>
    </row>
    <row r="1633" spans="1:17" x14ac:dyDescent="0.3">
      <c r="A1633" t="s">
        <v>17</v>
      </c>
      <c r="B1633" t="str">
        <f>"605118"</f>
        <v>605118</v>
      </c>
      <c r="C1633" t="s">
        <v>3579</v>
      </c>
      <c r="D1633" t="s">
        <v>2953</v>
      </c>
      <c r="F1633">
        <v>353939426</v>
      </c>
      <c r="G1633">
        <v>316040889</v>
      </c>
      <c r="H1633">
        <v>364715539</v>
      </c>
      <c r="P1633">
        <v>114</v>
      </c>
      <c r="Q1633" t="s">
        <v>3580</v>
      </c>
    </row>
    <row r="1634" spans="1:17" x14ac:dyDescent="0.3">
      <c r="A1634" t="s">
        <v>17</v>
      </c>
      <c r="B1634" t="str">
        <f>"605122"</f>
        <v>605122</v>
      </c>
      <c r="C1634" t="s">
        <v>3581</v>
      </c>
      <c r="D1634" t="s">
        <v>3071</v>
      </c>
      <c r="F1634">
        <v>487992357</v>
      </c>
      <c r="G1634">
        <v>617742827</v>
      </c>
      <c r="P1634">
        <v>36</v>
      </c>
      <c r="Q1634" t="s">
        <v>3582</v>
      </c>
    </row>
    <row r="1635" spans="1:17" x14ac:dyDescent="0.3">
      <c r="A1635" t="s">
        <v>17</v>
      </c>
      <c r="B1635" t="str">
        <f>"605123"</f>
        <v>605123</v>
      </c>
      <c r="C1635" t="s">
        <v>3583</v>
      </c>
      <c r="D1635" t="s">
        <v>98</v>
      </c>
      <c r="F1635">
        <v>716430131</v>
      </c>
      <c r="G1635">
        <v>489450440</v>
      </c>
      <c r="H1635">
        <v>366417396</v>
      </c>
      <c r="P1635">
        <v>143</v>
      </c>
      <c r="Q1635" t="s">
        <v>3584</v>
      </c>
    </row>
    <row r="1636" spans="1:17" x14ac:dyDescent="0.3">
      <c r="A1636" t="s">
        <v>17</v>
      </c>
      <c r="B1636" t="str">
        <f>"605128"</f>
        <v>605128</v>
      </c>
      <c r="C1636" t="s">
        <v>3585</v>
      </c>
      <c r="D1636" t="s">
        <v>191</v>
      </c>
      <c r="F1636">
        <v>496381581</v>
      </c>
      <c r="G1636">
        <v>430145944</v>
      </c>
      <c r="H1636">
        <v>483257292</v>
      </c>
      <c r="P1636">
        <v>53</v>
      </c>
      <c r="Q1636" t="s">
        <v>3586</v>
      </c>
    </row>
    <row r="1637" spans="1:17" x14ac:dyDescent="0.3">
      <c r="A1637" t="s">
        <v>17</v>
      </c>
      <c r="B1637" t="str">
        <f>"605133"</f>
        <v>605133</v>
      </c>
      <c r="C1637" t="s">
        <v>3587</v>
      </c>
      <c r="D1637" t="s">
        <v>348</v>
      </c>
      <c r="F1637">
        <v>721322073</v>
      </c>
      <c r="G1637">
        <v>576528340</v>
      </c>
      <c r="H1637">
        <v>593835095</v>
      </c>
      <c r="P1637">
        <v>36</v>
      </c>
      <c r="Q1637" t="s">
        <v>3588</v>
      </c>
    </row>
    <row r="1638" spans="1:17" x14ac:dyDescent="0.3">
      <c r="A1638" t="s">
        <v>17</v>
      </c>
      <c r="B1638" t="str">
        <f>"605136"</f>
        <v>605136</v>
      </c>
      <c r="C1638" t="s">
        <v>3589</v>
      </c>
      <c r="D1638" t="s">
        <v>3590</v>
      </c>
      <c r="F1638">
        <v>2903038028</v>
      </c>
      <c r="G1638">
        <v>2805428268</v>
      </c>
      <c r="H1638">
        <v>2400922636</v>
      </c>
      <c r="P1638">
        <v>99</v>
      </c>
      <c r="Q1638" t="s">
        <v>3591</v>
      </c>
    </row>
    <row r="1639" spans="1:17" x14ac:dyDescent="0.3">
      <c r="A1639" t="s">
        <v>17</v>
      </c>
      <c r="B1639" t="str">
        <f>"605138"</f>
        <v>605138</v>
      </c>
      <c r="C1639" t="s">
        <v>3592</v>
      </c>
      <c r="D1639" t="s">
        <v>255</v>
      </c>
      <c r="F1639">
        <v>3526012969</v>
      </c>
      <c r="P1639">
        <v>27</v>
      </c>
      <c r="Q1639" t="s">
        <v>3593</v>
      </c>
    </row>
    <row r="1640" spans="1:17" x14ac:dyDescent="0.3">
      <c r="A1640" t="s">
        <v>17</v>
      </c>
      <c r="B1640" t="str">
        <f>"605151"</f>
        <v>605151</v>
      </c>
      <c r="C1640" t="s">
        <v>3594</v>
      </c>
      <c r="D1640" t="s">
        <v>2359</v>
      </c>
      <c r="F1640">
        <v>906153929</v>
      </c>
      <c r="G1640">
        <v>881720541</v>
      </c>
      <c r="H1640">
        <v>1007305193</v>
      </c>
      <c r="P1640">
        <v>55</v>
      </c>
      <c r="Q1640" t="s">
        <v>3595</v>
      </c>
    </row>
    <row r="1641" spans="1:17" x14ac:dyDescent="0.3">
      <c r="A1641" t="s">
        <v>17</v>
      </c>
      <c r="B1641" t="str">
        <f>"605155"</f>
        <v>605155</v>
      </c>
      <c r="C1641" t="s">
        <v>3596</v>
      </c>
      <c r="D1641" t="s">
        <v>2436</v>
      </c>
      <c r="F1641">
        <v>323015018</v>
      </c>
      <c r="G1641">
        <v>249663860</v>
      </c>
      <c r="H1641">
        <v>306041863</v>
      </c>
      <c r="P1641">
        <v>45</v>
      </c>
      <c r="Q1641" t="s">
        <v>3597</v>
      </c>
    </row>
    <row r="1642" spans="1:17" x14ac:dyDescent="0.3">
      <c r="A1642" t="s">
        <v>17</v>
      </c>
      <c r="B1642" t="str">
        <f>"605158"</f>
        <v>605158</v>
      </c>
      <c r="C1642" t="s">
        <v>3598</v>
      </c>
      <c r="D1642" t="s">
        <v>38</v>
      </c>
      <c r="F1642">
        <v>6970952070</v>
      </c>
      <c r="G1642">
        <v>4635370794</v>
      </c>
      <c r="H1642">
        <v>4173452980</v>
      </c>
      <c r="P1642">
        <v>91</v>
      </c>
      <c r="Q1642" t="s">
        <v>3599</v>
      </c>
    </row>
    <row r="1643" spans="1:17" x14ac:dyDescent="0.3">
      <c r="A1643" t="s">
        <v>17</v>
      </c>
      <c r="B1643" t="str">
        <f>"605162"</f>
        <v>605162</v>
      </c>
      <c r="C1643" t="s">
        <v>3600</v>
      </c>
      <c r="D1643" t="s">
        <v>351</v>
      </c>
      <c r="F1643">
        <v>551905415</v>
      </c>
      <c r="G1643">
        <v>444132244</v>
      </c>
      <c r="P1643">
        <v>27</v>
      </c>
      <c r="Q1643" t="s">
        <v>3601</v>
      </c>
    </row>
    <row r="1644" spans="1:17" x14ac:dyDescent="0.3">
      <c r="A1644" t="s">
        <v>17</v>
      </c>
      <c r="B1644" t="str">
        <f>"605166"</f>
        <v>605166</v>
      </c>
      <c r="C1644" t="s">
        <v>3602</v>
      </c>
      <c r="D1644" t="s">
        <v>1636</v>
      </c>
      <c r="F1644">
        <v>2331515041</v>
      </c>
      <c r="G1644">
        <v>1144997857</v>
      </c>
      <c r="H1644">
        <v>922063148</v>
      </c>
      <c r="P1644">
        <v>68</v>
      </c>
      <c r="Q1644" t="s">
        <v>3603</v>
      </c>
    </row>
    <row r="1645" spans="1:17" x14ac:dyDescent="0.3">
      <c r="A1645" t="s">
        <v>17</v>
      </c>
      <c r="B1645" t="str">
        <f>"605167"</f>
        <v>605167</v>
      </c>
      <c r="C1645" t="s">
        <v>3604</v>
      </c>
      <c r="D1645" t="s">
        <v>2019</v>
      </c>
      <c r="F1645">
        <v>1249732824</v>
      </c>
      <c r="G1645">
        <v>1053961447</v>
      </c>
      <c r="P1645">
        <v>22</v>
      </c>
      <c r="Q1645" t="s">
        <v>3605</v>
      </c>
    </row>
    <row r="1646" spans="1:17" x14ac:dyDescent="0.3">
      <c r="A1646" t="s">
        <v>17</v>
      </c>
      <c r="B1646" t="str">
        <f>"605168"</f>
        <v>605168</v>
      </c>
      <c r="C1646" t="s">
        <v>3606</v>
      </c>
      <c r="D1646" t="s">
        <v>207</v>
      </c>
      <c r="F1646">
        <v>1856555528</v>
      </c>
      <c r="G1646">
        <v>1252982799</v>
      </c>
      <c r="H1646">
        <v>882346688</v>
      </c>
      <c r="P1646">
        <v>317</v>
      </c>
      <c r="Q1646" t="s">
        <v>3607</v>
      </c>
    </row>
    <row r="1647" spans="1:17" x14ac:dyDescent="0.3">
      <c r="A1647" t="s">
        <v>17</v>
      </c>
      <c r="B1647" t="str">
        <f>"605169"</f>
        <v>605169</v>
      </c>
      <c r="C1647" t="s">
        <v>3608</v>
      </c>
      <c r="D1647" t="s">
        <v>749</v>
      </c>
      <c r="F1647">
        <v>877073917</v>
      </c>
      <c r="G1647">
        <v>481802118</v>
      </c>
      <c r="H1647">
        <v>674192265</v>
      </c>
      <c r="P1647">
        <v>62</v>
      </c>
      <c r="Q1647" t="s">
        <v>3609</v>
      </c>
    </row>
    <row r="1648" spans="1:17" x14ac:dyDescent="0.3">
      <c r="A1648" t="s">
        <v>17</v>
      </c>
      <c r="B1648" t="str">
        <f>"605177"</f>
        <v>605177</v>
      </c>
      <c r="C1648" t="s">
        <v>3610</v>
      </c>
      <c r="D1648" t="s">
        <v>496</v>
      </c>
      <c r="F1648">
        <v>341549902</v>
      </c>
      <c r="G1648">
        <v>393952723</v>
      </c>
      <c r="H1648">
        <v>433834836</v>
      </c>
      <c r="P1648">
        <v>38</v>
      </c>
      <c r="Q1648" t="s">
        <v>3611</v>
      </c>
    </row>
    <row r="1649" spans="1:17" x14ac:dyDescent="0.3">
      <c r="A1649" t="s">
        <v>17</v>
      </c>
      <c r="B1649" t="str">
        <f>"605178"</f>
        <v>605178</v>
      </c>
      <c r="C1649" t="s">
        <v>3612</v>
      </c>
      <c r="D1649" t="s">
        <v>450</v>
      </c>
      <c r="F1649">
        <v>373150346</v>
      </c>
      <c r="G1649">
        <v>417288123</v>
      </c>
      <c r="H1649">
        <v>418011897</v>
      </c>
      <c r="P1649">
        <v>49</v>
      </c>
      <c r="Q1649" t="s">
        <v>3613</v>
      </c>
    </row>
    <row r="1650" spans="1:17" x14ac:dyDescent="0.3">
      <c r="A1650" t="s">
        <v>17</v>
      </c>
      <c r="B1650" t="str">
        <f>"605179"</f>
        <v>605179</v>
      </c>
      <c r="C1650" t="s">
        <v>3614</v>
      </c>
      <c r="D1650" t="s">
        <v>900</v>
      </c>
      <c r="F1650">
        <v>1880943456</v>
      </c>
      <c r="G1650">
        <v>1555478734</v>
      </c>
      <c r="H1650">
        <v>1697987260</v>
      </c>
      <c r="P1650">
        <v>84</v>
      </c>
      <c r="Q1650" t="s">
        <v>3615</v>
      </c>
    </row>
    <row r="1651" spans="1:17" x14ac:dyDescent="0.3">
      <c r="A1651" t="s">
        <v>17</v>
      </c>
      <c r="B1651" t="str">
        <f>"605180"</f>
        <v>605180</v>
      </c>
      <c r="C1651" t="s">
        <v>3616</v>
      </c>
      <c r="D1651" t="s">
        <v>366</v>
      </c>
      <c r="F1651">
        <v>410503434</v>
      </c>
      <c r="G1651">
        <v>215976879</v>
      </c>
      <c r="P1651">
        <v>40</v>
      </c>
      <c r="Q1651" t="s">
        <v>3617</v>
      </c>
    </row>
    <row r="1652" spans="1:17" x14ac:dyDescent="0.3">
      <c r="A1652" t="s">
        <v>17</v>
      </c>
      <c r="B1652" t="str">
        <f>"605183"</f>
        <v>605183</v>
      </c>
      <c r="C1652" t="s">
        <v>3618</v>
      </c>
      <c r="D1652" t="s">
        <v>3619</v>
      </c>
      <c r="F1652">
        <v>860052138</v>
      </c>
      <c r="G1652">
        <v>724966694</v>
      </c>
      <c r="H1652">
        <v>979072219</v>
      </c>
      <c r="I1652">
        <v>997033870</v>
      </c>
      <c r="P1652">
        <v>63</v>
      </c>
      <c r="Q1652" t="s">
        <v>3620</v>
      </c>
    </row>
    <row r="1653" spans="1:17" x14ac:dyDescent="0.3">
      <c r="A1653" t="s">
        <v>17</v>
      </c>
      <c r="B1653" t="str">
        <f>"605186"</f>
        <v>605186</v>
      </c>
      <c r="C1653" t="s">
        <v>3621</v>
      </c>
      <c r="D1653" t="s">
        <v>3450</v>
      </c>
      <c r="F1653">
        <v>296421633</v>
      </c>
      <c r="G1653">
        <v>158323960</v>
      </c>
      <c r="H1653">
        <v>192001681</v>
      </c>
      <c r="P1653">
        <v>47</v>
      </c>
      <c r="Q1653" t="s">
        <v>3622</v>
      </c>
    </row>
    <row r="1654" spans="1:17" x14ac:dyDescent="0.3">
      <c r="A1654" t="s">
        <v>17</v>
      </c>
      <c r="B1654" t="str">
        <f>"605188"</f>
        <v>605188</v>
      </c>
      <c r="C1654" t="s">
        <v>3623</v>
      </c>
      <c r="D1654" t="s">
        <v>798</v>
      </c>
      <c r="F1654">
        <v>2068612617</v>
      </c>
      <c r="G1654">
        <v>2206522066</v>
      </c>
      <c r="H1654">
        <v>2159164830</v>
      </c>
      <c r="P1654">
        <v>43</v>
      </c>
      <c r="Q1654" t="s">
        <v>3624</v>
      </c>
    </row>
    <row r="1655" spans="1:17" x14ac:dyDescent="0.3">
      <c r="A1655" t="s">
        <v>17</v>
      </c>
      <c r="B1655" t="str">
        <f>"605189"</f>
        <v>605189</v>
      </c>
      <c r="C1655" t="s">
        <v>3625</v>
      </c>
      <c r="D1655" t="s">
        <v>817</v>
      </c>
      <c r="F1655">
        <v>1656189718</v>
      </c>
      <c r="P1655">
        <v>44</v>
      </c>
      <c r="Q1655" t="s">
        <v>3626</v>
      </c>
    </row>
    <row r="1656" spans="1:17" x14ac:dyDescent="0.3">
      <c r="A1656" t="s">
        <v>17</v>
      </c>
      <c r="B1656" t="str">
        <f>"605196"</f>
        <v>605196</v>
      </c>
      <c r="C1656" t="s">
        <v>3627</v>
      </c>
      <c r="D1656" t="s">
        <v>1164</v>
      </c>
      <c r="F1656">
        <v>2537370289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"605198"</f>
        <v>605198</v>
      </c>
      <c r="C1657" t="s">
        <v>3629</v>
      </c>
      <c r="D1657" t="s">
        <v>574</v>
      </c>
      <c r="F1657">
        <v>706403240</v>
      </c>
      <c r="G1657">
        <v>774612786</v>
      </c>
      <c r="H1657">
        <v>650533816</v>
      </c>
      <c r="P1657">
        <v>47</v>
      </c>
      <c r="Q1657" t="s">
        <v>3630</v>
      </c>
    </row>
    <row r="1658" spans="1:17" x14ac:dyDescent="0.3">
      <c r="A1658" t="s">
        <v>17</v>
      </c>
      <c r="B1658" t="str">
        <f>"605199"</f>
        <v>605199</v>
      </c>
      <c r="C1658" t="s">
        <v>3631</v>
      </c>
      <c r="D1658" t="s">
        <v>188</v>
      </c>
      <c r="F1658">
        <v>835211365</v>
      </c>
      <c r="G1658">
        <v>629099321</v>
      </c>
      <c r="H1658">
        <v>758747762</v>
      </c>
      <c r="P1658">
        <v>136</v>
      </c>
      <c r="Q1658" t="s">
        <v>3632</v>
      </c>
    </row>
    <row r="1659" spans="1:17" x14ac:dyDescent="0.3">
      <c r="A1659" t="s">
        <v>17</v>
      </c>
      <c r="B1659" t="str">
        <f>"605208"</f>
        <v>605208</v>
      </c>
      <c r="C1659" t="s">
        <v>3633</v>
      </c>
      <c r="D1659" t="s">
        <v>504</v>
      </c>
      <c r="F1659">
        <v>2375620447</v>
      </c>
      <c r="G1659">
        <v>1977350008</v>
      </c>
      <c r="P1659">
        <v>40</v>
      </c>
      <c r="Q1659" t="s">
        <v>3634</v>
      </c>
    </row>
    <row r="1660" spans="1:17" x14ac:dyDescent="0.3">
      <c r="A1660" t="s">
        <v>17</v>
      </c>
      <c r="B1660" t="str">
        <f>"605218"</f>
        <v>605218</v>
      </c>
      <c r="C1660" t="s">
        <v>3635</v>
      </c>
      <c r="D1660" t="s">
        <v>1117</v>
      </c>
      <c r="F1660">
        <v>889473334</v>
      </c>
      <c r="G1660">
        <v>726881505</v>
      </c>
      <c r="H1660">
        <v>949970613</v>
      </c>
      <c r="P1660">
        <v>56</v>
      </c>
      <c r="Q1660" t="s">
        <v>3636</v>
      </c>
    </row>
    <row r="1661" spans="1:17" x14ac:dyDescent="0.3">
      <c r="A1661" t="s">
        <v>17</v>
      </c>
      <c r="B1661" t="str">
        <f>"605222"</f>
        <v>605222</v>
      </c>
      <c r="C1661" t="s">
        <v>3637</v>
      </c>
      <c r="D1661" t="s">
        <v>1164</v>
      </c>
      <c r="F1661">
        <v>11359189894</v>
      </c>
      <c r="G1661">
        <v>5330708041</v>
      </c>
      <c r="H1661">
        <v>4803055153</v>
      </c>
      <c r="P1661">
        <v>110</v>
      </c>
      <c r="Q1661" t="s">
        <v>3638</v>
      </c>
    </row>
    <row r="1662" spans="1:17" x14ac:dyDescent="0.3">
      <c r="A1662" t="s">
        <v>17</v>
      </c>
      <c r="B1662" t="str">
        <f>"605228"</f>
        <v>605228</v>
      </c>
      <c r="C1662" t="s">
        <v>3639</v>
      </c>
      <c r="D1662" t="s">
        <v>191</v>
      </c>
      <c r="F1662">
        <v>1204755791</v>
      </c>
      <c r="G1662">
        <v>1003933493</v>
      </c>
      <c r="H1662">
        <v>1156411300</v>
      </c>
      <c r="P1662">
        <v>30</v>
      </c>
      <c r="Q1662" t="s">
        <v>3640</v>
      </c>
    </row>
    <row r="1663" spans="1:17" x14ac:dyDescent="0.3">
      <c r="A1663" t="s">
        <v>17</v>
      </c>
      <c r="B1663" t="str">
        <f>"605255"</f>
        <v>605255</v>
      </c>
      <c r="C1663" t="s">
        <v>3641</v>
      </c>
      <c r="D1663" t="s">
        <v>348</v>
      </c>
      <c r="F1663">
        <v>280492366</v>
      </c>
      <c r="G1663">
        <v>214075985</v>
      </c>
      <c r="H1663">
        <v>292163861</v>
      </c>
      <c r="P1663">
        <v>51</v>
      </c>
      <c r="Q1663" t="s">
        <v>3642</v>
      </c>
    </row>
    <row r="1664" spans="1:17" x14ac:dyDescent="0.3">
      <c r="A1664" t="s">
        <v>17</v>
      </c>
      <c r="B1664" t="str">
        <f>"605258"</f>
        <v>605258</v>
      </c>
      <c r="C1664" t="s">
        <v>3643</v>
      </c>
      <c r="D1664" t="s">
        <v>425</v>
      </c>
      <c r="F1664">
        <v>426550899</v>
      </c>
      <c r="G1664">
        <v>338847937</v>
      </c>
      <c r="H1664">
        <v>338164122</v>
      </c>
      <c r="P1664">
        <v>51</v>
      </c>
      <c r="Q1664" t="s">
        <v>3644</v>
      </c>
    </row>
    <row r="1665" spans="1:17" x14ac:dyDescent="0.3">
      <c r="A1665" t="s">
        <v>17</v>
      </c>
      <c r="B1665" t="str">
        <f>"605259"</f>
        <v>605259</v>
      </c>
      <c r="C1665" t="s">
        <v>3645</v>
      </c>
      <c r="D1665" t="s">
        <v>741</v>
      </c>
      <c r="F1665">
        <v>1181241368</v>
      </c>
      <c r="P1665">
        <v>17</v>
      </c>
      <c r="Q1665" t="s">
        <v>3646</v>
      </c>
    </row>
    <row r="1666" spans="1:17" x14ac:dyDescent="0.3">
      <c r="A1666" t="s">
        <v>17</v>
      </c>
      <c r="B1666" t="str">
        <f>"605266"</f>
        <v>605266</v>
      </c>
      <c r="C1666" t="s">
        <v>3647</v>
      </c>
      <c r="D1666" t="s">
        <v>1684</v>
      </c>
      <c r="F1666">
        <v>3624962318</v>
      </c>
      <c r="G1666">
        <v>3122929425</v>
      </c>
      <c r="H1666">
        <v>0</v>
      </c>
      <c r="P1666">
        <v>105</v>
      </c>
      <c r="Q1666" t="s">
        <v>3648</v>
      </c>
    </row>
    <row r="1667" spans="1:17" x14ac:dyDescent="0.3">
      <c r="A1667" t="s">
        <v>17</v>
      </c>
      <c r="B1667" t="str">
        <f>"605268"</f>
        <v>605268</v>
      </c>
      <c r="C1667" t="s">
        <v>3649</v>
      </c>
      <c r="D1667" t="s">
        <v>2647</v>
      </c>
      <c r="F1667">
        <v>1883993462</v>
      </c>
      <c r="G1667">
        <v>1432454271</v>
      </c>
      <c r="H1667">
        <v>1452947082</v>
      </c>
      <c r="P1667">
        <v>60</v>
      </c>
      <c r="Q1667" t="s">
        <v>3650</v>
      </c>
    </row>
    <row r="1668" spans="1:17" x14ac:dyDescent="0.3">
      <c r="A1668" t="s">
        <v>17</v>
      </c>
      <c r="B1668" t="str">
        <f>"605277"</f>
        <v>605277</v>
      </c>
      <c r="C1668" t="s">
        <v>3651</v>
      </c>
      <c r="D1668" t="s">
        <v>313</v>
      </c>
      <c r="F1668">
        <v>669617238</v>
      </c>
      <c r="G1668">
        <v>424687470</v>
      </c>
      <c r="H1668">
        <v>415052306</v>
      </c>
      <c r="P1668">
        <v>68</v>
      </c>
      <c r="Q1668" t="s">
        <v>3652</v>
      </c>
    </row>
    <row r="1669" spans="1:17" x14ac:dyDescent="0.3">
      <c r="A1669" t="s">
        <v>17</v>
      </c>
      <c r="B1669" t="str">
        <f>"605286"</f>
        <v>605286</v>
      </c>
      <c r="C1669" t="s">
        <v>3653</v>
      </c>
      <c r="D1669" t="s">
        <v>1689</v>
      </c>
      <c r="F1669">
        <v>1653570989</v>
      </c>
      <c r="P1669">
        <v>27</v>
      </c>
      <c r="Q1669" t="s">
        <v>3654</v>
      </c>
    </row>
    <row r="1670" spans="1:17" x14ac:dyDescent="0.3">
      <c r="A1670" t="s">
        <v>17</v>
      </c>
      <c r="B1670" t="str">
        <f>"605287"</f>
        <v>605287</v>
      </c>
      <c r="C1670" t="s">
        <v>3655</v>
      </c>
      <c r="D1670" t="s">
        <v>450</v>
      </c>
      <c r="F1670">
        <v>3563582103</v>
      </c>
      <c r="G1670">
        <v>3319666395</v>
      </c>
      <c r="P1670">
        <v>21</v>
      </c>
      <c r="Q1670" t="s">
        <v>3656</v>
      </c>
    </row>
    <row r="1671" spans="1:17" x14ac:dyDescent="0.3">
      <c r="A1671" t="s">
        <v>17</v>
      </c>
      <c r="B1671" t="str">
        <f>"605288"</f>
        <v>605288</v>
      </c>
      <c r="C1671" t="s">
        <v>3657</v>
      </c>
      <c r="D1671" t="s">
        <v>2423</v>
      </c>
      <c r="F1671">
        <v>1213085006</v>
      </c>
      <c r="G1671">
        <v>839505371</v>
      </c>
      <c r="H1671">
        <v>840540509</v>
      </c>
      <c r="P1671">
        <v>86</v>
      </c>
      <c r="Q1671" t="s">
        <v>3658</v>
      </c>
    </row>
    <row r="1672" spans="1:17" x14ac:dyDescent="0.3">
      <c r="A1672" t="s">
        <v>17</v>
      </c>
      <c r="B1672" t="str">
        <f>"605289"</f>
        <v>605289</v>
      </c>
      <c r="C1672" t="s">
        <v>3659</v>
      </c>
      <c r="D1672" t="s">
        <v>1986</v>
      </c>
      <c r="F1672">
        <v>335585866</v>
      </c>
      <c r="G1672">
        <v>315686839</v>
      </c>
      <c r="P1672">
        <v>29</v>
      </c>
      <c r="Q1672" t="s">
        <v>3660</v>
      </c>
    </row>
    <row r="1673" spans="1:17" x14ac:dyDescent="0.3">
      <c r="A1673" t="s">
        <v>17</v>
      </c>
      <c r="B1673" t="str">
        <f>"605296"</f>
        <v>605296</v>
      </c>
      <c r="C1673" t="s">
        <v>3661</v>
      </c>
      <c r="D1673" t="s">
        <v>1894</v>
      </c>
      <c r="F1673">
        <v>2102737909</v>
      </c>
      <c r="P1673">
        <v>59</v>
      </c>
      <c r="Q1673" t="s">
        <v>3662</v>
      </c>
    </row>
    <row r="1674" spans="1:17" x14ac:dyDescent="0.3">
      <c r="A1674" t="s">
        <v>17</v>
      </c>
      <c r="B1674" t="str">
        <f>"605298"</f>
        <v>605298</v>
      </c>
      <c r="C1674" t="s">
        <v>3663</v>
      </c>
      <c r="D1674" t="s">
        <v>1012</v>
      </c>
      <c r="F1674">
        <v>137483811</v>
      </c>
      <c r="G1674">
        <v>145398409</v>
      </c>
      <c r="P1674">
        <v>46</v>
      </c>
      <c r="Q1674" t="s">
        <v>3664</v>
      </c>
    </row>
    <row r="1675" spans="1:17" x14ac:dyDescent="0.3">
      <c r="A1675" t="s">
        <v>17</v>
      </c>
      <c r="B1675" t="str">
        <f>"605299"</f>
        <v>605299</v>
      </c>
      <c r="C1675" t="s">
        <v>3665</v>
      </c>
      <c r="D1675" t="s">
        <v>2904</v>
      </c>
      <c r="F1675">
        <v>1128857287</v>
      </c>
      <c r="G1675">
        <v>1111012379</v>
      </c>
      <c r="H1675">
        <v>899225175</v>
      </c>
      <c r="P1675">
        <v>58</v>
      </c>
      <c r="Q1675" t="s">
        <v>3666</v>
      </c>
    </row>
    <row r="1676" spans="1:17" x14ac:dyDescent="0.3">
      <c r="A1676" t="s">
        <v>17</v>
      </c>
      <c r="B1676" t="str">
        <f>"605300"</f>
        <v>605300</v>
      </c>
      <c r="C1676" t="s">
        <v>3667</v>
      </c>
      <c r="D1676" t="s">
        <v>900</v>
      </c>
      <c r="F1676">
        <v>1881122039</v>
      </c>
      <c r="G1676">
        <v>1380401144</v>
      </c>
      <c r="P1676">
        <v>56</v>
      </c>
      <c r="Q1676" t="s">
        <v>3668</v>
      </c>
    </row>
    <row r="1677" spans="1:17" x14ac:dyDescent="0.3">
      <c r="A1677" t="s">
        <v>17</v>
      </c>
      <c r="B1677" t="str">
        <f>"605303"</f>
        <v>605303</v>
      </c>
      <c r="C1677" t="s">
        <v>3669</v>
      </c>
      <c r="D1677" t="s">
        <v>2408</v>
      </c>
      <c r="F1677">
        <v>782368637</v>
      </c>
      <c r="G1677">
        <v>1008699274</v>
      </c>
      <c r="H1677">
        <v>641950061</v>
      </c>
      <c r="P1677">
        <v>28</v>
      </c>
      <c r="Q1677" t="s">
        <v>3670</v>
      </c>
    </row>
    <row r="1678" spans="1:17" x14ac:dyDescent="0.3">
      <c r="A1678" t="s">
        <v>17</v>
      </c>
      <c r="B1678" t="str">
        <f>"605305"</f>
        <v>605305</v>
      </c>
      <c r="C1678" t="s">
        <v>3671</v>
      </c>
      <c r="D1678" t="s">
        <v>83</v>
      </c>
      <c r="F1678">
        <v>525546137</v>
      </c>
      <c r="G1678">
        <v>496462084</v>
      </c>
      <c r="P1678">
        <v>81</v>
      </c>
      <c r="Q1678" t="s">
        <v>3672</v>
      </c>
    </row>
    <row r="1679" spans="1:17" x14ac:dyDescent="0.3">
      <c r="A1679" t="s">
        <v>17</v>
      </c>
      <c r="B1679" t="str">
        <f>"605318"</f>
        <v>605318</v>
      </c>
      <c r="C1679" t="s">
        <v>3673</v>
      </c>
      <c r="D1679" t="s">
        <v>722</v>
      </c>
      <c r="F1679">
        <v>502244551</v>
      </c>
      <c r="G1679">
        <v>221936738</v>
      </c>
      <c r="H1679">
        <v>289362130</v>
      </c>
      <c r="P1679">
        <v>58</v>
      </c>
      <c r="Q1679" t="s">
        <v>3674</v>
      </c>
    </row>
    <row r="1680" spans="1:17" x14ac:dyDescent="0.3">
      <c r="A1680" t="s">
        <v>17</v>
      </c>
      <c r="B1680" t="str">
        <f>"605319"</f>
        <v>605319</v>
      </c>
      <c r="C1680" t="s">
        <v>3675</v>
      </c>
      <c r="D1680" t="s">
        <v>985</v>
      </c>
      <c r="F1680">
        <v>994112819</v>
      </c>
      <c r="P1680">
        <v>22</v>
      </c>
      <c r="Q1680" t="s">
        <v>3676</v>
      </c>
    </row>
    <row r="1681" spans="1:17" x14ac:dyDescent="0.3">
      <c r="A1681" t="s">
        <v>17</v>
      </c>
      <c r="B1681" t="str">
        <f>"605333"</f>
        <v>605333</v>
      </c>
      <c r="C1681" t="s">
        <v>3677</v>
      </c>
      <c r="D1681" t="s">
        <v>1415</v>
      </c>
      <c r="F1681">
        <v>1421482606</v>
      </c>
      <c r="G1681">
        <v>975230966</v>
      </c>
      <c r="H1681">
        <v>925335087</v>
      </c>
      <c r="P1681">
        <v>85</v>
      </c>
      <c r="Q1681" t="s">
        <v>3678</v>
      </c>
    </row>
    <row r="1682" spans="1:17" x14ac:dyDescent="0.3">
      <c r="A1682" t="s">
        <v>17</v>
      </c>
      <c r="B1682" t="str">
        <f>"605336"</f>
        <v>605336</v>
      </c>
      <c r="C1682" t="s">
        <v>3679</v>
      </c>
      <c r="D1682" t="s">
        <v>3680</v>
      </c>
      <c r="F1682">
        <v>784553628</v>
      </c>
      <c r="G1682">
        <v>506330362</v>
      </c>
      <c r="H1682">
        <v>542056092</v>
      </c>
      <c r="P1682">
        <v>141</v>
      </c>
      <c r="Q1682" t="s">
        <v>3681</v>
      </c>
    </row>
    <row r="1683" spans="1:17" x14ac:dyDescent="0.3">
      <c r="A1683" t="s">
        <v>17</v>
      </c>
      <c r="B1683" t="str">
        <f>"605337"</f>
        <v>605337</v>
      </c>
      <c r="C1683" t="s">
        <v>3682</v>
      </c>
      <c r="D1683" t="s">
        <v>440</v>
      </c>
      <c r="F1683">
        <v>1181424761</v>
      </c>
      <c r="G1683">
        <v>844066314</v>
      </c>
      <c r="H1683">
        <v>779306609</v>
      </c>
      <c r="P1683">
        <v>146</v>
      </c>
      <c r="Q1683" t="s">
        <v>3683</v>
      </c>
    </row>
    <row r="1684" spans="1:17" x14ac:dyDescent="0.3">
      <c r="A1684" t="s">
        <v>17</v>
      </c>
      <c r="B1684" t="str">
        <f>"605338"</f>
        <v>605338</v>
      </c>
      <c r="C1684" t="s">
        <v>3684</v>
      </c>
      <c r="D1684" t="s">
        <v>2838</v>
      </c>
      <c r="F1684">
        <v>1081293790</v>
      </c>
      <c r="G1684">
        <v>730207805</v>
      </c>
      <c r="H1684">
        <v>870658779</v>
      </c>
      <c r="P1684">
        <v>198</v>
      </c>
      <c r="Q1684" t="s">
        <v>3685</v>
      </c>
    </row>
    <row r="1685" spans="1:17" x14ac:dyDescent="0.3">
      <c r="A1685" t="s">
        <v>17</v>
      </c>
      <c r="B1685" t="str">
        <f>"605339"</f>
        <v>605339</v>
      </c>
      <c r="C1685" t="s">
        <v>3686</v>
      </c>
      <c r="D1685" t="s">
        <v>2479</v>
      </c>
      <c r="F1685">
        <v>2514076645</v>
      </c>
      <c r="P1685">
        <v>66</v>
      </c>
      <c r="Q1685" t="s">
        <v>3687</v>
      </c>
    </row>
    <row r="1686" spans="1:17" x14ac:dyDescent="0.3">
      <c r="A1686" t="s">
        <v>17</v>
      </c>
      <c r="B1686" t="str">
        <f>"605358"</f>
        <v>605358</v>
      </c>
      <c r="C1686" t="s">
        <v>3688</v>
      </c>
      <c r="D1686" t="s">
        <v>475</v>
      </c>
      <c r="F1686">
        <v>1348239454</v>
      </c>
      <c r="G1686">
        <v>909227957</v>
      </c>
      <c r="H1686">
        <v>774989036</v>
      </c>
      <c r="P1686">
        <v>289</v>
      </c>
      <c r="Q1686" t="s">
        <v>3689</v>
      </c>
    </row>
    <row r="1687" spans="1:17" x14ac:dyDescent="0.3">
      <c r="A1687" t="s">
        <v>17</v>
      </c>
      <c r="B1687" t="str">
        <f>"605365"</f>
        <v>605365</v>
      </c>
      <c r="C1687" t="s">
        <v>3690</v>
      </c>
      <c r="D1687" t="s">
        <v>598</v>
      </c>
      <c r="F1687">
        <v>4581262376</v>
      </c>
      <c r="G1687">
        <v>3613489485</v>
      </c>
      <c r="P1687">
        <v>28</v>
      </c>
      <c r="Q1687" t="s">
        <v>3691</v>
      </c>
    </row>
    <row r="1688" spans="1:17" x14ac:dyDescent="0.3">
      <c r="A1688" t="s">
        <v>17</v>
      </c>
      <c r="B1688" t="str">
        <f>"605366"</f>
        <v>605366</v>
      </c>
      <c r="C1688" t="s">
        <v>3692</v>
      </c>
      <c r="D1688" t="s">
        <v>386</v>
      </c>
      <c r="F1688">
        <v>552793850</v>
      </c>
      <c r="G1688">
        <v>464396696</v>
      </c>
      <c r="H1688">
        <v>513266351</v>
      </c>
      <c r="P1688">
        <v>59</v>
      </c>
      <c r="Q1688" t="s">
        <v>3693</v>
      </c>
    </row>
    <row r="1689" spans="1:17" x14ac:dyDescent="0.3">
      <c r="A1689" t="s">
        <v>17</v>
      </c>
      <c r="B1689" t="str">
        <f>"605368"</f>
        <v>605368</v>
      </c>
      <c r="C1689" t="s">
        <v>3694</v>
      </c>
      <c r="D1689" t="s">
        <v>749</v>
      </c>
      <c r="F1689">
        <v>2973131999</v>
      </c>
      <c r="G1689">
        <v>2682654505</v>
      </c>
      <c r="H1689">
        <v>2262497757</v>
      </c>
      <c r="I1689">
        <v>2262497757</v>
      </c>
      <c r="P1689">
        <v>60</v>
      </c>
      <c r="Q1689" t="s">
        <v>3695</v>
      </c>
    </row>
    <row r="1690" spans="1:17" x14ac:dyDescent="0.3">
      <c r="A1690" t="s">
        <v>17</v>
      </c>
      <c r="B1690" t="str">
        <f>"605369"</f>
        <v>605369</v>
      </c>
      <c r="C1690" t="s">
        <v>3696</v>
      </c>
      <c r="D1690" t="s">
        <v>1077</v>
      </c>
      <c r="F1690">
        <v>858577294</v>
      </c>
      <c r="G1690">
        <v>559574161</v>
      </c>
      <c r="H1690">
        <v>382923732</v>
      </c>
      <c r="P1690">
        <v>177</v>
      </c>
      <c r="Q1690" t="s">
        <v>3697</v>
      </c>
    </row>
    <row r="1691" spans="1:17" x14ac:dyDescent="0.3">
      <c r="A1691" t="s">
        <v>17</v>
      </c>
      <c r="B1691" t="str">
        <f>"605376"</f>
        <v>605376</v>
      </c>
      <c r="C1691" t="s">
        <v>3698</v>
      </c>
      <c r="D1691" t="s">
        <v>636</v>
      </c>
      <c r="F1691">
        <v>732983617</v>
      </c>
      <c r="G1691">
        <v>379587762</v>
      </c>
      <c r="H1691">
        <v>384955255</v>
      </c>
      <c r="P1691">
        <v>110</v>
      </c>
      <c r="Q1691" t="s">
        <v>3699</v>
      </c>
    </row>
    <row r="1692" spans="1:17" x14ac:dyDescent="0.3">
      <c r="A1692" t="s">
        <v>17</v>
      </c>
      <c r="B1692" t="str">
        <f>"605377"</f>
        <v>605377</v>
      </c>
      <c r="C1692" t="s">
        <v>3700</v>
      </c>
      <c r="D1692" t="s">
        <v>244</v>
      </c>
      <c r="F1692">
        <v>1987168624</v>
      </c>
      <c r="G1692">
        <v>1143614573</v>
      </c>
      <c r="H1692">
        <v>1130931108</v>
      </c>
      <c r="P1692">
        <v>59</v>
      </c>
      <c r="Q1692" t="s">
        <v>3701</v>
      </c>
    </row>
    <row r="1693" spans="1:17" x14ac:dyDescent="0.3">
      <c r="A1693" t="s">
        <v>17</v>
      </c>
      <c r="B1693" t="str">
        <f>"605378"</f>
        <v>605378</v>
      </c>
      <c r="C1693" t="s">
        <v>3702</v>
      </c>
      <c r="D1693" t="s">
        <v>555</v>
      </c>
      <c r="F1693">
        <v>851553692</v>
      </c>
      <c r="G1693">
        <v>750432286</v>
      </c>
      <c r="P1693">
        <v>32</v>
      </c>
      <c r="Q1693" t="s">
        <v>3703</v>
      </c>
    </row>
    <row r="1694" spans="1:17" x14ac:dyDescent="0.3">
      <c r="A1694" t="s">
        <v>17</v>
      </c>
      <c r="B1694" t="str">
        <f>"605388"</f>
        <v>605388</v>
      </c>
      <c r="C1694" t="s">
        <v>3704</v>
      </c>
      <c r="D1694" t="s">
        <v>900</v>
      </c>
      <c r="F1694">
        <v>810674794</v>
      </c>
      <c r="G1694">
        <v>706473607</v>
      </c>
      <c r="H1694">
        <v>980800471</v>
      </c>
      <c r="P1694">
        <v>103</v>
      </c>
      <c r="Q1694" t="s">
        <v>3705</v>
      </c>
    </row>
    <row r="1695" spans="1:17" x14ac:dyDescent="0.3">
      <c r="A1695" t="s">
        <v>17</v>
      </c>
      <c r="B1695" t="str">
        <f>"605389"</f>
        <v>605389</v>
      </c>
      <c r="C1695" t="s">
        <v>3706</v>
      </c>
      <c r="D1695" t="s">
        <v>2001</v>
      </c>
      <c r="F1695">
        <v>648397013</v>
      </c>
      <c r="G1695">
        <v>432818157</v>
      </c>
      <c r="P1695">
        <v>64</v>
      </c>
      <c r="Q1695" t="s">
        <v>3707</v>
      </c>
    </row>
    <row r="1696" spans="1:17" x14ac:dyDescent="0.3">
      <c r="A1696" t="s">
        <v>17</v>
      </c>
      <c r="B1696" t="str">
        <f>"605398"</f>
        <v>605398</v>
      </c>
      <c r="C1696" t="s">
        <v>3708</v>
      </c>
      <c r="D1696" t="s">
        <v>316</v>
      </c>
      <c r="F1696">
        <v>370959405</v>
      </c>
      <c r="G1696">
        <v>293738917</v>
      </c>
      <c r="H1696">
        <v>0</v>
      </c>
      <c r="P1696">
        <v>39</v>
      </c>
      <c r="Q1696" t="s">
        <v>3709</v>
      </c>
    </row>
    <row r="1697" spans="1:17" x14ac:dyDescent="0.3">
      <c r="A1697" t="s">
        <v>17</v>
      </c>
      <c r="B1697" t="str">
        <f>"605399"</f>
        <v>605399</v>
      </c>
      <c r="C1697" t="s">
        <v>3710</v>
      </c>
      <c r="D1697" t="s">
        <v>1205</v>
      </c>
      <c r="F1697">
        <v>579055193</v>
      </c>
      <c r="G1697">
        <v>242313384</v>
      </c>
      <c r="H1697">
        <v>229924751</v>
      </c>
      <c r="P1697">
        <v>126</v>
      </c>
      <c r="Q1697" t="s">
        <v>3711</v>
      </c>
    </row>
    <row r="1698" spans="1:17" x14ac:dyDescent="0.3">
      <c r="A1698" t="s">
        <v>17</v>
      </c>
      <c r="B1698" t="str">
        <f>"605488"</f>
        <v>605488</v>
      </c>
      <c r="C1698" t="s">
        <v>3712</v>
      </c>
      <c r="D1698" t="s">
        <v>1192</v>
      </c>
      <c r="F1698">
        <v>1168254251</v>
      </c>
      <c r="P1698">
        <v>28</v>
      </c>
      <c r="Q1698" t="s">
        <v>3713</v>
      </c>
    </row>
    <row r="1699" spans="1:17" x14ac:dyDescent="0.3">
      <c r="A1699" t="s">
        <v>17</v>
      </c>
      <c r="B1699" t="str">
        <f>"605499"</f>
        <v>605499</v>
      </c>
      <c r="C1699" t="s">
        <v>3714</v>
      </c>
      <c r="D1699" t="s">
        <v>440</v>
      </c>
      <c r="F1699">
        <v>6265803382</v>
      </c>
      <c r="P1699">
        <v>282</v>
      </c>
      <c r="Q1699" t="s">
        <v>3715</v>
      </c>
    </row>
    <row r="1700" spans="1:17" x14ac:dyDescent="0.3">
      <c r="A1700" t="s">
        <v>17</v>
      </c>
      <c r="B1700" t="str">
        <f>"605500"</f>
        <v>605500</v>
      </c>
      <c r="C1700" t="s">
        <v>3716</v>
      </c>
      <c r="D1700" t="s">
        <v>694</v>
      </c>
      <c r="F1700">
        <v>2226982668</v>
      </c>
      <c r="G1700">
        <v>0</v>
      </c>
      <c r="P1700">
        <v>37</v>
      </c>
      <c r="Q1700" t="s">
        <v>3717</v>
      </c>
    </row>
    <row r="1701" spans="1:17" x14ac:dyDescent="0.3">
      <c r="A1701" t="s">
        <v>17</v>
      </c>
      <c r="B1701" t="str">
        <f>"605507"</f>
        <v>605507</v>
      </c>
      <c r="C1701" t="s">
        <v>3718</v>
      </c>
      <c r="D1701" t="s">
        <v>496</v>
      </c>
      <c r="F1701">
        <v>1670473732</v>
      </c>
      <c r="G1701">
        <v>1560425471</v>
      </c>
      <c r="P1701">
        <v>25</v>
      </c>
      <c r="Q1701" t="s">
        <v>3719</v>
      </c>
    </row>
    <row r="1702" spans="1:17" x14ac:dyDescent="0.3">
      <c r="A1702" t="s">
        <v>17</v>
      </c>
      <c r="B1702" t="str">
        <f>"605555"</f>
        <v>605555</v>
      </c>
      <c r="C1702" t="s">
        <v>3720</v>
      </c>
      <c r="D1702" t="s">
        <v>2697</v>
      </c>
      <c r="F1702">
        <v>2002614008</v>
      </c>
      <c r="P1702">
        <v>34</v>
      </c>
      <c r="Q1702" t="s">
        <v>3721</v>
      </c>
    </row>
    <row r="1703" spans="1:17" x14ac:dyDescent="0.3">
      <c r="A1703" t="s">
        <v>17</v>
      </c>
      <c r="B1703" t="str">
        <f>"605566"</f>
        <v>605566</v>
      </c>
      <c r="C1703" t="s">
        <v>3722</v>
      </c>
      <c r="D1703" t="s">
        <v>779</v>
      </c>
      <c r="F1703">
        <v>433425931</v>
      </c>
      <c r="P1703">
        <v>22</v>
      </c>
      <c r="Q1703" t="s">
        <v>3723</v>
      </c>
    </row>
    <row r="1704" spans="1:17" x14ac:dyDescent="0.3">
      <c r="A1704" t="s">
        <v>17</v>
      </c>
      <c r="B1704" t="str">
        <f>"605567"</f>
        <v>605567</v>
      </c>
      <c r="C1704" t="s">
        <v>3724</v>
      </c>
      <c r="D1704" t="s">
        <v>2838</v>
      </c>
      <c r="F1704">
        <v>1687217570</v>
      </c>
      <c r="G1704">
        <v>1510068154</v>
      </c>
      <c r="P1704">
        <v>32</v>
      </c>
      <c r="Q1704" t="s">
        <v>3725</v>
      </c>
    </row>
    <row r="1705" spans="1:17" x14ac:dyDescent="0.3">
      <c r="A1705" t="s">
        <v>17</v>
      </c>
      <c r="B1705" t="str">
        <f>"605577"</f>
        <v>605577</v>
      </c>
      <c r="C1705" t="s">
        <v>3726</v>
      </c>
      <c r="D1705" t="s">
        <v>1536</v>
      </c>
      <c r="F1705">
        <v>1064057820</v>
      </c>
      <c r="G1705">
        <v>739324987</v>
      </c>
      <c r="P1705">
        <v>19</v>
      </c>
      <c r="Q1705" t="s">
        <v>3727</v>
      </c>
    </row>
    <row r="1706" spans="1:17" x14ac:dyDescent="0.3">
      <c r="A1706" t="s">
        <v>17</v>
      </c>
      <c r="B1706" t="str">
        <f>"605580"</f>
        <v>605580</v>
      </c>
      <c r="C1706" t="s">
        <v>3728</v>
      </c>
      <c r="D1706" t="s">
        <v>351</v>
      </c>
      <c r="F1706">
        <v>446596304</v>
      </c>
      <c r="P1706">
        <v>30</v>
      </c>
      <c r="Q1706" t="s">
        <v>3729</v>
      </c>
    </row>
    <row r="1707" spans="1:17" x14ac:dyDescent="0.3">
      <c r="A1707" t="s">
        <v>17</v>
      </c>
      <c r="B1707" t="str">
        <f>"605588"</f>
        <v>605588</v>
      </c>
      <c r="C1707" t="s">
        <v>3730</v>
      </c>
      <c r="D1707" t="s">
        <v>164</v>
      </c>
      <c r="F1707">
        <v>1140664971</v>
      </c>
      <c r="G1707">
        <v>744624100</v>
      </c>
      <c r="P1707">
        <v>16</v>
      </c>
      <c r="Q1707" t="s">
        <v>3731</v>
      </c>
    </row>
    <row r="1708" spans="1:17" x14ac:dyDescent="0.3">
      <c r="A1708" t="s">
        <v>17</v>
      </c>
      <c r="B1708" t="str">
        <f>"605589"</f>
        <v>605589</v>
      </c>
      <c r="C1708" t="s">
        <v>3732</v>
      </c>
      <c r="D1708" t="s">
        <v>3350</v>
      </c>
      <c r="F1708">
        <v>3816466532</v>
      </c>
      <c r="G1708">
        <v>4795644229</v>
      </c>
      <c r="P1708">
        <v>40</v>
      </c>
      <c r="Q1708" t="s">
        <v>3733</v>
      </c>
    </row>
    <row r="1709" spans="1:17" x14ac:dyDescent="0.3">
      <c r="A1709" t="s">
        <v>17</v>
      </c>
      <c r="B1709" t="str">
        <f>"605598"</f>
        <v>605598</v>
      </c>
      <c r="C1709" t="s">
        <v>3734</v>
      </c>
      <c r="D1709" t="s">
        <v>1986</v>
      </c>
      <c r="F1709">
        <v>649835517</v>
      </c>
      <c r="P1709">
        <v>18</v>
      </c>
      <c r="Q1709" t="s">
        <v>3735</v>
      </c>
    </row>
    <row r="1710" spans="1:17" x14ac:dyDescent="0.3">
      <c r="A1710" t="s">
        <v>17</v>
      </c>
      <c r="B1710" t="str">
        <f>"605599"</f>
        <v>605599</v>
      </c>
      <c r="C1710" t="s">
        <v>3736</v>
      </c>
      <c r="D1710" t="s">
        <v>1238</v>
      </c>
      <c r="F1710">
        <v>8038642762</v>
      </c>
      <c r="G1710">
        <v>5366181126</v>
      </c>
      <c r="P1710">
        <v>21</v>
      </c>
      <c r="Q1710" t="s">
        <v>3737</v>
      </c>
    </row>
    <row r="1711" spans="1:17" x14ac:dyDescent="0.3">
      <c r="A1711" t="s">
        <v>17</v>
      </c>
      <c r="B1711" t="str">
        <f>"688001"</f>
        <v>688001</v>
      </c>
      <c r="C1711" t="s">
        <v>3738</v>
      </c>
      <c r="D1711" t="s">
        <v>2551</v>
      </c>
      <c r="F1711">
        <v>1247216679</v>
      </c>
      <c r="G1711">
        <v>876564987</v>
      </c>
      <c r="H1711">
        <v>684685015</v>
      </c>
      <c r="I1711">
        <v>720148808</v>
      </c>
      <c r="P1711">
        <v>169</v>
      </c>
      <c r="Q1711" t="s">
        <v>3739</v>
      </c>
    </row>
    <row r="1712" spans="1:17" x14ac:dyDescent="0.3">
      <c r="A1712" t="s">
        <v>17</v>
      </c>
      <c r="B1712" t="str">
        <f>"688002"</f>
        <v>688002</v>
      </c>
      <c r="C1712" t="s">
        <v>3740</v>
      </c>
      <c r="D1712" t="s">
        <v>1136</v>
      </c>
      <c r="F1712">
        <v>1001116644</v>
      </c>
      <c r="G1712">
        <v>927180177</v>
      </c>
      <c r="H1712">
        <v>340250505</v>
      </c>
      <c r="I1712">
        <v>170733249</v>
      </c>
      <c r="P1712">
        <v>407</v>
      </c>
      <c r="Q1712" t="s">
        <v>3741</v>
      </c>
    </row>
    <row r="1713" spans="1:17" x14ac:dyDescent="0.3">
      <c r="A1713" t="s">
        <v>17</v>
      </c>
      <c r="B1713" t="str">
        <f>"688003"</f>
        <v>688003</v>
      </c>
      <c r="C1713" t="s">
        <v>3742</v>
      </c>
      <c r="D1713" t="s">
        <v>3450</v>
      </c>
      <c r="F1713">
        <v>638472830</v>
      </c>
      <c r="G1713">
        <v>467574272</v>
      </c>
      <c r="H1713">
        <v>296766784</v>
      </c>
      <c r="I1713">
        <v>303521730</v>
      </c>
      <c r="P1713">
        <v>141</v>
      </c>
      <c r="Q1713" t="s">
        <v>3743</v>
      </c>
    </row>
    <row r="1714" spans="1:17" x14ac:dyDescent="0.3">
      <c r="A1714" t="s">
        <v>17</v>
      </c>
      <c r="B1714" t="str">
        <f>"688004"</f>
        <v>688004</v>
      </c>
      <c r="C1714" t="s">
        <v>3744</v>
      </c>
      <c r="D1714" t="s">
        <v>316</v>
      </c>
      <c r="F1714">
        <v>124442406</v>
      </c>
      <c r="G1714">
        <v>113329359</v>
      </c>
      <c r="H1714">
        <v>124086630</v>
      </c>
      <c r="P1714">
        <v>37</v>
      </c>
      <c r="Q1714" t="s">
        <v>3745</v>
      </c>
    </row>
    <row r="1715" spans="1:17" x14ac:dyDescent="0.3">
      <c r="A1715" t="s">
        <v>17</v>
      </c>
      <c r="B1715" t="str">
        <f>"688005"</f>
        <v>688005</v>
      </c>
      <c r="C1715" t="s">
        <v>3746</v>
      </c>
      <c r="D1715" t="s">
        <v>1786</v>
      </c>
      <c r="F1715">
        <v>3859384640</v>
      </c>
      <c r="G1715">
        <v>1659812015</v>
      </c>
      <c r="H1715">
        <v>1717318808</v>
      </c>
      <c r="I1715">
        <v>842712152</v>
      </c>
      <c r="P1715">
        <v>318</v>
      </c>
      <c r="Q1715" t="s">
        <v>3747</v>
      </c>
    </row>
    <row r="1716" spans="1:17" x14ac:dyDescent="0.3">
      <c r="A1716" t="s">
        <v>17</v>
      </c>
      <c r="B1716" t="str">
        <f>"688006"</f>
        <v>688006</v>
      </c>
      <c r="C1716" t="s">
        <v>3748</v>
      </c>
      <c r="D1716" t="s">
        <v>3749</v>
      </c>
      <c r="F1716">
        <v>1303401003</v>
      </c>
      <c r="G1716">
        <v>961428133</v>
      </c>
      <c r="H1716">
        <v>665691240</v>
      </c>
      <c r="I1716">
        <v>793460978</v>
      </c>
      <c r="P1716">
        <v>255</v>
      </c>
      <c r="Q1716" t="s">
        <v>3750</v>
      </c>
    </row>
    <row r="1717" spans="1:17" x14ac:dyDescent="0.3">
      <c r="A1717" t="s">
        <v>17</v>
      </c>
      <c r="B1717" t="str">
        <f>"688007"</f>
        <v>688007</v>
      </c>
      <c r="C1717" t="s">
        <v>3751</v>
      </c>
      <c r="D1717" t="s">
        <v>3499</v>
      </c>
      <c r="F1717">
        <v>2048876161</v>
      </c>
      <c r="G1717">
        <v>1457706116</v>
      </c>
      <c r="H1717">
        <v>1524765547</v>
      </c>
      <c r="I1717">
        <v>1047340461</v>
      </c>
      <c r="P1717">
        <v>123</v>
      </c>
      <c r="Q1717" t="s">
        <v>3752</v>
      </c>
    </row>
    <row r="1718" spans="1:17" x14ac:dyDescent="0.3">
      <c r="A1718" t="s">
        <v>17</v>
      </c>
      <c r="B1718" t="str">
        <f>"688008"</f>
        <v>688008</v>
      </c>
      <c r="C1718" t="s">
        <v>3753</v>
      </c>
      <c r="D1718" t="s">
        <v>461</v>
      </c>
      <c r="F1718">
        <v>1265432641</v>
      </c>
      <c r="G1718">
        <v>1659876322</v>
      </c>
      <c r="H1718">
        <v>1412500375</v>
      </c>
      <c r="I1718">
        <v>1049237089</v>
      </c>
      <c r="P1718">
        <v>522</v>
      </c>
      <c r="Q1718" t="s">
        <v>3754</v>
      </c>
    </row>
    <row r="1719" spans="1:17" x14ac:dyDescent="0.3">
      <c r="A1719" t="s">
        <v>17</v>
      </c>
      <c r="B1719" t="str">
        <f>"688009"</f>
        <v>688009</v>
      </c>
      <c r="C1719" t="s">
        <v>3755</v>
      </c>
      <c r="D1719" t="s">
        <v>1012</v>
      </c>
      <c r="F1719">
        <v>28365316172</v>
      </c>
      <c r="G1719">
        <v>25589455300</v>
      </c>
      <c r="H1719">
        <v>21234127328</v>
      </c>
      <c r="I1719">
        <v>16340193589</v>
      </c>
      <c r="P1719">
        <v>201</v>
      </c>
      <c r="Q1719" t="s">
        <v>3756</v>
      </c>
    </row>
    <row r="1720" spans="1:17" x14ac:dyDescent="0.3">
      <c r="A1720" t="s">
        <v>17</v>
      </c>
      <c r="B1720" t="str">
        <f>"688010"</f>
        <v>688010</v>
      </c>
      <c r="C1720" t="s">
        <v>3757</v>
      </c>
      <c r="D1720" t="s">
        <v>164</v>
      </c>
      <c r="F1720">
        <v>516580652</v>
      </c>
      <c r="G1720">
        <v>389047885</v>
      </c>
      <c r="H1720">
        <v>372465249</v>
      </c>
      <c r="I1720">
        <v>473272067</v>
      </c>
      <c r="P1720">
        <v>125</v>
      </c>
      <c r="Q1720" t="s">
        <v>3758</v>
      </c>
    </row>
    <row r="1721" spans="1:17" x14ac:dyDescent="0.3">
      <c r="A1721" t="s">
        <v>17</v>
      </c>
      <c r="B1721" t="str">
        <f>"688011"</f>
        <v>688011</v>
      </c>
      <c r="C1721" t="s">
        <v>3759</v>
      </c>
      <c r="D1721" t="s">
        <v>1136</v>
      </c>
      <c r="F1721">
        <v>84169610</v>
      </c>
      <c r="G1721">
        <v>101097029</v>
      </c>
      <c r="H1721">
        <v>77339967</v>
      </c>
      <c r="I1721">
        <v>140878045</v>
      </c>
      <c r="P1721">
        <v>88</v>
      </c>
      <c r="Q1721" t="s">
        <v>3760</v>
      </c>
    </row>
    <row r="1722" spans="1:17" x14ac:dyDescent="0.3">
      <c r="A1722" t="s">
        <v>17</v>
      </c>
      <c r="B1722" t="str">
        <f>"688012"</f>
        <v>688012</v>
      </c>
      <c r="C1722" t="s">
        <v>3761</v>
      </c>
      <c r="D1722" t="s">
        <v>3160</v>
      </c>
      <c r="F1722">
        <v>2331214694</v>
      </c>
      <c r="G1722">
        <v>1573247571</v>
      </c>
      <c r="H1722">
        <v>1476846532</v>
      </c>
      <c r="I1722">
        <v>1119926050</v>
      </c>
      <c r="P1722">
        <v>620</v>
      </c>
      <c r="Q1722" t="s">
        <v>3762</v>
      </c>
    </row>
    <row r="1723" spans="1:17" x14ac:dyDescent="0.3">
      <c r="A1723" t="s">
        <v>17</v>
      </c>
      <c r="B1723" t="str">
        <f>"688013"</f>
        <v>688013</v>
      </c>
      <c r="C1723" t="s">
        <v>3763</v>
      </c>
      <c r="D1723" t="s">
        <v>1077</v>
      </c>
      <c r="F1723">
        <v>167438425</v>
      </c>
      <c r="G1723">
        <v>131438210</v>
      </c>
      <c r="H1723">
        <v>138742900</v>
      </c>
      <c r="P1723">
        <v>64</v>
      </c>
      <c r="Q1723" t="s">
        <v>3764</v>
      </c>
    </row>
    <row r="1724" spans="1:17" x14ac:dyDescent="0.3">
      <c r="A1724" t="s">
        <v>17</v>
      </c>
      <c r="B1724" t="str">
        <f>"688015"</f>
        <v>688015</v>
      </c>
      <c r="C1724" t="s">
        <v>3765</v>
      </c>
      <c r="D1724" t="s">
        <v>1012</v>
      </c>
      <c r="F1724">
        <v>1255675583</v>
      </c>
      <c r="G1724">
        <v>1700783855</v>
      </c>
      <c r="H1724">
        <v>1381941077</v>
      </c>
      <c r="I1724">
        <v>447842776</v>
      </c>
      <c r="P1724">
        <v>278</v>
      </c>
      <c r="Q1724" t="s">
        <v>3766</v>
      </c>
    </row>
    <row r="1725" spans="1:17" x14ac:dyDescent="0.3">
      <c r="A1725" t="s">
        <v>17</v>
      </c>
      <c r="B1725" t="str">
        <f>"688016"</f>
        <v>688016</v>
      </c>
      <c r="C1725" t="s">
        <v>3767</v>
      </c>
      <c r="D1725" t="s">
        <v>1077</v>
      </c>
      <c r="F1725">
        <v>567666752</v>
      </c>
      <c r="G1725">
        <v>360191231</v>
      </c>
      <c r="H1725">
        <v>278613095</v>
      </c>
      <c r="I1725">
        <v>195684854</v>
      </c>
      <c r="P1725">
        <v>551</v>
      </c>
      <c r="Q1725" t="s">
        <v>3768</v>
      </c>
    </row>
    <row r="1726" spans="1:17" x14ac:dyDescent="0.3">
      <c r="A1726" t="s">
        <v>17</v>
      </c>
      <c r="B1726" t="str">
        <f>"688017"</f>
        <v>688017</v>
      </c>
      <c r="C1726" t="s">
        <v>3769</v>
      </c>
      <c r="D1726" t="s">
        <v>2911</v>
      </c>
      <c r="F1726">
        <v>251777439</v>
      </c>
      <c r="G1726">
        <v>142216198</v>
      </c>
      <c r="H1726">
        <v>111561456</v>
      </c>
      <c r="P1726">
        <v>152</v>
      </c>
      <c r="Q1726" t="s">
        <v>3770</v>
      </c>
    </row>
    <row r="1727" spans="1:17" x14ac:dyDescent="0.3">
      <c r="A1727" t="s">
        <v>17</v>
      </c>
      <c r="B1727" t="str">
        <f>"688018"</f>
        <v>688018</v>
      </c>
      <c r="C1727" t="s">
        <v>3771</v>
      </c>
      <c r="D1727" t="s">
        <v>461</v>
      </c>
      <c r="F1727">
        <v>1028017977</v>
      </c>
      <c r="G1727">
        <v>578759850</v>
      </c>
      <c r="H1727">
        <v>472569406</v>
      </c>
      <c r="I1727">
        <v>359493763</v>
      </c>
      <c r="P1727">
        <v>317</v>
      </c>
      <c r="Q1727" t="s">
        <v>3772</v>
      </c>
    </row>
    <row r="1728" spans="1:17" x14ac:dyDescent="0.3">
      <c r="A1728" t="s">
        <v>17</v>
      </c>
      <c r="B1728" t="str">
        <f>"688019"</f>
        <v>688019</v>
      </c>
      <c r="C1728" t="s">
        <v>3773</v>
      </c>
      <c r="D1728" t="s">
        <v>2399</v>
      </c>
      <c r="F1728">
        <v>360552266</v>
      </c>
      <c r="G1728">
        <v>272909489</v>
      </c>
      <c r="H1728">
        <v>198505945</v>
      </c>
      <c r="I1728">
        <v>164078986</v>
      </c>
      <c r="P1728">
        <v>286</v>
      </c>
      <c r="Q1728" t="s">
        <v>3774</v>
      </c>
    </row>
    <row r="1729" spans="1:17" x14ac:dyDescent="0.3">
      <c r="A1729" t="s">
        <v>17</v>
      </c>
      <c r="B1729" t="str">
        <f>"688020"</f>
        <v>688020</v>
      </c>
      <c r="C1729" t="s">
        <v>3775</v>
      </c>
      <c r="D1729" t="s">
        <v>425</v>
      </c>
      <c r="F1729">
        <v>211969024</v>
      </c>
      <c r="G1729">
        <v>221924584</v>
      </c>
      <c r="H1729">
        <v>222090203</v>
      </c>
      <c r="I1729">
        <v>205264002</v>
      </c>
      <c r="P1729">
        <v>253</v>
      </c>
      <c r="Q1729" t="s">
        <v>3776</v>
      </c>
    </row>
    <row r="1730" spans="1:17" x14ac:dyDescent="0.3">
      <c r="A1730" t="s">
        <v>17</v>
      </c>
      <c r="B1730" t="str">
        <f>"688021"</f>
        <v>688021</v>
      </c>
      <c r="C1730" t="s">
        <v>3777</v>
      </c>
      <c r="D1730" t="s">
        <v>985</v>
      </c>
      <c r="F1730">
        <v>297351164</v>
      </c>
      <c r="G1730">
        <v>187811831</v>
      </c>
      <c r="H1730">
        <v>156554329</v>
      </c>
      <c r="I1730">
        <v>128534093</v>
      </c>
      <c r="P1730">
        <v>79</v>
      </c>
      <c r="Q1730" t="s">
        <v>3778</v>
      </c>
    </row>
    <row r="1731" spans="1:17" x14ac:dyDescent="0.3">
      <c r="A1731" t="s">
        <v>17</v>
      </c>
      <c r="B1731" t="str">
        <f>"688022"</f>
        <v>688022</v>
      </c>
      <c r="C1731" t="s">
        <v>3779</v>
      </c>
      <c r="D1731" t="s">
        <v>741</v>
      </c>
      <c r="F1731">
        <v>485385843</v>
      </c>
      <c r="G1731">
        <v>444919555</v>
      </c>
      <c r="H1731">
        <v>278578947</v>
      </c>
      <c r="I1731">
        <v>283280134</v>
      </c>
      <c r="P1731">
        <v>164</v>
      </c>
      <c r="Q1731" t="s">
        <v>3780</v>
      </c>
    </row>
    <row r="1732" spans="1:17" x14ac:dyDescent="0.3">
      <c r="A1732" t="s">
        <v>17</v>
      </c>
      <c r="B1732" t="str">
        <f>"688023"</f>
        <v>688023</v>
      </c>
      <c r="C1732" t="s">
        <v>3781</v>
      </c>
      <c r="D1732" t="s">
        <v>1189</v>
      </c>
      <c r="F1732">
        <v>920136240</v>
      </c>
      <c r="G1732">
        <v>668617512</v>
      </c>
      <c r="H1732">
        <v>504313322</v>
      </c>
      <c r="I1732">
        <v>347849047</v>
      </c>
      <c r="P1732">
        <v>249</v>
      </c>
      <c r="Q1732" t="s">
        <v>3782</v>
      </c>
    </row>
    <row r="1733" spans="1:17" x14ac:dyDescent="0.3">
      <c r="A1733" t="s">
        <v>17</v>
      </c>
      <c r="B1733" t="str">
        <f>"688025"</f>
        <v>688025</v>
      </c>
      <c r="C1733" t="s">
        <v>3783</v>
      </c>
      <c r="D1733" t="s">
        <v>3784</v>
      </c>
      <c r="F1733">
        <v>913610446</v>
      </c>
      <c r="G1733">
        <v>675035124</v>
      </c>
      <c r="H1733">
        <v>384576093</v>
      </c>
      <c r="I1733">
        <v>520431366</v>
      </c>
      <c r="P1733">
        <v>158</v>
      </c>
      <c r="Q1733" t="s">
        <v>3785</v>
      </c>
    </row>
    <row r="1734" spans="1:17" x14ac:dyDescent="0.3">
      <c r="A1734" t="s">
        <v>17</v>
      </c>
      <c r="B1734" t="str">
        <f>"688026"</f>
        <v>688026</v>
      </c>
      <c r="C1734" t="s">
        <v>3786</v>
      </c>
      <c r="D1734" t="s">
        <v>1192</v>
      </c>
      <c r="F1734">
        <v>602935881</v>
      </c>
      <c r="G1734">
        <v>440981520</v>
      </c>
      <c r="H1734">
        <v>176439037</v>
      </c>
      <c r="I1734">
        <v>140585352</v>
      </c>
      <c r="P1734">
        <v>211</v>
      </c>
      <c r="Q1734" t="s">
        <v>3787</v>
      </c>
    </row>
    <row r="1735" spans="1:17" x14ac:dyDescent="0.3">
      <c r="A1735" t="s">
        <v>17</v>
      </c>
      <c r="B1735" t="str">
        <f>"688027"</f>
        <v>688027</v>
      </c>
      <c r="C1735" t="s">
        <v>3788</v>
      </c>
      <c r="D1735" t="s">
        <v>786</v>
      </c>
      <c r="F1735">
        <v>77891746</v>
      </c>
      <c r="G1735">
        <v>55468164</v>
      </c>
      <c r="H1735">
        <v>219310011</v>
      </c>
      <c r="P1735">
        <v>98</v>
      </c>
      <c r="Q1735" t="s">
        <v>3789</v>
      </c>
    </row>
    <row r="1736" spans="1:17" x14ac:dyDescent="0.3">
      <c r="A1736" t="s">
        <v>17</v>
      </c>
      <c r="B1736" t="str">
        <f>"688028"</f>
        <v>688028</v>
      </c>
      <c r="C1736" t="s">
        <v>3790</v>
      </c>
      <c r="D1736" t="s">
        <v>404</v>
      </c>
      <c r="F1736">
        <v>252067026</v>
      </c>
      <c r="G1736">
        <v>193673069</v>
      </c>
      <c r="H1736">
        <v>207058757</v>
      </c>
      <c r="I1736">
        <v>207406069</v>
      </c>
      <c r="P1736">
        <v>76</v>
      </c>
      <c r="Q1736" t="s">
        <v>3791</v>
      </c>
    </row>
    <row r="1737" spans="1:17" x14ac:dyDescent="0.3">
      <c r="A1737" t="s">
        <v>17</v>
      </c>
      <c r="B1737" t="str">
        <f>"688029"</f>
        <v>688029</v>
      </c>
      <c r="C1737" t="s">
        <v>3792</v>
      </c>
      <c r="D1737" t="s">
        <v>1077</v>
      </c>
      <c r="F1737">
        <v>1393831932</v>
      </c>
      <c r="G1737">
        <v>971566252</v>
      </c>
      <c r="H1737">
        <v>1012673230</v>
      </c>
      <c r="I1737">
        <v>713195147</v>
      </c>
      <c r="P1737">
        <v>392</v>
      </c>
      <c r="Q1737" t="s">
        <v>3793</v>
      </c>
    </row>
    <row r="1738" spans="1:17" x14ac:dyDescent="0.3">
      <c r="A1738" t="s">
        <v>17</v>
      </c>
      <c r="B1738" t="str">
        <f>"688030"</f>
        <v>688030</v>
      </c>
      <c r="C1738" t="s">
        <v>3794</v>
      </c>
      <c r="D1738" t="s">
        <v>1189</v>
      </c>
      <c r="F1738">
        <v>444676126</v>
      </c>
      <c r="G1738">
        <v>395095469</v>
      </c>
      <c r="H1738">
        <v>423638426</v>
      </c>
      <c r="I1738">
        <v>332711092</v>
      </c>
      <c r="P1738">
        <v>145</v>
      </c>
      <c r="Q1738" t="s">
        <v>3795</v>
      </c>
    </row>
    <row r="1739" spans="1:17" x14ac:dyDescent="0.3">
      <c r="A1739" t="s">
        <v>17</v>
      </c>
      <c r="B1739" t="str">
        <f>"688032"</f>
        <v>688032</v>
      </c>
      <c r="C1739" t="s">
        <v>3796</v>
      </c>
      <c r="D1739" t="s">
        <v>3797</v>
      </c>
      <c r="F1739">
        <v>481949031</v>
      </c>
      <c r="G1739">
        <v>291365489</v>
      </c>
      <c r="P1739">
        <v>31</v>
      </c>
      <c r="Q1739" t="s">
        <v>3798</v>
      </c>
    </row>
    <row r="1740" spans="1:17" x14ac:dyDescent="0.3">
      <c r="A1740" t="s">
        <v>17</v>
      </c>
      <c r="B1740" t="str">
        <f>"688033"</f>
        <v>688033</v>
      </c>
      <c r="C1740" t="s">
        <v>3799</v>
      </c>
      <c r="D1740" t="s">
        <v>1012</v>
      </c>
      <c r="F1740">
        <v>364087367</v>
      </c>
      <c r="G1740">
        <v>303649167</v>
      </c>
      <c r="H1740">
        <v>323126662</v>
      </c>
      <c r="I1740">
        <v>413093899</v>
      </c>
      <c r="P1740">
        <v>86</v>
      </c>
      <c r="Q1740" t="s">
        <v>3800</v>
      </c>
    </row>
    <row r="1741" spans="1:17" x14ac:dyDescent="0.3">
      <c r="A1741" t="s">
        <v>17</v>
      </c>
      <c r="B1741" t="str">
        <f>"688036"</f>
        <v>688036</v>
      </c>
      <c r="C1741" t="s">
        <v>3801</v>
      </c>
      <c r="D1741" t="s">
        <v>3499</v>
      </c>
      <c r="F1741">
        <v>37050978032</v>
      </c>
      <c r="G1741">
        <v>26487819816</v>
      </c>
      <c r="H1741">
        <v>17884619225</v>
      </c>
      <c r="I1741">
        <v>16917479067</v>
      </c>
      <c r="P1741">
        <v>596</v>
      </c>
      <c r="Q1741" t="s">
        <v>3802</v>
      </c>
    </row>
    <row r="1742" spans="1:17" x14ac:dyDescent="0.3">
      <c r="A1742" t="s">
        <v>17</v>
      </c>
      <c r="B1742" t="str">
        <f>"688037"</f>
        <v>688037</v>
      </c>
      <c r="C1742" t="s">
        <v>3803</v>
      </c>
      <c r="D1742" t="s">
        <v>3160</v>
      </c>
      <c r="F1742">
        <v>632418031</v>
      </c>
      <c r="G1742">
        <v>191268047</v>
      </c>
      <c r="H1742">
        <v>110123974</v>
      </c>
      <c r="I1742">
        <v>0</v>
      </c>
      <c r="P1742">
        <v>168</v>
      </c>
      <c r="Q1742" t="s">
        <v>3804</v>
      </c>
    </row>
    <row r="1743" spans="1:17" x14ac:dyDescent="0.3">
      <c r="A1743" t="s">
        <v>17</v>
      </c>
      <c r="B1743" t="str">
        <f>"688038"</f>
        <v>688038</v>
      </c>
      <c r="C1743" t="s">
        <v>3805</v>
      </c>
      <c r="D1743" t="s">
        <v>945</v>
      </c>
      <c r="F1743">
        <v>170758277</v>
      </c>
      <c r="P1743">
        <v>17</v>
      </c>
      <c r="Q1743" t="s">
        <v>3806</v>
      </c>
    </row>
    <row r="1744" spans="1:17" x14ac:dyDescent="0.3">
      <c r="A1744" t="s">
        <v>17</v>
      </c>
      <c r="B1744" t="str">
        <f>"688039"</f>
        <v>688039</v>
      </c>
      <c r="C1744" t="s">
        <v>3807</v>
      </c>
      <c r="D1744" t="s">
        <v>316</v>
      </c>
      <c r="F1744">
        <v>151829162</v>
      </c>
      <c r="G1744">
        <v>152272527</v>
      </c>
      <c r="H1744">
        <v>109471070</v>
      </c>
      <c r="I1744">
        <v>86371533</v>
      </c>
      <c r="P1744">
        <v>155</v>
      </c>
      <c r="Q1744" t="s">
        <v>3808</v>
      </c>
    </row>
    <row r="1745" spans="1:17" x14ac:dyDescent="0.3">
      <c r="A1745" t="s">
        <v>17</v>
      </c>
      <c r="B1745" t="str">
        <f>"688049"</f>
        <v>688049</v>
      </c>
      <c r="C1745" t="s">
        <v>3809</v>
      </c>
      <c r="D1745" t="s">
        <v>461</v>
      </c>
      <c r="F1745">
        <v>442509566</v>
      </c>
      <c r="G1745">
        <v>263889882</v>
      </c>
      <c r="P1745">
        <v>21</v>
      </c>
      <c r="Q1745" t="s">
        <v>3810</v>
      </c>
    </row>
    <row r="1746" spans="1:17" x14ac:dyDescent="0.3">
      <c r="A1746" t="s">
        <v>17</v>
      </c>
      <c r="B1746" t="str">
        <f>"688050"</f>
        <v>688050</v>
      </c>
      <c r="C1746" t="s">
        <v>3811</v>
      </c>
      <c r="D1746" t="s">
        <v>1077</v>
      </c>
      <c r="F1746">
        <v>339872071</v>
      </c>
      <c r="G1746">
        <v>167363374</v>
      </c>
      <c r="H1746">
        <v>133649263</v>
      </c>
      <c r="P1746">
        <v>411</v>
      </c>
      <c r="Q1746" t="s">
        <v>3812</v>
      </c>
    </row>
    <row r="1747" spans="1:17" x14ac:dyDescent="0.3">
      <c r="A1747" t="s">
        <v>17</v>
      </c>
      <c r="B1747" t="str">
        <f>"688051"</f>
        <v>688051</v>
      </c>
      <c r="C1747" t="s">
        <v>3813</v>
      </c>
      <c r="D1747" t="s">
        <v>316</v>
      </c>
      <c r="F1747">
        <v>222949266</v>
      </c>
      <c r="G1747">
        <v>245858057</v>
      </c>
      <c r="H1747">
        <v>237484525</v>
      </c>
      <c r="P1747">
        <v>91</v>
      </c>
      <c r="Q1747" t="s">
        <v>3814</v>
      </c>
    </row>
    <row r="1748" spans="1:17" x14ac:dyDescent="0.3">
      <c r="A1748" t="s">
        <v>17</v>
      </c>
      <c r="B1748" t="str">
        <f>"688055"</f>
        <v>688055</v>
      </c>
      <c r="C1748" t="s">
        <v>3815</v>
      </c>
      <c r="D1748" t="s">
        <v>1117</v>
      </c>
      <c r="F1748">
        <v>4462732280</v>
      </c>
      <c r="G1748">
        <v>2966164426</v>
      </c>
      <c r="H1748">
        <v>2768523648</v>
      </c>
      <c r="P1748">
        <v>76</v>
      </c>
      <c r="Q1748" t="s">
        <v>3816</v>
      </c>
    </row>
    <row r="1749" spans="1:17" x14ac:dyDescent="0.3">
      <c r="A1749" t="s">
        <v>17</v>
      </c>
      <c r="B1749" t="str">
        <f>"688056"</f>
        <v>688056</v>
      </c>
      <c r="C1749" t="s">
        <v>3817</v>
      </c>
      <c r="D1749" t="s">
        <v>2551</v>
      </c>
      <c r="F1749">
        <v>275663635</v>
      </c>
      <c r="G1749">
        <v>250808695</v>
      </c>
      <c r="H1749">
        <v>272517633</v>
      </c>
      <c r="P1749">
        <v>50</v>
      </c>
      <c r="Q1749" t="s">
        <v>3818</v>
      </c>
    </row>
    <row r="1750" spans="1:17" x14ac:dyDescent="0.3">
      <c r="A1750" t="s">
        <v>17</v>
      </c>
      <c r="B1750" t="str">
        <f>"688057"</f>
        <v>688057</v>
      </c>
      <c r="C1750" t="s">
        <v>3819</v>
      </c>
      <c r="D1750" t="s">
        <v>33</v>
      </c>
      <c r="F1750">
        <v>415799726</v>
      </c>
      <c r="G1750">
        <v>581611357</v>
      </c>
      <c r="H1750">
        <v>461922824</v>
      </c>
      <c r="I1750">
        <v>459777505</v>
      </c>
      <c r="P1750">
        <v>116</v>
      </c>
      <c r="Q1750" t="s">
        <v>3820</v>
      </c>
    </row>
    <row r="1751" spans="1:17" x14ac:dyDescent="0.3">
      <c r="A1751" t="s">
        <v>17</v>
      </c>
      <c r="B1751" t="str">
        <f>"688058"</f>
        <v>688058</v>
      </c>
      <c r="C1751" t="s">
        <v>3821</v>
      </c>
      <c r="D1751" t="s">
        <v>1189</v>
      </c>
      <c r="F1751">
        <v>120548758</v>
      </c>
      <c r="G1751">
        <v>83342224</v>
      </c>
      <c r="H1751">
        <v>84566467</v>
      </c>
      <c r="P1751">
        <v>96</v>
      </c>
      <c r="Q1751" t="s">
        <v>3822</v>
      </c>
    </row>
    <row r="1752" spans="1:17" x14ac:dyDescent="0.3">
      <c r="A1752" t="s">
        <v>17</v>
      </c>
      <c r="B1752" t="str">
        <f>"688059"</f>
        <v>688059</v>
      </c>
      <c r="C1752" t="s">
        <v>3823</v>
      </c>
      <c r="D1752" t="s">
        <v>274</v>
      </c>
      <c r="F1752">
        <v>250787669</v>
      </c>
      <c r="G1752">
        <v>137160177</v>
      </c>
      <c r="H1752">
        <v>0</v>
      </c>
      <c r="P1752">
        <v>105</v>
      </c>
      <c r="Q1752" t="s">
        <v>3824</v>
      </c>
    </row>
    <row r="1753" spans="1:17" x14ac:dyDescent="0.3">
      <c r="A1753" t="s">
        <v>17</v>
      </c>
      <c r="B1753" t="str">
        <f>"688060"</f>
        <v>688060</v>
      </c>
      <c r="C1753" t="s">
        <v>3825</v>
      </c>
      <c r="D1753" t="s">
        <v>236</v>
      </c>
      <c r="F1753">
        <v>124555938</v>
      </c>
      <c r="G1753">
        <v>124259835</v>
      </c>
      <c r="H1753">
        <v>145542796</v>
      </c>
      <c r="P1753">
        <v>75</v>
      </c>
      <c r="Q1753" t="s">
        <v>3826</v>
      </c>
    </row>
    <row r="1754" spans="1:17" x14ac:dyDescent="0.3">
      <c r="A1754" t="s">
        <v>17</v>
      </c>
      <c r="B1754" t="str">
        <f>"688062"</f>
        <v>688062</v>
      </c>
      <c r="C1754" t="s">
        <v>3827</v>
      </c>
      <c r="D1754" t="s">
        <v>143</v>
      </c>
      <c r="F1754">
        <v>67480351</v>
      </c>
      <c r="G1754">
        <v>16813793</v>
      </c>
      <c r="P1754">
        <v>14</v>
      </c>
      <c r="Q1754" t="s">
        <v>3828</v>
      </c>
    </row>
    <row r="1755" spans="1:17" x14ac:dyDescent="0.3">
      <c r="A1755" t="s">
        <v>17</v>
      </c>
      <c r="B1755" t="str">
        <f>"688063"</f>
        <v>688063</v>
      </c>
      <c r="C1755" t="s">
        <v>3829</v>
      </c>
      <c r="D1755" t="s">
        <v>359</v>
      </c>
      <c r="F1755">
        <v>1039591765</v>
      </c>
      <c r="G1755">
        <v>650581174</v>
      </c>
      <c r="H1755">
        <v>0</v>
      </c>
      <c r="P1755">
        <v>212</v>
      </c>
      <c r="Q1755" t="s">
        <v>3830</v>
      </c>
    </row>
    <row r="1756" spans="1:17" x14ac:dyDescent="0.3">
      <c r="A1756" t="s">
        <v>17</v>
      </c>
      <c r="B1756" t="str">
        <f>"688065"</f>
        <v>688065</v>
      </c>
      <c r="C1756" t="s">
        <v>3831</v>
      </c>
      <c r="D1756" t="s">
        <v>386</v>
      </c>
      <c r="F1756">
        <v>1591295317</v>
      </c>
      <c r="G1756">
        <v>1197855632</v>
      </c>
      <c r="H1756">
        <v>1497796663</v>
      </c>
      <c r="P1756">
        <v>107</v>
      </c>
      <c r="Q1756" t="s">
        <v>3832</v>
      </c>
    </row>
    <row r="1757" spans="1:17" x14ac:dyDescent="0.3">
      <c r="A1757" t="s">
        <v>17</v>
      </c>
      <c r="B1757" t="str">
        <f>"688066"</f>
        <v>688066</v>
      </c>
      <c r="C1757" t="s">
        <v>3833</v>
      </c>
      <c r="D1757" t="s">
        <v>316</v>
      </c>
      <c r="F1757">
        <v>472931181</v>
      </c>
      <c r="G1757">
        <v>396388736</v>
      </c>
      <c r="H1757">
        <v>235838485</v>
      </c>
      <c r="I1757">
        <v>149018980</v>
      </c>
      <c r="P1757">
        <v>159</v>
      </c>
      <c r="Q1757" t="s">
        <v>3834</v>
      </c>
    </row>
    <row r="1758" spans="1:17" x14ac:dyDescent="0.3">
      <c r="A1758" t="s">
        <v>17</v>
      </c>
      <c r="B1758" t="str">
        <f>"688067"</f>
        <v>688067</v>
      </c>
      <c r="C1758" t="s">
        <v>3835</v>
      </c>
      <c r="D1758" t="s">
        <v>1305</v>
      </c>
      <c r="F1758">
        <v>167461562</v>
      </c>
      <c r="P1758">
        <v>35</v>
      </c>
      <c r="Q1758" t="s">
        <v>3836</v>
      </c>
    </row>
    <row r="1759" spans="1:17" x14ac:dyDescent="0.3">
      <c r="A1759" t="s">
        <v>17</v>
      </c>
      <c r="B1759" t="str">
        <f>"688068"</f>
        <v>688068</v>
      </c>
      <c r="C1759" t="s">
        <v>3837</v>
      </c>
      <c r="D1759" t="s">
        <v>1305</v>
      </c>
      <c r="F1759">
        <v>3807118502</v>
      </c>
      <c r="G1759">
        <v>133755976</v>
      </c>
      <c r="H1759">
        <v>146000860</v>
      </c>
      <c r="I1759">
        <v>126808330</v>
      </c>
      <c r="P1759">
        <v>254</v>
      </c>
      <c r="Q1759" t="s">
        <v>3838</v>
      </c>
    </row>
    <row r="1760" spans="1:17" x14ac:dyDescent="0.3">
      <c r="A1760" t="s">
        <v>17</v>
      </c>
      <c r="B1760" t="str">
        <f>"688069"</f>
        <v>688069</v>
      </c>
      <c r="C1760" t="s">
        <v>3839</v>
      </c>
      <c r="D1760" t="s">
        <v>33</v>
      </c>
      <c r="F1760">
        <v>176487118</v>
      </c>
      <c r="G1760">
        <v>103283286</v>
      </c>
      <c r="H1760">
        <v>195746685</v>
      </c>
      <c r="I1760">
        <v>12866800</v>
      </c>
      <c r="P1760">
        <v>79</v>
      </c>
      <c r="Q1760" t="s">
        <v>3840</v>
      </c>
    </row>
    <row r="1761" spans="1:17" x14ac:dyDescent="0.3">
      <c r="A1761" t="s">
        <v>17</v>
      </c>
      <c r="B1761" t="str">
        <f>"688070"</f>
        <v>688070</v>
      </c>
      <c r="C1761" t="s">
        <v>3841</v>
      </c>
      <c r="D1761" t="s">
        <v>98</v>
      </c>
      <c r="F1761">
        <v>130784742</v>
      </c>
      <c r="G1761">
        <v>154160290</v>
      </c>
      <c r="H1761">
        <v>0</v>
      </c>
      <c r="P1761">
        <v>43</v>
      </c>
      <c r="Q1761" t="s">
        <v>3842</v>
      </c>
    </row>
    <row r="1762" spans="1:17" x14ac:dyDescent="0.3">
      <c r="A1762" t="s">
        <v>17</v>
      </c>
      <c r="B1762" t="str">
        <f>"688071"</f>
        <v>688071</v>
      </c>
      <c r="C1762" t="s">
        <v>3843</v>
      </c>
      <c r="D1762" t="s">
        <v>741</v>
      </c>
      <c r="F1762">
        <v>113649965</v>
      </c>
      <c r="G1762">
        <v>147073496</v>
      </c>
      <c r="P1762">
        <v>28</v>
      </c>
      <c r="Q1762" t="s">
        <v>3844</v>
      </c>
    </row>
    <row r="1763" spans="1:17" x14ac:dyDescent="0.3">
      <c r="A1763" t="s">
        <v>17</v>
      </c>
      <c r="B1763" t="str">
        <f>"688072"</f>
        <v>688072</v>
      </c>
      <c r="C1763" t="s">
        <v>3845</v>
      </c>
      <c r="F1763">
        <v>714629016</v>
      </c>
      <c r="P1763">
        <v>5</v>
      </c>
      <c r="Q1763" t="s">
        <v>3846</v>
      </c>
    </row>
    <row r="1764" spans="1:17" x14ac:dyDescent="0.3">
      <c r="A1764" t="s">
        <v>17</v>
      </c>
      <c r="B1764" t="str">
        <f>"688075"</f>
        <v>688075</v>
      </c>
      <c r="C1764" t="s">
        <v>3847</v>
      </c>
      <c r="D1764" t="s">
        <v>1305</v>
      </c>
      <c r="F1764">
        <v>764435421</v>
      </c>
      <c r="G1764">
        <v>340473298</v>
      </c>
      <c r="P1764">
        <v>37</v>
      </c>
      <c r="Q1764" t="s">
        <v>3848</v>
      </c>
    </row>
    <row r="1765" spans="1:17" x14ac:dyDescent="0.3">
      <c r="A1765" t="s">
        <v>17</v>
      </c>
      <c r="B1765" t="str">
        <f>"688076"</f>
        <v>688076</v>
      </c>
      <c r="C1765" t="s">
        <v>3849</v>
      </c>
      <c r="D1765" t="s">
        <v>1461</v>
      </c>
      <c r="F1765">
        <v>476520550</v>
      </c>
      <c r="G1765">
        <v>376279417</v>
      </c>
      <c r="P1765">
        <v>53</v>
      </c>
      <c r="Q1765" t="s">
        <v>3850</v>
      </c>
    </row>
    <row r="1766" spans="1:17" x14ac:dyDescent="0.3">
      <c r="A1766" t="s">
        <v>17</v>
      </c>
      <c r="B1766" t="str">
        <f>"688077"</f>
        <v>688077</v>
      </c>
      <c r="C1766" t="s">
        <v>3851</v>
      </c>
      <c r="D1766" t="s">
        <v>808</v>
      </c>
      <c r="F1766">
        <v>873686579</v>
      </c>
      <c r="G1766">
        <v>538505247</v>
      </c>
      <c r="H1766">
        <v>398492306</v>
      </c>
      <c r="P1766">
        <v>78</v>
      </c>
      <c r="Q1766" t="s">
        <v>3852</v>
      </c>
    </row>
    <row r="1767" spans="1:17" x14ac:dyDescent="0.3">
      <c r="A1767" t="s">
        <v>17</v>
      </c>
      <c r="B1767" t="str">
        <f>"688078"</f>
        <v>688078</v>
      </c>
      <c r="C1767" t="s">
        <v>3853</v>
      </c>
      <c r="D1767" t="s">
        <v>1189</v>
      </c>
      <c r="F1767">
        <v>82030321</v>
      </c>
      <c r="G1767">
        <v>71707642</v>
      </c>
      <c r="H1767">
        <v>92526393</v>
      </c>
      <c r="I1767">
        <v>66890108</v>
      </c>
      <c r="P1767">
        <v>83</v>
      </c>
      <c r="Q1767" t="s">
        <v>3854</v>
      </c>
    </row>
    <row r="1768" spans="1:17" x14ac:dyDescent="0.3">
      <c r="A1768" t="s">
        <v>17</v>
      </c>
      <c r="B1768" t="str">
        <f>"688079"</f>
        <v>688079</v>
      </c>
      <c r="C1768" t="s">
        <v>3855</v>
      </c>
      <c r="D1768" t="s">
        <v>164</v>
      </c>
      <c r="F1768">
        <v>335975113</v>
      </c>
      <c r="G1768">
        <v>305025279</v>
      </c>
      <c r="P1768">
        <v>36</v>
      </c>
      <c r="Q1768" t="s">
        <v>3856</v>
      </c>
    </row>
    <row r="1769" spans="1:17" x14ac:dyDescent="0.3">
      <c r="A1769" t="s">
        <v>17</v>
      </c>
      <c r="B1769" t="str">
        <f>"688080"</f>
        <v>688080</v>
      </c>
      <c r="C1769" t="s">
        <v>3857</v>
      </c>
      <c r="D1769" t="s">
        <v>595</v>
      </c>
      <c r="F1769">
        <v>296740558</v>
      </c>
      <c r="G1769">
        <v>218182646</v>
      </c>
      <c r="H1769">
        <v>137151464</v>
      </c>
      <c r="I1769">
        <v>163068298</v>
      </c>
      <c r="P1769">
        <v>87</v>
      </c>
      <c r="Q1769" t="s">
        <v>3858</v>
      </c>
    </row>
    <row r="1770" spans="1:17" x14ac:dyDescent="0.3">
      <c r="A1770" t="s">
        <v>17</v>
      </c>
      <c r="B1770" t="str">
        <f>"688081"</f>
        <v>688081</v>
      </c>
      <c r="C1770" t="s">
        <v>3859</v>
      </c>
      <c r="D1770" t="s">
        <v>1136</v>
      </c>
      <c r="F1770">
        <v>114609344</v>
      </c>
      <c r="G1770">
        <v>65016697</v>
      </c>
      <c r="H1770">
        <v>142890721</v>
      </c>
      <c r="I1770">
        <v>0</v>
      </c>
      <c r="P1770">
        <v>55</v>
      </c>
      <c r="Q1770" t="s">
        <v>3860</v>
      </c>
    </row>
    <row r="1771" spans="1:17" x14ac:dyDescent="0.3">
      <c r="A1771" t="s">
        <v>17</v>
      </c>
      <c r="B1771" t="str">
        <f>"688082"</f>
        <v>688082</v>
      </c>
      <c r="C1771" t="s">
        <v>3861</v>
      </c>
      <c r="D1771" t="s">
        <v>3160</v>
      </c>
      <c r="F1771">
        <v>1139052651</v>
      </c>
      <c r="P1771">
        <v>35</v>
      </c>
      <c r="Q1771" t="s">
        <v>3862</v>
      </c>
    </row>
    <row r="1772" spans="1:17" x14ac:dyDescent="0.3">
      <c r="A1772" t="s">
        <v>17</v>
      </c>
      <c r="B1772" t="str">
        <f>"688083"</f>
        <v>688083</v>
      </c>
      <c r="C1772" t="s">
        <v>3863</v>
      </c>
      <c r="D1772" t="s">
        <v>945</v>
      </c>
      <c r="F1772">
        <v>393552161</v>
      </c>
      <c r="G1772">
        <v>297184559</v>
      </c>
      <c r="H1772">
        <v>223887294</v>
      </c>
      <c r="P1772">
        <v>130</v>
      </c>
      <c r="Q1772" t="s">
        <v>3864</v>
      </c>
    </row>
    <row r="1773" spans="1:17" x14ac:dyDescent="0.3">
      <c r="A1773" t="s">
        <v>17</v>
      </c>
      <c r="B1773" t="str">
        <f>"688085"</f>
        <v>688085</v>
      </c>
      <c r="C1773" t="s">
        <v>3865</v>
      </c>
      <c r="D1773" t="s">
        <v>1077</v>
      </c>
      <c r="F1773">
        <v>419486348</v>
      </c>
      <c r="G1773">
        <v>297816460</v>
      </c>
      <c r="H1773">
        <v>0</v>
      </c>
      <c r="I1773">
        <v>0</v>
      </c>
      <c r="P1773">
        <v>197</v>
      </c>
      <c r="Q1773" t="s">
        <v>3866</v>
      </c>
    </row>
    <row r="1774" spans="1:17" x14ac:dyDescent="0.3">
      <c r="A1774" t="s">
        <v>17</v>
      </c>
      <c r="B1774" t="str">
        <f>"688086"</f>
        <v>688086</v>
      </c>
      <c r="C1774" t="s">
        <v>3867</v>
      </c>
      <c r="D1774" t="s">
        <v>236</v>
      </c>
      <c r="F1774">
        <v>392933486</v>
      </c>
      <c r="G1774">
        <v>180546599</v>
      </c>
      <c r="H1774">
        <v>170804464</v>
      </c>
      <c r="I1774">
        <v>0</v>
      </c>
      <c r="P1774">
        <v>84</v>
      </c>
      <c r="Q1774" t="s">
        <v>3868</v>
      </c>
    </row>
    <row r="1775" spans="1:17" x14ac:dyDescent="0.3">
      <c r="A1775" t="s">
        <v>17</v>
      </c>
      <c r="B1775" t="str">
        <f>"688087"</f>
        <v>688087</v>
      </c>
      <c r="C1775" t="s">
        <v>3869</v>
      </c>
      <c r="D1775" t="s">
        <v>1192</v>
      </c>
      <c r="F1775">
        <v>1547518290</v>
      </c>
      <c r="G1775">
        <v>1101098677</v>
      </c>
      <c r="P1775">
        <v>36</v>
      </c>
      <c r="Q1775" t="s">
        <v>3870</v>
      </c>
    </row>
    <row r="1776" spans="1:17" x14ac:dyDescent="0.3">
      <c r="A1776" t="s">
        <v>17</v>
      </c>
      <c r="B1776" t="str">
        <f>"688088"</f>
        <v>688088</v>
      </c>
      <c r="C1776" t="s">
        <v>3871</v>
      </c>
      <c r="D1776" t="s">
        <v>316</v>
      </c>
      <c r="F1776">
        <v>499912568</v>
      </c>
      <c r="G1776">
        <v>466905783</v>
      </c>
      <c r="H1776">
        <v>432071238</v>
      </c>
      <c r="I1776">
        <v>424934614</v>
      </c>
      <c r="P1776">
        <v>271</v>
      </c>
      <c r="Q1776" t="s">
        <v>3872</v>
      </c>
    </row>
    <row r="1777" spans="1:17" x14ac:dyDescent="0.3">
      <c r="A1777" t="s">
        <v>17</v>
      </c>
      <c r="B1777" t="str">
        <f>"688089"</f>
        <v>688089</v>
      </c>
      <c r="C1777" t="s">
        <v>3873</v>
      </c>
      <c r="D1777" t="s">
        <v>677</v>
      </c>
      <c r="F1777">
        <v>222012635</v>
      </c>
      <c r="G1777">
        <v>261333011</v>
      </c>
      <c r="H1777">
        <v>73112300</v>
      </c>
      <c r="I1777">
        <v>0</v>
      </c>
      <c r="P1777">
        <v>150</v>
      </c>
      <c r="Q1777" t="s">
        <v>3874</v>
      </c>
    </row>
    <row r="1778" spans="1:17" x14ac:dyDescent="0.3">
      <c r="A1778" t="s">
        <v>17</v>
      </c>
      <c r="B1778" t="str">
        <f>"688090"</f>
        <v>688090</v>
      </c>
      <c r="C1778" t="s">
        <v>3875</v>
      </c>
      <c r="D1778" t="s">
        <v>2911</v>
      </c>
      <c r="F1778">
        <v>605721293</v>
      </c>
      <c r="G1778">
        <v>628824046</v>
      </c>
      <c r="H1778">
        <v>536130113</v>
      </c>
      <c r="I1778">
        <v>384622592</v>
      </c>
      <c r="P1778">
        <v>63</v>
      </c>
      <c r="Q1778" t="s">
        <v>3876</v>
      </c>
    </row>
    <row r="1779" spans="1:17" x14ac:dyDescent="0.3">
      <c r="A1779" t="s">
        <v>17</v>
      </c>
      <c r="B1779" t="str">
        <f>"688091"</f>
        <v>688091</v>
      </c>
      <c r="C1779" t="s">
        <v>3877</v>
      </c>
      <c r="D1779" t="s">
        <v>143</v>
      </c>
      <c r="F1779">
        <v>0</v>
      </c>
      <c r="G1779">
        <v>0</v>
      </c>
      <c r="P1779">
        <v>14</v>
      </c>
      <c r="Q1779" t="s">
        <v>3878</v>
      </c>
    </row>
    <row r="1780" spans="1:17" x14ac:dyDescent="0.3">
      <c r="A1780" t="s">
        <v>17</v>
      </c>
      <c r="B1780" t="str">
        <f>"688092"</f>
        <v>688092</v>
      </c>
      <c r="C1780" t="s">
        <v>3879</v>
      </c>
      <c r="D1780" t="s">
        <v>741</v>
      </c>
      <c r="F1780">
        <v>246743937</v>
      </c>
      <c r="G1780">
        <v>161353540</v>
      </c>
      <c r="P1780">
        <v>29</v>
      </c>
      <c r="Q1780" t="s">
        <v>3880</v>
      </c>
    </row>
    <row r="1781" spans="1:17" x14ac:dyDescent="0.3">
      <c r="A1781" t="s">
        <v>17</v>
      </c>
      <c r="B1781" t="str">
        <f>"688093"</f>
        <v>688093</v>
      </c>
      <c r="C1781" t="s">
        <v>3881</v>
      </c>
      <c r="D1781" t="s">
        <v>651</v>
      </c>
      <c r="F1781">
        <v>287987917</v>
      </c>
      <c r="G1781">
        <v>199210980</v>
      </c>
      <c r="H1781">
        <v>171708153</v>
      </c>
      <c r="P1781">
        <v>59</v>
      </c>
      <c r="Q1781" t="s">
        <v>3882</v>
      </c>
    </row>
    <row r="1782" spans="1:17" x14ac:dyDescent="0.3">
      <c r="A1782" t="s">
        <v>17</v>
      </c>
      <c r="B1782" t="str">
        <f>"688095"</f>
        <v>688095</v>
      </c>
      <c r="C1782" t="s">
        <v>3883</v>
      </c>
      <c r="D1782" t="s">
        <v>1189</v>
      </c>
      <c r="F1782">
        <v>418394763</v>
      </c>
      <c r="G1782">
        <v>362100461</v>
      </c>
      <c r="H1782">
        <v>275533938</v>
      </c>
      <c r="P1782">
        <v>141</v>
      </c>
      <c r="Q1782" t="s">
        <v>3884</v>
      </c>
    </row>
    <row r="1783" spans="1:17" x14ac:dyDescent="0.3">
      <c r="A1783" t="s">
        <v>17</v>
      </c>
      <c r="B1783" t="str">
        <f>"688096"</f>
        <v>688096</v>
      </c>
      <c r="C1783" t="s">
        <v>3885</v>
      </c>
      <c r="D1783" t="s">
        <v>33</v>
      </c>
      <c r="F1783">
        <v>144473967</v>
      </c>
      <c r="G1783">
        <v>112396608</v>
      </c>
      <c r="H1783">
        <v>0</v>
      </c>
      <c r="I1783">
        <v>0</v>
      </c>
      <c r="P1783">
        <v>73</v>
      </c>
      <c r="Q1783" t="s">
        <v>3886</v>
      </c>
    </row>
    <row r="1784" spans="1:17" x14ac:dyDescent="0.3">
      <c r="A1784" t="s">
        <v>17</v>
      </c>
      <c r="B1784" t="str">
        <f>"688097"</f>
        <v>688097</v>
      </c>
      <c r="C1784" t="s">
        <v>3887</v>
      </c>
      <c r="D1784" t="s">
        <v>3450</v>
      </c>
      <c r="F1784">
        <v>2769292568</v>
      </c>
      <c r="G1784">
        <v>1371287374</v>
      </c>
      <c r="P1784">
        <v>25</v>
      </c>
      <c r="Q1784" t="s">
        <v>3888</v>
      </c>
    </row>
    <row r="1785" spans="1:17" x14ac:dyDescent="0.3">
      <c r="A1785" t="s">
        <v>17</v>
      </c>
      <c r="B1785" t="str">
        <f>"688098"</f>
        <v>688098</v>
      </c>
      <c r="C1785" t="s">
        <v>3889</v>
      </c>
      <c r="D1785" t="s">
        <v>453</v>
      </c>
      <c r="F1785">
        <v>206957692</v>
      </c>
      <c r="G1785">
        <v>137805394</v>
      </c>
      <c r="H1785">
        <v>91669425</v>
      </c>
      <c r="I1785">
        <v>150012227</v>
      </c>
      <c r="P1785">
        <v>73</v>
      </c>
      <c r="Q1785" t="s">
        <v>3890</v>
      </c>
    </row>
    <row r="1786" spans="1:17" x14ac:dyDescent="0.3">
      <c r="A1786" t="s">
        <v>17</v>
      </c>
      <c r="B1786" t="str">
        <f>"688099"</f>
        <v>688099</v>
      </c>
      <c r="C1786" t="s">
        <v>3891</v>
      </c>
      <c r="D1786" t="s">
        <v>461</v>
      </c>
      <c r="F1786">
        <v>3334866760</v>
      </c>
      <c r="G1786">
        <v>1967135890</v>
      </c>
      <c r="H1786">
        <v>1729796707</v>
      </c>
      <c r="I1786">
        <v>1590792358</v>
      </c>
      <c r="P1786">
        <v>301</v>
      </c>
      <c r="Q1786" t="s">
        <v>3892</v>
      </c>
    </row>
    <row r="1787" spans="1:17" x14ac:dyDescent="0.3">
      <c r="A1787" t="s">
        <v>17</v>
      </c>
      <c r="B1787" t="str">
        <f>"688100"</f>
        <v>688100</v>
      </c>
      <c r="C1787" t="s">
        <v>3893</v>
      </c>
      <c r="D1787" t="s">
        <v>786</v>
      </c>
      <c r="F1787">
        <v>898840763</v>
      </c>
      <c r="G1787">
        <v>792700172</v>
      </c>
      <c r="H1787">
        <v>769811280</v>
      </c>
      <c r="I1787">
        <v>0</v>
      </c>
      <c r="P1787">
        <v>103</v>
      </c>
      <c r="Q1787" t="s">
        <v>3894</v>
      </c>
    </row>
    <row r="1788" spans="1:17" x14ac:dyDescent="0.3">
      <c r="A1788" t="s">
        <v>17</v>
      </c>
      <c r="B1788" t="str">
        <f>"688101"</f>
        <v>688101</v>
      </c>
      <c r="C1788" t="s">
        <v>3895</v>
      </c>
      <c r="D1788" t="s">
        <v>33</v>
      </c>
      <c r="F1788">
        <v>511881691</v>
      </c>
      <c r="G1788">
        <v>430497879</v>
      </c>
      <c r="H1788">
        <v>512148614</v>
      </c>
      <c r="I1788">
        <v>336850863</v>
      </c>
      <c r="P1788">
        <v>77</v>
      </c>
      <c r="Q1788" t="s">
        <v>3896</v>
      </c>
    </row>
    <row r="1789" spans="1:17" x14ac:dyDescent="0.3">
      <c r="A1789" t="s">
        <v>17</v>
      </c>
      <c r="B1789" t="str">
        <f>"688102"</f>
        <v>688102</v>
      </c>
      <c r="C1789" t="s">
        <v>3897</v>
      </c>
      <c r="F1789">
        <v>592310678</v>
      </c>
      <c r="G1789">
        <v>416726236</v>
      </c>
      <c r="P1789">
        <v>3</v>
      </c>
      <c r="Q1789" t="s">
        <v>3898</v>
      </c>
    </row>
    <row r="1790" spans="1:17" x14ac:dyDescent="0.3">
      <c r="A1790" t="s">
        <v>17</v>
      </c>
      <c r="B1790" t="str">
        <f>"688103"</f>
        <v>688103</v>
      </c>
      <c r="C1790" t="s">
        <v>3899</v>
      </c>
      <c r="D1790" t="s">
        <v>651</v>
      </c>
      <c r="F1790">
        <v>227731528</v>
      </c>
      <c r="G1790">
        <v>204144015</v>
      </c>
      <c r="P1790">
        <v>13</v>
      </c>
      <c r="Q1790" t="s">
        <v>3900</v>
      </c>
    </row>
    <row r="1791" spans="1:17" x14ac:dyDescent="0.3">
      <c r="A1791" t="s">
        <v>17</v>
      </c>
      <c r="B1791" t="str">
        <f>"688105"</f>
        <v>688105</v>
      </c>
      <c r="C1791" t="s">
        <v>3901</v>
      </c>
      <c r="D1791" t="s">
        <v>1305</v>
      </c>
      <c r="F1791">
        <v>1182084018</v>
      </c>
      <c r="P1791">
        <v>51</v>
      </c>
      <c r="Q1791" t="s">
        <v>3902</v>
      </c>
    </row>
    <row r="1792" spans="1:17" x14ac:dyDescent="0.3">
      <c r="A1792" t="s">
        <v>17</v>
      </c>
      <c r="B1792" t="str">
        <f>"688106"</f>
        <v>688106</v>
      </c>
      <c r="C1792" t="s">
        <v>3903</v>
      </c>
      <c r="D1792" t="s">
        <v>2399</v>
      </c>
      <c r="F1792">
        <v>1317979310</v>
      </c>
      <c r="G1792">
        <v>921779690</v>
      </c>
      <c r="H1792">
        <v>954583685</v>
      </c>
      <c r="P1792">
        <v>136</v>
      </c>
      <c r="Q1792" t="s">
        <v>3904</v>
      </c>
    </row>
    <row r="1793" spans="1:17" x14ac:dyDescent="0.3">
      <c r="A1793" t="s">
        <v>17</v>
      </c>
      <c r="B1793" t="str">
        <f>"688107"</f>
        <v>688107</v>
      </c>
      <c r="C1793" t="s">
        <v>3905</v>
      </c>
      <c r="D1793" t="s">
        <v>461</v>
      </c>
      <c r="F1793">
        <v>430993495</v>
      </c>
      <c r="G1793">
        <v>216075535</v>
      </c>
      <c r="P1793">
        <v>31</v>
      </c>
      <c r="Q1793" t="s">
        <v>3906</v>
      </c>
    </row>
    <row r="1794" spans="1:17" x14ac:dyDescent="0.3">
      <c r="A1794" t="s">
        <v>17</v>
      </c>
      <c r="B1794" t="str">
        <f>"688108"</f>
        <v>688108</v>
      </c>
      <c r="C1794" t="s">
        <v>3907</v>
      </c>
      <c r="D1794" t="s">
        <v>1077</v>
      </c>
      <c r="F1794">
        <v>178283043</v>
      </c>
      <c r="G1794">
        <v>348753879</v>
      </c>
      <c r="H1794">
        <v>403466415</v>
      </c>
      <c r="I1794">
        <v>371220819</v>
      </c>
      <c r="P1794">
        <v>104</v>
      </c>
      <c r="Q1794" t="s">
        <v>3908</v>
      </c>
    </row>
    <row r="1795" spans="1:17" x14ac:dyDescent="0.3">
      <c r="A1795" t="s">
        <v>17</v>
      </c>
      <c r="B1795" t="str">
        <f>"688109"</f>
        <v>688109</v>
      </c>
      <c r="C1795" t="s">
        <v>3909</v>
      </c>
      <c r="D1795" t="s">
        <v>945</v>
      </c>
      <c r="F1795">
        <v>263255794</v>
      </c>
      <c r="G1795">
        <v>235573796</v>
      </c>
      <c r="P1795">
        <v>72</v>
      </c>
      <c r="Q1795" t="s">
        <v>3910</v>
      </c>
    </row>
    <row r="1796" spans="1:17" x14ac:dyDescent="0.3">
      <c r="A1796" t="s">
        <v>17</v>
      </c>
      <c r="B1796" t="str">
        <f>"688110"</f>
        <v>688110</v>
      </c>
      <c r="C1796" t="s">
        <v>3911</v>
      </c>
      <c r="D1796" t="s">
        <v>461</v>
      </c>
      <c r="F1796">
        <v>630522237</v>
      </c>
      <c r="G1796">
        <v>461844014</v>
      </c>
      <c r="P1796">
        <v>28</v>
      </c>
      <c r="Q1796" t="s">
        <v>3912</v>
      </c>
    </row>
    <row r="1797" spans="1:17" x14ac:dyDescent="0.3">
      <c r="A1797" t="s">
        <v>17</v>
      </c>
      <c r="B1797" t="str">
        <f>"688111"</f>
        <v>688111</v>
      </c>
      <c r="C1797" t="s">
        <v>3913</v>
      </c>
      <c r="D1797" t="s">
        <v>1189</v>
      </c>
      <c r="F1797">
        <v>2937342800</v>
      </c>
      <c r="G1797">
        <v>1807299207</v>
      </c>
      <c r="H1797">
        <v>1150350032</v>
      </c>
      <c r="I1797">
        <v>779893073</v>
      </c>
      <c r="P1797">
        <v>964</v>
      </c>
      <c r="Q1797" t="s">
        <v>3914</v>
      </c>
    </row>
    <row r="1798" spans="1:17" x14ac:dyDescent="0.3">
      <c r="A1798" t="s">
        <v>17</v>
      </c>
      <c r="B1798" t="str">
        <f>"688112"</f>
        <v>688112</v>
      </c>
      <c r="C1798" t="s">
        <v>3915</v>
      </c>
      <c r="D1798" t="s">
        <v>2551</v>
      </c>
      <c r="F1798">
        <v>210732218</v>
      </c>
      <c r="G1798">
        <v>154521048</v>
      </c>
      <c r="P1798">
        <v>42</v>
      </c>
      <c r="Q1798" t="s">
        <v>3916</v>
      </c>
    </row>
    <row r="1799" spans="1:17" x14ac:dyDescent="0.3">
      <c r="A1799" t="s">
        <v>17</v>
      </c>
      <c r="B1799" t="str">
        <f>"688113"</f>
        <v>688113</v>
      </c>
      <c r="C1799" t="s">
        <v>3917</v>
      </c>
      <c r="D1799" t="s">
        <v>741</v>
      </c>
      <c r="F1799">
        <v>185267349</v>
      </c>
      <c r="G1799">
        <v>193734313</v>
      </c>
      <c r="P1799">
        <v>40</v>
      </c>
      <c r="Q1799" t="s">
        <v>3918</v>
      </c>
    </row>
    <row r="1800" spans="1:17" x14ac:dyDescent="0.3">
      <c r="A1800" t="s">
        <v>17</v>
      </c>
      <c r="B1800" t="str">
        <f>"688115"</f>
        <v>688115</v>
      </c>
      <c r="C1800" t="s">
        <v>3919</v>
      </c>
      <c r="F1800">
        <v>90092862</v>
      </c>
      <c r="G1800">
        <v>76758234</v>
      </c>
      <c r="P1800">
        <v>7</v>
      </c>
      <c r="Q1800" t="s">
        <v>3920</v>
      </c>
    </row>
    <row r="1801" spans="1:17" x14ac:dyDescent="0.3">
      <c r="A1801" t="s">
        <v>17</v>
      </c>
      <c r="B1801" t="str">
        <f>"688116"</f>
        <v>688116</v>
      </c>
      <c r="C1801" t="s">
        <v>3921</v>
      </c>
      <c r="D1801" t="s">
        <v>1786</v>
      </c>
      <c r="F1801">
        <v>294182982</v>
      </c>
      <c r="G1801">
        <v>160917811</v>
      </c>
      <c r="H1801">
        <v>197810403</v>
      </c>
      <c r="I1801">
        <v>121052681</v>
      </c>
      <c r="P1801">
        <v>197</v>
      </c>
      <c r="Q1801" t="s">
        <v>3922</v>
      </c>
    </row>
    <row r="1802" spans="1:17" x14ac:dyDescent="0.3">
      <c r="A1802" t="s">
        <v>17</v>
      </c>
      <c r="B1802" t="str">
        <f>"688117"</f>
        <v>688117</v>
      </c>
      <c r="C1802" t="s">
        <v>3923</v>
      </c>
      <c r="D1802" t="s">
        <v>143</v>
      </c>
      <c r="F1802">
        <v>325767253</v>
      </c>
      <c r="P1802">
        <v>29</v>
      </c>
      <c r="Q1802" t="s">
        <v>3924</v>
      </c>
    </row>
    <row r="1803" spans="1:17" x14ac:dyDescent="0.3">
      <c r="A1803" t="s">
        <v>17</v>
      </c>
      <c r="B1803" t="str">
        <f>"688118"</f>
        <v>688118</v>
      </c>
      <c r="C1803" t="s">
        <v>3925</v>
      </c>
      <c r="D1803" t="s">
        <v>945</v>
      </c>
      <c r="F1803">
        <v>280130447</v>
      </c>
      <c r="G1803">
        <v>204967404</v>
      </c>
      <c r="H1803">
        <v>216120033</v>
      </c>
      <c r="I1803">
        <v>170505701</v>
      </c>
      <c r="P1803">
        <v>71</v>
      </c>
      <c r="Q1803" t="s">
        <v>3926</v>
      </c>
    </row>
    <row r="1804" spans="1:17" x14ac:dyDescent="0.3">
      <c r="A1804" t="s">
        <v>17</v>
      </c>
      <c r="B1804" t="str">
        <f>"688121"</f>
        <v>688121</v>
      </c>
      <c r="C1804" t="s">
        <v>3927</v>
      </c>
      <c r="D1804" t="s">
        <v>395</v>
      </c>
      <c r="F1804">
        <v>1999847479</v>
      </c>
      <c r="G1804">
        <v>2477190490</v>
      </c>
      <c r="P1804">
        <v>24</v>
      </c>
      <c r="Q1804" t="s">
        <v>3928</v>
      </c>
    </row>
    <row r="1805" spans="1:17" x14ac:dyDescent="0.3">
      <c r="A1805" t="s">
        <v>17</v>
      </c>
      <c r="B1805" t="str">
        <f>"688122"</f>
        <v>688122</v>
      </c>
      <c r="C1805" t="s">
        <v>3929</v>
      </c>
      <c r="D1805" t="s">
        <v>98</v>
      </c>
      <c r="F1805">
        <v>1812223319</v>
      </c>
      <c r="G1805">
        <v>1132960034</v>
      </c>
      <c r="H1805">
        <v>669523353</v>
      </c>
      <c r="I1805">
        <v>670305215</v>
      </c>
      <c r="P1805">
        <v>309</v>
      </c>
      <c r="Q1805" t="s">
        <v>3930</v>
      </c>
    </row>
    <row r="1806" spans="1:17" x14ac:dyDescent="0.3">
      <c r="A1806" t="s">
        <v>17</v>
      </c>
      <c r="B1806" t="str">
        <f>"688123"</f>
        <v>688123</v>
      </c>
      <c r="C1806" t="s">
        <v>3931</v>
      </c>
      <c r="D1806" t="s">
        <v>461</v>
      </c>
      <c r="F1806">
        <v>421140668</v>
      </c>
      <c r="G1806">
        <v>390565334</v>
      </c>
      <c r="H1806">
        <v>348964397</v>
      </c>
      <c r="I1806">
        <v>0</v>
      </c>
      <c r="P1806">
        <v>163</v>
      </c>
      <c r="Q1806" t="s">
        <v>3932</v>
      </c>
    </row>
    <row r="1807" spans="1:17" x14ac:dyDescent="0.3">
      <c r="A1807" t="s">
        <v>17</v>
      </c>
      <c r="B1807" t="str">
        <f>"688125"</f>
        <v>688125</v>
      </c>
      <c r="C1807" t="s">
        <v>3933</v>
      </c>
      <c r="F1807">
        <v>530690931</v>
      </c>
      <c r="G1807">
        <v>290193527</v>
      </c>
      <c r="P1807">
        <v>2</v>
      </c>
      <c r="Q1807" t="s">
        <v>3934</v>
      </c>
    </row>
    <row r="1808" spans="1:17" x14ac:dyDescent="0.3">
      <c r="A1808" t="s">
        <v>17</v>
      </c>
      <c r="B1808" t="str">
        <f>"688126"</f>
        <v>688126</v>
      </c>
      <c r="C1808" t="s">
        <v>3935</v>
      </c>
      <c r="D1808" t="s">
        <v>475</v>
      </c>
      <c r="F1808">
        <v>1609096375</v>
      </c>
      <c r="G1808">
        <v>1196930099</v>
      </c>
      <c r="H1808">
        <v>1125719134</v>
      </c>
      <c r="P1808">
        <v>329</v>
      </c>
      <c r="Q1808" t="s">
        <v>3936</v>
      </c>
    </row>
    <row r="1809" spans="1:17" x14ac:dyDescent="0.3">
      <c r="A1809" t="s">
        <v>17</v>
      </c>
      <c r="B1809" t="str">
        <f>"688127"</f>
        <v>688127</v>
      </c>
      <c r="C1809" t="s">
        <v>3937</v>
      </c>
      <c r="D1809" t="s">
        <v>164</v>
      </c>
      <c r="F1809">
        <v>330483684</v>
      </c>
      <c r="G1809">
        <v>294361991</v>
      </c>
      <c r="H1809">
        <v>254149971</v>
      </c>
      <c r="P1809">
        <v>86</v>
      </c>
      <c r="Q1809" t="s">
        <v>3938</v>
      </c>
    </row>
    <row r="1810" spans="1:17" x14ac:dyDescent="0.3">
      <c r="A1810" t="s">
        <v>17</v>
      </c>
      <c r="B1810" t="str">
        <f>"688128"</f>
        <v>688128</v>
      </c>
      <c r="C1810" t="s">
        <v>3939</v>
      </c>
      <c r="D1810" t="s">
        <v>741</v>
      </c>
      <c r="F1810">
        <v>1854711100</v>
      </c>
      <c r="G1810">
        <v>1625540500</v>
      </c>
      <c r="H1810">
        <v>1650665251</v>
      </c>
      <c r="I1810">
        <v>1416968323</v>
      </c>
      <c r="P1810">
        <v>68</v>
      </c>
      <c r="Q1810" t="s">
        <v>3940</v>
      </c>
    </row>
    <row r="1811" spans="1:17" x14ac:dyDescent="0.3">
      <c r="A1811" t="s">
        <v>17</v>
      </c>
      <c r="B1811" t="str">
        <f>"688129"</f>
        <v>688129</v>
      </c>
      <c r="C1811" t="s">
        <v>3941</v>
      </c>
      <c r="D1811" t="s">
        <v>2570</v>
      </c>
      <c r="F1811">
        <v>355245360</v>
      </c>
      <c r="G1811">
        <v>326112782</v>
      </c>
      <c r="H1811">
        <v>361501053</v>
      </c>
      <c r="P1811">
        <v>38</v>
      </c>
      <c r="Q1811" t="s">
        <v>3942</v>
      </c>
    </row>
    <row r="1812" spans="1:17" x14ac:dyDescent="0.3">
      <c r="A1812" t="s">
        <v>17</v>
      </c>
      <c r="B1812" t="str">
        <f>"688131"</f>
        <v>688131</v>
      </c>
      <c r="C1812" t="s">
        <v>3943</v>
      </c>
      <c r="D1812" t="s">
        <v>496</v>
      </c>
      <c r="F1812">
        <v>666894259</v>
      </c>
      <c r="G1812">
        <v>406762186</v>
      </c>
      <c r="P1812">
        <v>88</v>
      </c>
      <c r="Q1812" t="s">
        <v>3944</v>
      </c>
    </row>
    <row r="1813" spans="1:17" x14ac:dyDescent="0.3">
      <c r="A1813" t="s">
        <v>17</v>
      </c>
      <c r="B1813" t="str">
        <f>"688133"</f>
        <v>688133</v>
      </c>
      <c r="C1813" t="s">
        <v>3945</v>
      </c>
      <c r="D1813" t="s">
        <v>386</v>
      </c>
      <c r="F1813">
        <v>1523181352</v>
      </c>
      <c r="G1813">
        <v>883538054</v>
      </c>
      <c r="H1813">
        <v>733338504</v>
      </c>
      <c r="P1813">
        <v>118</v>
      </c>
      <c r="Q1813" t="s">
        <v>3946</v>
      </c>
    </row>
    <row r="1814" spans="1:17" x14ac:dyDescent="0.3">
      <c r="A1814" t="s">
        <v>17</v>
      </c>
      <c r="B1814" t="str">
        <f>"688135"</f>
        <v>688135</v>
      </c>
      <c r="C1814" t="s">
        <v>3947</v>
      </c>
      <c r="D1814" t="s">
        <v>1180</v>
      </c>
      <c r="F1814">
        <v>262941532</v>
      </c>
      <c r="G1814">
        <v>205105475</v>
      </c>
      <c r="H1814">
        <v>162459801</v>
      </c>
      <c r="P1814">
        <v>87</v>
      </c>
      <c r="Q1814" t="s">
        <v>3948</v>
      </c>
    </row>
    <row r="1815" spans="1:17" x14ac:dyDescent="0.3">
      <c r="A1815" t="s">
        <v>17</v>
      </c>
      <c r="B1815" t="str">
        <f>"688136"</f>
        <v>688136</v>
      </c>
      <c r="C1815" t="s">
        <v>3949</v>
      </c>
      <c r="D1815" t="s">
        <v>1379</v>
      </c>
      <c r="F1815">
        <v>918736702</v>
      </c>
      <c r="G1815">
        <v>815760973</v>
      </c>
      <c r="H1815">
        <v>729621709</v>
      </c>
      <c r="P1815">
        <v>66</v>
      </c>
      <c r="Q1815" t="s">
        <v>3950</v>
      </c>
    </row>
    <row r="1816" spans="1:17" x14ac:dyDescent="0.3">
      <c r="A1816" t="s">
        <v>17</v>
      </c>
      <c r="B1816" t="str">
        <f>"688138"</f>
        <v>688138</v>
      </c>
      <c r="C1816" t="s">
        <v>3951</v>
      </c>
      <c r="D1816" t="s">
        <v>475</v>
      </c>
      <c r="F1816">
        <v>332005069</v>
      </c>
      <c r="G1816">
        <v>405759455</v>
      </c>
      <c r="H1816">
        <v>360900833</v>
      </c>
      <c r="I1816">
        <v>265131562</v>
      </c>
      <c r="P1816">
        <v>92</v>
      </c>
      <c r="Q1816" t="s">
        <v>3952</v>
      </c>
    </row>
    <row r="1817" spans="1:17" x14ac:dyDescent="0.3">
      <c r="A1817" t="s">
        <v>17</v>
      </c>
      <c r="B1817" t="str">
        <f>"688139"</f>
        <v>688139</v>
      </c>
      <c r="C1817" t="s">
        <v>3953</v>
      </c>
      <c r="D1817" t="s">
        <v>122</v>
      </c>
      <c r="F1817">
        <v>1829289551</v>
      </c>
      <c r="G1817">
        <v>1155364524</v>
      </c>
      <c r="H1817">
        <v>748167059</v>
      </c>
      <c r="I1817">
        <v>650577898</v>
      </c>
      <c r="P1817">
        <v>349</v>
      </c>
      <c r="Q1817" t="s">
        <v>3954</v>
      </c>
    </row>
    <row r="1818" spans="1:17" x14ac:dyDescent="0.3">
      <c r="A1818" t="s">
        <v>17</v>
      </c>
      <c r="B1818" t="str">
        <f>"688148"</f>
        <v>688148</v>
      </c>
      <c r="C1818" t="s">
        <v>3955</v>
      </c>
      <c r="D1818" t="s">
        <v>1786</v>
      </c>
      <c r="F1818">
        <v>1427150008</v>
      </c>
      <c r="G1818">
        <v>650579990</v>
      </c>
      <c r="P1818">
        <v>29</v>
      </c>
      <c r="Q1818" t="s">
        <v>3956</v>
      </c>
    </row>
    <row r="1819" spans="1:17" x14ac:dyDescent="0.3">
      <c r="A1819" t="s">
        <v>17</v>
      </c>
      <c r="B1819" t="str">
        <f>"688151"</f>
        <v>688151</v>
      </c>
      <c r="C1819" t="s">
        <v>3957</v>
      </c>
      <c r="D1819" t="s">
        <v>428</v>
      </c>
      <c r="F1819">
        <v>767362791</v>
      </c>
      <c r="P1819">
        <v>13</v>
      </c>
      <c r="Q1819" t="s">
        <v>3958</v>
      </c>
    </row>
    <row r="1820" spans="1:17" x14ac:dyDescent="0.3">
      <c r="A1820" t="s">
        <v>17</v>
      </c>
      <c r="B1820" t="str">
        <f>"688155"</f>
        <v>688155</v>
      </c>
      <c r="C1820" t="s">
        <v>3959</v>
      </c>
      <c r="D1820" t="s">
        <v>3749</v>
      </c>
      <c r="F1820">
        <v>489263819</v>
      </c>
      <c r="G1820">
        <v>301120604</v>
      </c>
      <c r="H1820">
        <v>218678496</v>
      </c>
      <c r="P1820">
        <v>101</v>
      </c>
      <c r="Q1820" t="s">
        <v>3960</v>
      </c>
    </row>
    <row r="1821" spans="1:17" x14ac:dyDescent="0.3">
      <c r="A1821" t="s">
        <v>17</v>
      </c>
      <c r="B1821" t="str">
        <f>"688156"</f>
        <v>688156</v>
      </c>
      <c r="C1821" t="s">
        <v>3961</v>
      </c>
      <c r="D1821" t="s">
        <v>499</v>
      </c>
      <c r="F1821">
        <v>176106694</v>
      </c>
      <c r="G1821">
        <v>158398639</v>
      </c>
      <c r="H1821">
        <v>165578895</v>
      </c>
      <c r="P1821">
        <v>41</v>
      </c>
      <c r="Q1821" t="s">
        <v>3962</v>
      </c>
    </row>
    <row r="1822" spans="1:17" x14ac:dyDescent="0.3">
      <c r="A1822" t="s">
        <v>17</v>
      </c>
      <c r="B1822" t="str">
        <f>"688157"</f>
        <v>688157</v>
      </c>
      <c r="C1822" t="s">
        <v>3963</v>
      </c>
      <c r="D1822" t="s">
        <v>2570</v>
      </c>
      <c r="F1822">
        <v>360971533</v>
      </c>
      <c r="G1822">
        <v>337613149</v>
      </c>
      <c r="H1822">
        <v>301727060</v>
      </c>
      <c r="P1822">
        <v>100</v>
      </c>
      <c r="Q1822" t="s">
        <v>3964</v>
      </c>
    </row>
    <row r="1823" spans="1:17" x14ac:dyDescent="0.3">
      <c r="A1823" t="s">
        <v>17</v>
      </c>
      <c r="B1823" t="str">
        <f>"688158"</f>
        <v>688158</v>
      </c>
      <c r="C1823" t="s">
        <v>3965</v>
      </c>
      <c r="D1823" t="s">
        <v>316</v>
      </c>
      <c r="F1823">
        <v>2320295347</v>
      </c>
      <c r="G1823">
        <v>1527288225</v>
      </c>
      <c r="H1823">
        <v>0</v>
      </c>
      <c r="I1823">
        <v>0</v>
      </c>
      <c r="P1823">
        <v>104</v>
      </c>
      <c r="Q1823" t="s">
        <v>3966</v>
      </c>
    </row>
    <row r="1824" spans="1:17" x14ac:dyDescent="0.3">
      <c r="A1824" t="s">
        <v>17</v>
      </c>
      <c r="B1824" t="str">
        <f>"688159"</f>
        <v>688159</v>
      </c>
      <c r="C1824" t="s">
        <v>3967</v>
      </c>
      <c r="D1824" t="s">
        <v>786</v>
      </c>
      <c r="F1824">
        <v>698878645</v>
      </c>
      <c r="G1824">
        <v>425979094</v>
      </c>
      <c r="H1824">
        <v>572885701</v>
      </c>
      <c r="I1824">
        <v>309386510</v>
      </c>
      <c r="P1824">
        <v>94</v>
      </c>
      <c r="Q1824" t="s">
        <v>3968</v>
      </c>
    </row>
    <row r="1825" spans="1:17" x14ac:dyDescent="0.3">
      <c r="A1825" t="s">
        <v>17</v>
      </c>
      <c r="B1825" t="str">
        <f>"688160"</f>
        <v>688160</v>
      </c>
      <c r="C1825" t="s">
        <v>3969</v>
      </c>
      <c r="D1825" t="s">
        <v>2423</v>
      </c>
      <c r="F1825">
        <v>319630249</v>
      </c>
      <c r="G1825">
        <v>293321613</v>
      </c>
      <c r="H1825">
        <v>229069581</v>
      </c>
      <c r="P1825">
        <v>44</v>
      </c>
      <c r="Q1825" t="s">
        <v>3970</v>
      </c>
    </row>
    <row r="1826" spans="1:17" x14ac:dyDescent="0.3">
      <c r="A1826" t="s">
        <v>17</v>
      </c>
      <c r="B1826" t="str">
        <f>"688161"</f>
        <v>688161</v>
      </c>
      <c r="C1826" t="s">
        <v>3971</v>
      </c>
      <c r="D1826" t="s">
        <v>1077</v>
      </c>
      <c r="F1826">
        <v>1628788902</v>
      </c>
      <c r="G1826">
        <v>1403594542</v>
      </c>
      <c r="P1826">
        <v>101</v>
      </c>
      <c r="Q1826" t="s">
        <v>3972</v>
      </c>
    </row>
    <row r="1827" spans="1:17" x14ac:dyDescent="0.3">
      <c r="A1827" t="s">
        <v>17</v>
      </c>
      <c r="B1827" t="str">
        <f>"688162"</f>
        <v>688162</v>
      </c>
      <c r="C1827" t="s">
        <v>3973</v>
      </c>
      <c r="D1827" t="s">
        <v>348</v>
      </c>
      <c r="F1827">
        <v>1457574933</v>
      </c>
      <c r="G1827">
        <v>849202900</v>
      </c>
      <c r="P1827">
        <v>31</v>
      </c>
      <c r="Q1827" t="s">
        <v>3974</v>
      </c>
    </row>
    <row r="1828" spans="1:17" x14ac:dyDescent="0.3">
      <c r="A1828" t="s">
        <v>17</v>
      </c>
      <c r="B1828" t="str">
        <f>"688163"</f>
        <v>688163</v>
      </c>
      <c r="C1828" t="s">
        <v>3975</v>
      </c>
      <c r="F1828">
        <v>156684096</v>
      </c>
      <c r="G1828">
        <v>157174018</v>
      </c>
      <c r="P1828">
        <v>12</v>
      </c>
      <c r="Q1828" t="s">
        <v>3976</v>
      </c>
    </row>
    <row r="1829" spans="1:17" x14ac:dyDescent="0.3">
      <c r="A1829" t="s">
        <v>17</v>
      </c>
      <c r="B1829" t="str">
        <f>"688165"</f>
        <v>688165</v>
      </c>
      <c r="C1829" t="s">
        <v>3977</v>
      </c>
      <c r="D1829" t="s">
        <v>2911</v>
      </c>
      <c r="F1829">
        <v>823911668</v>
      </c>
      <c r="G1829">
        <v>872198155</v>
      </c>
      <c r="H1829">
        <v>1027750273</v>
      </c>
      <c r="P1829">
        <v>64</v>
      </c>
      <c r="Q1829" t="s">
        <v>3978</v>
      </c>
    </row>
    <row r="1830" spans="1:17" x14ac:dyDescent="0.3">
      <c r="A1830" t="s">
        <v>17</v>
      </c>
      <c r="B1830" t="str">
        <f>"688166"</f>
        <v>688166</v>
      </c>
      <c r="C1830" t="s">
        <v>3979</v>
      </c>
      <c r="D1830" t="s">
        <v>143</v>
      </c>
      <c r="F1830">
        <v>642445103</v>
      </c>
      <c r="G1830">
        <v>524772947</v>
      </c>
      <c r="H1830">
        <v>339619991</v>
      </c>
      <c r="I1830">
        <v>307538985</v>
      </c>
      <c r="P1830">
        <v>190</v>
      </c>
      <c r="Q1830" t="s">
        <v>3980</v>
      </c>
    </row>
    <row r="1831" spans="1:17" x14ac:dyDescent="0.3">
      <c r="A1831" t="s">
        <v>17</v>
      </c>
      <c r="B1831" t="str">
        <f>"688167"</f>
        <v>688167</v>
      </c>
      <c r="C1831" t="s">
        <v>3981</v>
      </c>
      <c r="D1831" t="s">
        <v>3784</v>
      </c>
      <c r="F1831">
        <v>300903832</v>
      </c>
      <c r="G1831">
        <v>241961275</v>
      </c>
      <c r="P1831">
        <v>32</v>
      </c>
      <c r="Q1831" t="s">
        <v>3982</v>
      </c>
    </row>
    <row r="1832" spans="1:17" x14ac:dyDescent="0.3">
      <c r="A1832" t="s">
        <v>17</v>
      </c>
      <c r="B1832" t="str">
        <f>"688168"</f>
        <v>688168</v>
      </c>
      <c r="C1832" t="s">
        <v>3983</v>
      </c>
      <c r="D1832" t="s">
        <v>1189</v>
      </c>
      <c r="F1832">
        <v>222663845</v>
      </c>
      <c r="G1832">
        <v>160385478</v>
      </c>
      <c r="H1832">
        <v>137214223</v>
      </c>
      <c r="I1832">
        <v>103199504</v>
      </c>
      <c r="P1832">
        <v>144</v>
      </c>
      <c r="Q1832" t="s">
        <v>3984</v>
      </c>
    </row>
    <row r="1833" spans="1:17" x14ac:dyDescent="0.3">
      <c r="A1833" t="s">
        <v>17</v>
      </c>
      <c r="B1833" t="str">
        <f>"688169"</f>
        <v>688169</v>
      </c>
      <c r="C1833" t="s">
        <v>3985</v>
      </c>
      <c r="D1833" t="s">
        <v>2697</v>
      </c>
      <c r="F1833">
        <v>4069522569</v>
      </c>
      <c r="G1833">
        <v>3467083701</v>
      </c>
      <c r="H1833">
        <v>3672335605</v>
      </c>
      <c r="I1833">
        <v>2524646085</v>
      </c>
      <c r="P1833">
        <v>758</v>
      </c>
      <c r="Q1833" t="s">
        <v>3986</v>
      </c>
    </row>
    <row r="1834" spans="1:17" x14ac:dyDescent="0.3">
      <c r="A1834" t="s">
        <v>17</v>
      </c>
      <c r="B1834" t="str">
        <f>"688171"</f>
        <v>688171</v>
      </c>
      <c r="C1834" t="s">
        <v>3987</v>
      </c>
      <c r="F1834">
        <v>76834970</v>
      </c>
      <c r="G1834">
        <v>54241626</v>
      </c>
      <c r="P1834">
        <v>12</v>
      </c>
      <c r="Q1834" t="s">
        <v>3988</v>
      </c>
    </row>
    <row r="1835" spans="1:17" x14ac:dyDescent="0.3">
      <c r="A1835" t="s">
        <v>17</v>
      </c>
      <c r="B1835" t="str">
        <f>"688173"</f>
        <v>688173</v>
      </c>
      <c r="C1835" t="s">
        <v>3989</v>
      </c>
      <c r="F1835">
        <v>340608785</v>
      </c>
      <c r="G1835">
        <v>131259136</v>
      </c>
      <c r="P1835">
        <v>11</v>
      </c>
      <c r="Q1835" t="s">
        <v>3990</v>
      </c>
    </row>
    <row r="1836" spans="1:17" x14ac:dyDescent="0.3">
      <c r="A1836" t="s">
        <v>17</v>
      </c>
      <c r="B1836" t="str">
        <f>"688176"</f>
        <v>688176</v>
      </c>
      <c r="C1836" t="s">
        <v>3991</v>
      </c>
      <c r="D1836" t="s">
        <v>143</v>
      </c>
      <c r="F1836">
        <v>0</v>
      </c>
      <c r="G1836">
        <v>0</v>
      </c>
      <c r="P1836">
        <v>9</v>
      </c>
      <c r="Q1836" t="s">
        <v>3992</v>
      </c>
    </row>
    <row r="1837" spans="1:17" x14ac:dyDescent="0.3">
      <c r="A1837" t="s">
        <v>17</v>
      </c>
      <c r="B1837" t="str">
        <f>"688177"</f>
        <v>688177</v>
      </c>
      <c r="C1837" t="s">
        <v>3993</v>
      </c>
      <c r="D1837" t="s">
        <v>1379</v>
      </c>
      <c r="F1837">
        <v>425124113</v>
      </c>
      <c r="G1837">
        <v>91792868</v>
      </c>
      <c r="H1837">
        <v>1729171</v>
      </c>
      <c r="I1837">
        <v>0</v>
      </c>
      <c r="P1837">
        <v>98</v>
      </c>
      <c r="Q1837" t="s">
        <v>3994</v>
      </c>
    </row>
    <row r="1838" spans="1:17" x14ac:dyDescent="0.3">
      <c r="A1838" t="s">
        <v>17</v>
      </c>
      <c r="B1838" t="str">
        <f>"688178"</f>
        <v>688178</v>
      </c>
      <c r="C1838" t="s">
        <v>3995</v>
      </c>
      <c r="D1838" t="s">
        <v>33</v>
      </c>
      <c r="F1838">
        <v>523266719</v>
      </c>
      <c r="G1838">
        <v>330790640</v>
      </c>
      <c r="H1838">
        <v>478953894</v>
      </c>
      <c r="I1838">
        <v>0</v>
      </c>
      <c r="P1838">
        <v>69</v>
      </c>
      <c r="Q1838" t="s">
        <v>3996</v>
      </c>
    </row>
    <row r="1839" spans="1:17" x14ac:dyDescent="0.3">
      <c r="A1839" t="s">
        <v>17</v>
      </c>
      <c r="B1839" t="str">
        <f>"688179"</f>
        <v>688179</v>
      </c>
      <c r="C1839" t="s">
        <v>3997</v>
      </c>
      <c r="D1839" t="s">
        <v>386</v>
      </c>
      <c r="F1839">
        <v>215116815</v>
      </c>
      <c r="G1839">
        <v>175156813</v>
      </c>
      <c r="H1839">
        <v>156166944</v>
      </c>
      <c r="I1839">
        <v>122459864</v>
      </c>
      <c r="P1839">
        <v>156</v>
      </c>
      <c r="Q1839" t="s">
        <v>3998</v>
      </c>
    </row>
    <row r="1840" spans="1:17" x14ac:dyDescent="0.3">
      <c r="A1840" t="s">
        <v>17</v>
      </c>
      <c r="B1840" t="str">
        <f>"688180"</f>
        <v>688180</v>
      </c>
      <c r="C1840" t="s">
        <v>3999</v>
      </c>
      <c r="D1840" t="s">
        <v>1379</v>
      </c>
      <c r="F1840">
        <v>2584764961</v>
      </c>
      <c r="G1840">
        <v>825237852</v>
      </c>
      <c r="H1840">
        <v>467528524</v>
      </c>
      <c r="P1840">
        <v>206</v>
      </c>
      <c r="Q1840" t="s">
        <v>4000</v>
      </c>
    </row>
    <row r="1841" spans="1:17" x14ac:dyDescent="0.3">
      <c r="A1841" t="s">
        <v>17</v>
      </c>
      <c r="B1841" t="str">
        <f>"688181"</f>
        <v>688181</v>
      </c>
      <c r="C1841" t="s">
        <v>4001</v>
      </c>
      <c r="D1841" t="s">
        <v>1117</v>
      </c>
      <c r="F1841">
        <v>683664928</v>
      </c>
      <c r="G1841">
        <v>480035881</v>
      </c>
      <c r="H1841">
        <v>315745740</v>
      </c>
      <c r="I1841">
        <v>322839797</v>
      </c>
      <c r="P1841">
        <v>108</v>
      </c>
      <c r="Q1841" t="s">
        <v>4002</v>
      </c>
    </row>
    <row r="1842" spans="1:17" x14ac:dyDescent="0.3">
      <c r="A1842" t="s">
        <v>17</v>
      </c>
      <c r="B1842" t="str">
        <f>"688182"</f>
        <v>688182</v>
      </c>
      <c r="C1842" t="s">
        <v>4003</v>
      </c>
      <c r="D1842" t="s">
        <v>1019</v>
      </c>
      <c r="F1842">
        <v>248089756</v>
      </c>
      <c r="G1842">
        <v>1084592411</v>
      </c>
      <c r="P1842">
        <v>17</v>
      </c>
      <c r="Q1842" t="s">
        <v>4004</v>
      </c>
    </row>
    <row r="1843" spans="1:17" x14ac:dyDescent="0.3">
      <c r="A1843" t="s">
        <v>17</v>
      </c>
      <c r="B1843" t="str">
        <f>"688183"</f>
        <v>688183</v>
      </c>
      <c r="C1843" t="s">
        <v>4005</v>
      </c>
      <c r="D1843" t="s">
        <v>425</v>
      </c>
      <c r="F1843">
        <v>2594798526</v>
      </c>
      <c r="G1843">
        <v>2904463374</v>
      </c>
      <c r="H1843">
        <v>1860934634</v>
      </c>
      <c r="P1843">
        <v>41</v>
      </c>
      <c r="Q1843" t="s">
        <v>4006</v>
      </c>
    </row>
    <row r="1844" spans="1:17" x14ac:dyDescent="0.3">
      <c r="A1844" t="s">
        <v>17</v>
      </c>
      <c r="B1844" t="str">
        <f>"688185"</f>
        <v>688185</v>
      </c>
      <c r="C1844" t="s">
        <v>4007</v>
      </c>
      <c r="D1844" t="s">
        <v>1499</v>
      </c>
      <c r="F1844">
        <v>3044676784</v>
      </c>
      <c r="G1844">
        <v>5516212</v>
      </c>
      <c r="H1844">
        <v>2765973</v>
      </c>
      <c r="P1844">
        <v>266</v>
      </c>
      <c r="Q1844" t="s">
        <v>4008</v>
      </c>
    </row>
    <row r="1845" spans="1:17" x14ac:dyDescent="0.3">
      <c r="A1845" t="s">
        <v>17</v>
      </c>
      <c r="B1845" t="str">
        <f>"688186"</f>
        <v>688186</v>
      </c>
      <c r="C1845" t="s">
        <v>4009</v>
      </c>
      <c r="D1845" t="s">
        <v>281</v>
      </c>
      <c r="F1845">
        <v>924481716</v>
      </c>
      <c r="G1845">
        <v>454480171</v>
      </c>
      <c r="H1845">
        <v>511205267</v>
      </c>
      <c r="I1845">
        <v>733280579</v>
      </c>
      <c r="P1845">
        <v>110</v>
      </c>
      <c r="Q1845" t="s">
        <v>4010</v>
      </c>
    </row>
    <row r="1846" spans="1:17" x14ac:dyDescent="0.3">
      <c r="A1846" t="s">
        <v>17</v>
      </c>
      <c r="B1846" t="str">
        <f>"688187"</f>
        <v>688187</v>
      </c>
      <c r="C1846" t="s">
        <v>4011</v>
      </c>
      <c r="D1846" t="s">
        <v>1012</v>
      </c>
      <c r="F1846">
        <v>7511417309</v>
      </c>
      <c r="G1846">
        <v>10268998203</v>
      </c>
      <c r="P1846">
        <v>59</v>
      </c>
      <c r="Q1846" t="s">
        <v>4012</v>
      </c>
    </row>
    <row r="1847" spans="1:17" x14ac:dyDescent="0.3">
      <c r="A1847" t="s">
        <v>17</v>
      </c>
      <c r="B1847" t="str">
        <f>"688188"</f>
        <v>688188</v>
      </c>
      <c r="C1847" t="s">
        <v>4013</v>
      </c>
      <c r="D1847" t="s">
        <v>236</v>
      </c>
      <c r="F1847">
        <v>819986662</v>
      </c>
      <c r="G1847">
        <v>430181442</v>
      </c>
      <c r="H1847">
        <v>323722012</v>
      </c>
      <c r="I1847">
        <v>217975426</v>
      </c>
      <c r="P1847">
        <v>363</v>
      </c>
      <c r="Q1847" t="s">
        <v>4014</v>
      </c>
    </row>
    <row r="1848" spans="1:17" x14ac:dyDescent="0.3">
      <c r="A1848" t="s">
        <v>17</v>
      </c>
      <c r="B1848" t="str">
        <f>"688189"</f>
        <v>688189</v>
      </c>
      <c r="C1848" t="s">
        <v>4015</v>
      </c>
      <c r="D1848" t="s">
        <v>143</v>
      </c>
      <c r="F1848">
        <v>423825018</v>
      </c>
      <c r="G1848">
        <v>624977284</v>
      </c>
      <c r="H1848">
        <v>760954650</v>
      </c>
      <c r="I1848">
        <v>0</v>
      </c>
      <c r="P1848">
        <v>97</v>
      </c>
      <c r="Q1848" t="s">
        <v>4016</v>
      </c>
    </row>
    <row r="1849" spans="1:17" x14ac:dyDescent="0.3">
      <c r="A1849" t="s">
        <v>17</v>
      </c>
      <c r="B1849" t="str">
        <f>"688190"</f>
        <v>688190</v>
      </c>
      <c r="C1849" t="s">
        <v>4017</v>
      </c>
      <c r="D1849" t="s">
        <v>581</v>
      </c>
      <c r="F1849">
        <v>419809532</v>
      </c>
      <c r="G1849">
        <v>383305401</v>
      </c>
      <c r="P1849">
        <v>15</v>
      </c>
      <c r="Q1849" t="s">
        <v>4018</v>
      </c>
    </row>
    <row r="1850" spans="1:17" x14ac:dyDescent="0.3">
      <c r="A1850" t="s">
        <v>17</v>
      </c>
      <c r="B1850" t="str">
        <f>"688191"</f>
        <v>688191</v>
      </c>
      <c r="C1850" t="s">
        <v>4019</v>
      </c>
      <c r="D1850" t="s">
        <v>610</v>
      </c>
      <c r="F1850">
        <v>320150170</v>
      </c>
      <c r="G1850">
        <v>348753040</v>
      </c>
      <c r="H1850">
        <v>208311597</v>
      </c>
      <c r="P1850">
        <v>56</v>
      </c>
      <c r="Q1850" t="s">
        <v>4020</v>
      </c>
    </row>
    <row r="1851" spans="1:17" x14ac:dyDescent="0.3">
      <c r="A1851" t="s">
        <v>17</v>
      </c>
      <c r="B1851" t="str">
        <f>"688192"</f>
        <v>688192</v>
      </c>
      <c r="C1851" t="s">
        <v>4021</v>
      </c>
      <c r="D1851" t="s">
        <v>143</v>
      </c>
      <c r="F1851">
        <v>10312104</v>
      </c>
      <c r="G1851">
        <v>29519270</v>
      </c>
      <c r="P1851">
        <v>11</v>
      </c>
      <c r="Q1851" t="s">
        <v>4022</v>
      </c>
    </row>
    <row r="1852" spans="1:17" x14ac:dyDescent="0.3">
      <c r="A1852" t="s">
        <v>17</v>
      </c>
      <c r="B1852" t="str">
        <f>"688195"</f>
        <v>688195</v>
      </c>
      <c r="C1852" t="s">
        <v>4023</v>
      </c>
      <c r="D1852" t="s">
        <v>164</v>
      </c>
      <c r="F1852">
        <v>176056557</v>
      </c>
      <c r="G1852">
        <v>138775006</v>
      </c>
      <c r="P1852">
        <v>41</v>
      </c>
      <c r="Q1852" t="s">
        <v>4024</v>
      </c>
    </row>
    <row r="1853" spans="1:17" x14ac:dyDescent="0.3">
      <c r="A1853" t="s">
        <v>17</v>
      </c>
      <c r="B1853" t="str">
        <f>"688196"</f>
        <v>688196</v>
      </c>
      <c r="C1853" t="s">
        <v>4025</v>
      </c>
      <c r="D1853" t="s">
        <v>386</v>
      </c>
      <c r="F1853">
        <v>2314753755</v>
      </c>
      <c r="G1853">
        <v>1378739233</v>
      </c>
      <c r="H1853">
        <v>1089267284</v>
      </c>
      <c r="I1853">
        <v>920873572</v>
      </c>
      <c r="J1853">
        <v>704690154</v>
      </c>
      <c r="P1853">
        <v>188</v>
      </c>
      <c r="Q1853" t="s">
        <v>4026</v>
      </c>
    </row>
    <row r="1854" spans="1:17" x14ac:dyDescent="0.3">
      <c r="A1854" t="s">
        <v>17</v>
      </c>
      <c r="B1854" t="str">
        <f>"688197"</f>
        <v>688197</v>
      </c>
      <c r="C1854" t="s">
        <v>4027</v>
      </c>
      <c r="F1854">
        <v>11054500</v>
      </c>
      <c r="G1854">
        <v>14020243</v>
      </c>
      <c r="P1854">
        <v>3</v>
      </c>
      <c r="Q1854" t="s">
        <v>4028</v>
      </c>
    </row>
    <row r="1855" spans="1:17" x14ac:dyDescent="0.3">
      <c r="A1855" t="s">
        <v>17</v>
      </c>
      <c r="B1855" t="str">
        <f>"688198"</f>
        <v>688198</v>
      </c>
      <c r="C1855" t="s">
        <v>4029</v>
      </c>
      <c r="D1855" t="s">
        <v>1077</v>
      </c>
      <c r="F1855">
        <v>180733546</v>
      </c>
      <c r="G1855">
        <v>102893612</v>
      </c>
      <c r="H1855">
        <v>109225549</v>
      </c>
      <c r="I1855">
        <v>82217119</v>
      </c>
      <c r="P1855">
        <v>190</v>
      </c>
      <c r="Q1855" t="s">
        <v>4030</v>
      </c>
    </row>
    <row r="1856" spans="1:17" x14ac:dyDescent="0.3">
      <c r="A1856" t="s">
        <v>17</v>
      </c>
      <c r="B1856" t="str">
        <f>"688199"</f>
        <v>688199</v>
      </c>
      <c r="C1856" t="s">
        <v>4031</v>
      </c>
      <c r="D1856" t="s">
        <v>386</v>
      </c>
      <c r="F1856">
        <v>689838629</v>
      </c>
      <c r="G1856">
        <v>580192821</v>
      </c>
      <c r="H1856">
        <v>798204534</v>
      </c>
      <c r="I1856">
        <v>598797823</v>
      </c>
      <c r="P1856">
        <v>94</v>
      </c>
      <c r="Q1856" t="s">
        <v>4032</v>
      </c>
    </row>
    <row r="1857" spans="1:17" x14ac:dyDescent="0.3">
      <c r="A1857" t="s">
        <v>17</v>
      </c>
      <c r="B1857" t="str">
        <f>"688200"</f>
        <v>688200</v>
      </c>
      <c r="C1857" t="s">
        <v>4033</v>
      </c>
      <c r="D1857" t="s">
        <v>3160</v>
      </c>
      <c r="F1857">
        <v>657476957</v>
      </c>
      <c r="G1857">
        <v>286526815</v>
      </c>
      <c r="H1857">
        <v>134059066</v>
      </c>
      <c r="I1857">
        <v>192486205</v>
      </c>
      <c r="P1857">
        <v>291</v>
      </c>
      <c r="Q1857" t="s">
        <v>4034</v>
      </c>
    </row>
    <row r="1858" spans="1:17" x14ac:dyDescent="0.3">
      <c r="A1858" t="s">
        <v>17</v>
      </c>
      <c r="B1858" t="str">
        <f>"688201"</f>
        <v>688201</v>
      </c>
      <c r="C1858" t="s">
        <v>4035</v>
      </c>
      <c r="D1858" t="s">
        <v>1189</v>
      </c>
      <c r="F1858">
        <v>255118167</v>
      </c>
      <c r="G1858">
        <v>264487332</v>
      </c>
      <c r="P1858">
        <v>62</v>
      </c>
      <c r="Q1858" t="s">
        <v>4036</v>
      </c>
    </row>
    <row r="1859" spans="1:17" x14ac:dyDescent="0.3">
      <c r="A1859" t="s">
        <v>17</v>
      </c>
      <c r="B1859" t="str">
        <f>"688202"</f>
        <v>688202</v>
      </c>
      <c r="C1859" t="s">
        <v>4037</v>
      </c>
      <c r="D1859" t="s">
        <v>1461</v>
      </c>
      <c r="F1859">
        <v>774734507</v>
      </c>
      <c r="G1859">
        <v>440004855</v>
      </c>
      <c r="H1859">
        <v>290748269</v>
      </c>
      <c r="I1859">
        <v>219404833</v>
      </c>
      <c r="P1859">
        <v>382</v>
      </c>
      <c r="Q1859" t="s">
        <v>4038</v>
      </c>
    </row>
    <row r="1860" spans="1:17" x14ac:dyDescent="0.3">
      <c r="A1860" t="s">
        <v>17</v>
      </c>
      <c r="B1860" t="str">
        <f>"688206"</f>
        <v>688206</v>
      </c>
      <c r="C1860" t="s">
        <v>4039</v>
      </c>
      <c r="D1860" t="s">
        <v>3160</v>
      </c>
      <c r="F1860">
        <v>162610348</v>
      </c>
      <c r="G1860">
        <v>123258360</v>
      </c>
      <c r="P1860">
        <v>26</v>
      </c>
      <c r="Q1860" t="s">
        <v>4040</v>
      </c>
    </row>
    <row r="1861" spans="1:17" x14ac:dyDescent="0.3">
      <c r="A1861" t="s">
        <v>17</v>
      </c>
      <c r="B1861" t="str">
        <f>"688208"</f>
        <v>688208</v>
      </c>
      <c r="C1861" t="s">
        <v>4041</v>
      </c>
      <c r="D1861" t="s">
        <v>236</v>
      </c>
      <c r="F1861">
        <v>1670542610</v>
      </c>
      <c r="G1861">
        <v>1120222741</v>
      </c>
      <c r="H1861">
        <v>875254296</v>
      </c>
      <c r="I1861">
        <v>0</v>
      </c>
      <c r="P1861">
        <v>220</v>
      </c>
      <c r="Q1861" t="s">
        <v>4042</v>
      </c>
    </row>
    <row r="1862" spans="1:17" x14ac:dyDescent="0.3">
      <c r="A1862" t="s">
        <v>17</v>
      </c>
      <c r="B1862" t="str">
        <f>"688209"</f>
        <v>688209</v>
      </c>
      <c r="C1862" t="s">
        <v>4043</v>
      </c>
      <c r="F1862">
        <v>584142863</v>
      </c>
      <c r="G1862">
        <v>213214920</v>
      </c>
      <c r="P1862">
        <v>5</v>
      </c>
      <c r="Q1862" t="s">
        <v>4044</v>
      </c>
    </row>
    <row r="1863" spans="1:17" x14ac:dyDescent="0.3">
      <c r="A1863" t="s">
        <v>17</v>
      </c>
      <c r="B1863" t="str">
        <f>"688210"</f>
        <v>688210</v>
      </c>
      <c r="C1863" t="s">
        <v>4045</v>
      </c>
      <c r="D1863" t="s">
        <v>313</v>
      </c>
      <c r="F1863">
        <v>278986491</v>
      </c>
      <c r="G1863">
        <v>206384418</v>
      </c>
      <c r="P1863">
        <v>9</v>
      </c>
      <c r="Q1863" t="s">
        <v>4046</v>
      </c>
    </row>
    <row r="1864" spans="1:17" x14ac:dyDescent="0.3">
      <c r="A1864" t="s">
        <v>17</v>
      </c>
      <c r="B1864" t="str">
        <f>"688211"</f>
        <v>688211</v>
      </c>
      <c r="C1864" t="s">
        <v>4047</v>
      </c>
      <c r="D1864" t="s">
        <v>741</v>
      </c>
      <c r="F1864">
        <v>1474092328</v>
      </c>
      <c r="G1864">
        <v>976917723</v>
      </c>
      <c r="P1864">
        <v>27</v>
      </c>
      <c r="Q1864" t="s">
        <v>4048</v>
      </c>
    </row>
    <row r="1865" spans="1:17" x14ac:dyDescent="0.3">
      <c r="A1865" t="s">
        <v>17</v>
      </c>
      <c r="B1865" t="str">
        <f>"688212"</f>
        <v>688212</v>
      </c>
      <c r="C1865" t="s">
        <v>4049</v>
      </c>
      <c r="D1865" t="s">
        <v>122</v>
      </c>
      <c r="F1865">
        <v>243100350</v>
      </c>
      <c r="P1865">
        <v>31</v>
      </c>
      <c r="Q1865" t="s">
        <v>4050</v>
      </c>
    </row>
    <row r="1866" spans="1:17" x14ac:dyDescent="0.3">
      <c r="A1866" t="s">
        <v>17</v>
      </c>
      <c r="B1866" t="str">
        <f>"688213"</f>
        <v>688213</v>
      </c>
      <c r="C1866" t="s">
        <v>4051</v>
      </c>
      <c r="F1866">
        <v>1952587550</v>
      </c>
      <c r="Q1866" t="s">
        <v>4052</v>
      </c>
    </row>
    <row r="1867" spans="1:17" x14ac:dyDescent="0.3">
      <c r="A1867" t="s">
        <v>17</v>
      </c>
      <c r="B1867" t="str">
        <f>"688215"</f>
        <v>688215</v>
      </c>
      <c r="C1867" t="s">
        <v>4053</v>
      </c>
      <c r="D1867" t="s">
        <v>3450</v>
      </c>
      <c r="F1867">
        <v>107246367</v>
      </c>
      <c r="G1867">
        <v>119673261</v>
      </c>
      <c r="H1867">
        <v>164000277</v>
      </c>
      <c r="P1867">
        <v>62</v>
      </c>
      <c r="Q1867" t="s">
        <v>4054</v>
      </c>
    </row>
    <row r="1868" spans="1:17" x14ac:dyDescent="0.3">
      <c r="A1868" t="s">
        <v>17</v>
      </c>
      <c r="B1868" t="str">
        <f>"688216"</f>
        <v>688216</v>
      </c>
      <c r="C1868" t="s">
        <v>4055</v>
      </c>
      <c r="D1868" t="s">
        <v>1180</v>
      </c>
      <c r="F1868">
        <v>501085590</v>
      </c>
      <c r="P1868">
        <v>26</v>
      </c>
      <c r="Q1868" t="s">
        <v>4056</v>
      </c>
    </row>
    <row r="1869" spans="1:17" x14ac:dyDescent="0.3">
      <c r="A1869" t="s">
        <v>17</v>
      </c>
      <c r="B1869" t="str">
        <f>"688217"</f>
        <v>688217</v>
      </c>
      <c r="C1869" t="s">
        <v>4057</v>
      </c>
      <c r="D1869" t="s">
        <v>1305</v>
      </c>
      <c r="F1869">
        <v>220521987</v>
      </c>
      <c r="G1869">
        <v>214716962</v>
      </c>
      <c r="P1869">
        <v>31</v>
      </c>
      <c r="Q1869" t="s">
        <v>4058</v>
      </c>
    </row>
    <row r="1870" spans="1:17" x14ac:dyDescent="0.3">
      <c r="A1870" t="s">
        <v>17</v>
      </c>
      <c r="B1870" t="str">
        <f>"688218"</f>
        <v>688218</v>
      </c>
      <c r="C1870" t="s">
        <v>4059</v>
      </c>
      <c r="D1870" t="s">
        <v>2911</v>
      </c>
      <c r="F1870">
        <v>484546650</v>
      </c>
      <c r="G1870">
        <v>300365766</v>
      </c>
      <c r="H1870">
        <v>262544640</v>
      </c>
      <c r="I1870">
        <v>261962164</v>
      </c>
      <c r="P1870">
        <v>47</v>
      </c>
      <c r="Q1870" t="s">
        <v>4060</v>
      </c>
    </row>
    <row r="1871" spans="1:17" x14ac:dyDescent="0.3">
      <c r="A1871" t="s">
        <v>17</v>
      </c>
      <c r="B1871" t="str">
        <f>"688219"</f>
        <v>688219</v>
      </c>
      <c r="C1871" t="s">
        <v>4061</v>
      </c>
      <c r="D1871" t="s">
        <v>341</v>
      </c>
      <c r="F1871">
        <v>2894826140</v>
      </c>
      <c r="G1871">
        <v>2201924564</v>
      </c>
      <c r="H1871">
        <v>2566226593</v>
      </c>
      <c r="P1871">
        <v>50</v>
      </c>
      <c r="Q1871" t="s">
        <v>4062</v>
      </c>
    </row>
    <row r="1872" spans="1:17" x14ac:dyDescent="0.3">
      <c r="A1872" t="s">
        <v>17</v>
      </c>
      <c r="B1872" t="str">
        <f>"688220"</f>
        <v>688220</v>
      </c>
      <c r="C1872" t="s">
        <v>4063</v>
      </c>
      <c r="D1872" t="s">
        <v>401</v>
      </c>
      <c r="F1872">
        <v>1363520365</v>
      </c>
      <c r="G1872">
        <v>816564491</v>
      </c>
      <c r="P1872">
        <v>19</v>
      </c>
      <c r="Q1872" t="s">
        <v>4064</v>
      </c>
    </row>
    <row r="1873" spans="1:17" x14ac:dyDescent="0.3">
      <c r="A1873" t="s">
        <v>17</v>
      </c>
      <c r="B1873" t="str">
        <f>"688221"</f>
        <v>688221</v>
      </c>
      <c r="C1873" t="s">
        <v>4065</v>
      </c>
      <c r="D1873" t="s">
        <v>143</v>
      </c>
      <c r="F1873">
        <v>41900879</v>
      </c>
      <c r="G1873">
        <v>27869114</v>
      </c>
      <c r="H1873">
        <v>6657129</v>
      </c>
      <c r="P1873">
        <v>51</v>
      </c>
      <c r="Q1873" t="s">
        <v>4066</v>
      </c>
    </row>
    <row r="1874" spans="1:17" x14ac:dyDescent="0.3">
      <c r="A1874" t="s">
        <v>17</v>
      </c>
      <c r="B1874" t="str">
        <f>"688222"</f>
        <v>688222</v>
      </c>
      <c r="C1874" t="s">
        <v>4067</v>
      </c>
      <c r="D1874" t="s">
        <v>1461</v>
      </c>
      <c r="F1874">
        <v>215025349</v>
      </c>
      <c r="G1874">
        <v>97526104</v>
      </c>
      <c r="H1874">
        <v>190952900</v>
      </c>
      <c r="I1874">
        <v>0</v>
      </c>
      <c r="P1874">
        <v>128</v>
      </c>
      <c r="Q1874" t="s">
        <v>4068</v>
      </c>
    </row>
    <row r="1875" spans="1:17" x14ac:dyDescent="0.3">
      <c r="A1875" t="s">
        <v>17</v>
      </c>
      <c r="B1875" t="str">
        <f>"688223"</f>
        <v>688223</v>
      </c>
      <c r="C1875" t="s">
        <v>4069</v>
      </c>
      <c r="D1875" t="s">
        <v>475</v>
      </c>
      <c r="F1875">
        <v>24208651601</v>
      </c>
      <c r="P1875">
        <v>29</v>
      </c>
      <c r="Q1875" t="s">
        <v>4070</v>
      </c>
    </row>
    <row r="1876" spans="1:17" x14ac:dyDescent="0.3">
      <c r="A1876" t="s">
        <v>17</v>
      </c>
      <c r="B1876" t="str">
        <f>"688225"</f>
        <v>688225</v>
      </c>
      <c r="C1876" t="s">
        <v>4071</v>
      </c>
      <c r="F1876">
        <v>921883942</v>
      </c>
      <c r="G1876">
        <v>812507574</v>
      </c>
      <c r="P1876">
        <v>9</v>
      </c>
      <c r="Q1876" t="s">
        <v>4072</v>
      </c>
    </row>
    <row r="1877" spans="1:17" x14ac:dyDescent="0.3">
      <c r="A1877" t="s">
        <v>17</v>
      </c>
      <c r="B1877" t="str">
        <f>"688226"</f>
        <v>688226</v>
      </c>
      <c r="C1877" t="s">
        <v>4073</v>
      </c>
      <c r="D1877" t="s">
        <v>1164</v>
      </c>
      <c r="F1877">
        <v>1015569657</v>
      </c>
      <c r="P1877">
        <v>19</v>
      </c>
      <c r="Q1877" t="s">
        <v>4074</v>
      </c>
    </row>
    <row r="1878" spans="1:17" x14ac:dyDescent="0.3">
      <c r="A1878" t="s">
        <v>17</v>
      </c>
      <c r="B1878" t="str">
        <f>"688227"</f>
        <v>688227</v>
      </c>
      <c r="C1878" t="s">
        <v>4075</v>
      </c>
      <c r="D1878" t="s">
        <v>316</v>
      </c>
      <c r="F1878">
        <v>246641880</v>
      </c>
      <c r="G1878">
        <v>191665362</v>
      </c>
      <c r="P1878">
        <v>13</v>
      </c>
      <c r="Q1878" t="s">
        <v>4076</v>
      </c>
    </row>
    <row r="1879" spans="1:17" x14ac:dyDescent="0.3">
      <c r="A1879" t="s">
        <v>17</v>
      </c>
      <c r="B1879" t="str">
        <f>"688228"</f>
        <v>688228</v>
      </c>
      <c r="C1879" t="s">
        <v>4077</v>
      </c>
      <c r="D1879" t="s">
        <v>316</v>
      </c>
      <c r="F1879">
        <v>111080495</v>
      </c>
      <c r="G1879">
        <v>163046136</v>
      </c>
      <c r="H1879">
        <v>122245354</v>
      </c>
      <c r="I1879">
        <v>0</v>
      </c>
      <c r="P1879">
        <v>93</v>
      </c>
      <c r="Q1879" t="s">
        <v>4078</v>
      </c>
    </row>
    <row r="1880" spans="1:17" x14ac:dyDescent="0.3">
      <c r="A1880" t="s">
        <v>17</v>
      </c>
      <c r="B1880" t="str">
        <f>"688229"</f>
        <v>688229</v>
      </c>
      <c r="C1880" t="s">
        <v>4079</v>
      </c>
      <c r="D1880" t="s">
        <v>316</v>
      </c>
      <c r="F1880">
        <v>89816389</v>
      </c>
      <c r="G1880">
        <v>96719422</v>
      </c>
      <c r="H1880">
        <v>113650879</v>
      </c>
      <c r="P1880">
        <v>63</v>
      </c>
      <c r="Q1880" t="s">
        <v>4080</v>
      </c>
    </row>
    <row r="1881" spans="1:17" x14ac:dyDescent="0.3">
      <c r="A1881" t="s">
        <v>17</v>
      </c>
      <c r="B1881" t="str">
        <f>"688230"</f>
        <v>688230</v>
      </c>
      <c r="C1881" t="s">
        <v>4081</v>
      </c>
      <c r="D1881" t="s">
        <v>795</v>
      </c>
      <c r="F1881">
        <v>408450528</v>
      </c>
      <c r="G1881">
        <v>271017689</v>
      </c>
      <c r="P1881">
        <v>24</v>
      </c>
      <c r="Q1881" t="s">
        <v>4082</v>
      </c>
    </row>
    <row r="1882" spans="1:17" x14ac:dyDescent="0.3">
      <c r="A1882" t="s">
        <v>17</v>
      </c>
      <c r="B1882" t="str">
        <f>"688232"</f>
        <v>688232</v>
      </c>
      <c r="C1882" t="s">
        <v>4083</v>
      </c>
      <c r="D1882" t="s">
        <v>945</v>
      </c>
      <c r="F1882">
        <v>1456088466</v>
      </c>
      <c r="G1882">
        <v>1113096417</v>
      </c>
      <c r="P1882">
        <v>26</v>
      </c>
      <c r="Q1882" t="s">
        <v>4084</v>
      </c>
    </row>
    <row r="1883" spans="1:17" x14ac:dyDescent="0.3">
      <c r="A1883" t="s">
        <v>17</v>
      </c>
      <c r="B1883" t="str">
        <f>"688233"</f>
        <v>688233</v>
      </c>
      <c r="C1883" t="s">
        <v>4085</v>
      </c>
      <c r="D1883" t="s">
        <v>475</v>
      </c>
      <c r="F1883">
        <v>331652347</v>
      </c>
      <c r="G1883">
        <v>100502913</v>
      </c>
      <c r="H1883">
        <v>193727003</v>
      </c>
      <c r="I1883">
        <v>171686432</v>
      </c>
      <c r="P1883">
        <v>170</v>
      </c>
      <c r="Q1883" t="s">
        <v>4086</v>
      </c>
    </row>
    <row r="1884" spans="1:17" x14ac:dyDescent="0.3">
      <c r="A1884" t="s">
        <v>17</v>
      </c>
      <c r="B1884" t="str">
        <f>"688234"</f>
        <v>688234</v>
      </c>
      <c r="C1884" t="s">
        <v>4087</v>
      </c>
      <c r="D1884" t="s">
        <v>475</v>
      </c>
      <c r="F1884">
        <v>409817512</v>
      </c>
      <c r="G1884">
        <v>243464217</v>
      </c>
      <c r="P1884">
        <v>32</v>
      </c>
      <c r="Q1884" t="s">
        <v>4088</v>
      </c>
    </row>
    <row r="1885" spans="1:17" x14ac:dyDescent="0.3">
      <c r="A1885" t="s">
        <v>17</v>
      </c>
      <c r="B1885" t="str">
        <f>"688235"</f>
        <v>688235</v>
      </c>
      <c r="C1885" t="s">
        <v>4089</v>
      </c>
      <c r="D1885" t="s">
        <v>1379</v>
      </c>
      <c r="F1885">
        <v>7192627000</v>
      </c>
      <c r="G1885">
        <v>1831261000</v>
      </c>
      <c r="P1885">
        <v>58</v>
      </c>
      <c r="Q1885" t="s">
        <v>4090</v>
      </c>
    </row>
    <row r="1886" spans="1:17" x14ac:dyDescent="0.3">
      <c r="A1886" t="s">
        <v>17</v>
      </c>
      <c r="B1886" t="str">
        <f>"688236"</f>
        <v>688236</v>
      </c>
      <c r="C1886" t="s">
        <v>4091</v>
      </c>
      <c r="D1886" t="s">
        <v>1077</v>
      </c>
      <c r="F1886">
        <v>622028882</v>
      </c>
      <c r="G1886">
        <v>547448148</v>
      </c>
      <c r="P1886">
        <v>20</v>
      </c>
      <c r="Q1886" t="s">
        <v>4092</v>
      </c>
    </row>
    <row r="1887" spans="1:17" x14ac:dyDescent="0.3">
      <c r="A1887" t="s">
        <v>17</v>
      </c>
      <c r="B1887" t="str">
        <f>"688238"</f>
        <v>688238</v>
      </c>
      <c r="C1887" t="s">
        <v>4093</v>
      </c>
      <c r="F1887">
        <v>147730318</v>
      </c>
      <c r="G1887">
        <v>72719014</v>
      </c>
      <c r="P1887">
        <v>7</v>
      </c>
      <c r="Q1887" t="s">
        <v>4094</v>
      </c>
    </row>
    <row r="1888" spans="1:17" x14ac:dyDescent="0.3">
      <c r="A1888" t="s">
        <v>17</v>
      </c>
      <c r="B1888" t="str">
        <f>"688239"</f>
        <v>688239</v>
      </c>
      <c r="C1888" t="s">
        <v>4095</v>
      </c>
      <c r="D1888" t="s">
        <v>98</v>
      </c>
      <c r="F1888">
        <v>528475843</v>
      </c>
      <c r="P1888">
        <v>57</v>
      </c>
      <c r="Q1888" t="s">
        <v>4096</v>
      </c>
    </row>
    <row r="1889" spans="1:17" x14ac:dyDescent="0.3">
      <c r="A1889" t="s">
        <v>17</v>
      </c>
      <c r="B1889" t="str">
        <f>"688246"</f>
        <v>688246</v>
      </c>
      <c r="C1889" t="s">
        <v>4097</v>
      </c>
      <c r="D1889" t="s">
        <v>945</v>
      </c>
      <c r="F1889">
        <v>330476361</v>
      </c>
      <c r="G1889">
        <v>249745089</v>
      </c>
      <c r="P1889">
        <v>12</v>
      </c>
      <c r="Q1889" t="s">
        <v>4098</v>
      </c>
    </row>
    <row r="1890" spans="1:17" x14ac:dyDescent="0.3">
      <c r="A1890" t="s">
        <v>17</v>
      </c>
      <c r="B1890" t="str">
        <f>"688248"</f>
        <v>688248</v>
      </c>
      <c r="C1890" t="s">
        <v>4099</v>
      </c>
      <c r="D1890" t="s">
        <v>610</v>
      </c>
      <c r="F1890">
        <v>526105575</v>
      </c>
      <c r="P1890">
        <v>14</v>
      </c>
      <c r="Q1890" t="s">
        <v>4100</v>
      </c>
    </row>
    <row r="1891" spans="1:17" x14ac:dyDescent="0.3">
      <c r="A1891" t="s">
        <v>17</v>
      </c>
      <c r="B1891" t="str">
        <f>"688255"</f>
        <v>688255</v>
      </c>
      <c r="C1891" t="s">
        <v>4101</v>
      </c>
      <c r="D1891" t="s">
        <v>2911</v>
      </c>
      <c r="F1891">
        <v>274566274</v>
      </c>
      <c r="G1891">
        <v>319330028</v>
      </c>
      <c r="P1891">
        <v>19</v>
      </c>
      <c r="Q1891" t="s">
        <v>4102</v>
      </c>
    </row>
    <row r="1892" spans="1:17" x14ac:dyDescent="0.3">
      <c r="A1892" t="s">
        <v>17</v>
      </c>
      <c r="B1892" t="str">
        <f>"688256"</f>
        <v>688256</v>
      </c>
      <c r="C1892" t="s">
        <v>4103</v>
      </c>
      <c r="D1892" t="s">
        <v>461</v>
      </c>
      <c r="F1892">
        <v>285723708</v>
      </c>
      <c r="G1892">
        <v>108709640</v>
      </c>
      <c r="H1892">
        <v>157912549</v>
      </c>
      <c r="P1892">
        <v>192</v>
      </c>
      <c r="Q1892" t="s">
        <v>4104</v>
      </c>
    </row>
    <row r="1893" spans="1:17" x14ac:dyDescent="0.3">
      <c r="A1893" t="s">
        <v>17</v>
      </c>
      <c r="B1893" t="str">
        <f>"688257"</f>
        <v>688257</v>
      </c>
      <c r="C1893" t="s">
        <v>4105</v>
      </c>
      <c r="D1893" t="s">
        <v>274</v>
      </c>
      <c r="F1893">
        <v>529030221</v>
      </c>
      <c r="G1893">
        <v>441503251</v>
      </c>
      <c r="P1893">
        <v>17</v>
      </c>
      <c r="Q1893" t="s">
        <v>4106</v>
      </c>
    </row>
    <row r="1894" spans="1:17" x14ac:dyDescent="0.3">
      <c r="A1894" t="s">
        <v>17</v>
      </c>
      <c r="B1894" t="str">
        <f>"688258"</f>
        <v>688258</v>
      </c>
      <c r="C1894" t="s">
        <v>4107</v>
      </c>
      <c r="D1894" t="s">
        <v>316</v>
      </c>
      <c r="F1894">
        <v>183467036</v>
      </c>
      <c r="G1894">
        <v>148981811</v>
      </c>
      <c r="H1894">
        <v>119000329</v>
      </c>
      <c r="I1894">
        <v>89637083</v>
      </c>
      <c r="P1894">
        <v>2718</v>
      </c>
      <c r="Q1894" t="s">
        <v>4108</v>
      </c>
    </row>
    <row r="1895" spans="1:17" x14ac:dyDescent="0.3">
      <c r="A1895" t="s">
        <v>17</v>
      </c>
      <c r="B1895" t="str">
        <f>"688259"</f>
        <v>688259</v>
      </c>
      <c r="C1895" t="s">
        <v>4109</v>
      </c>
      <c r="D1895" t="s">
        <v>461</v>
      </c>
      <c r="F1895">
        <v>986856822</v>
      </c>
      <c r="G1895">
        <v>162686386</v>
      </c>
      <c r="P1895">
        <v>17</v>
      </c>
      <c r="Q1895" t="s">
        <v>4110</v>
      </c>
    </row>
    <row r="1896" spans="1:17" x14ac:dyDescent="0.3">
      <c r="A1896" t="s">
        <v>17</v>
      </c>
      <c r="B1896" t="str">
        <f>"688260"</f>
        <v>688260</v>
      </c>
      <c r="C1896" t="s">
        <v>4111</v>
      </c>
      <c r="D1896" t="s">
        <v>313</v>
      </c>
      <c r="F1896">
        <v>339258301</v>
      </c>
      <c r="G1896">
        <v>409268257</v>
      </c>
      <c r="P1896">
        <v>24</v>
      </c>
      <c r="Q1896" t="s">
        <v>4112</v>
      </c>
    </row>
    <row r="1897" spans="1:17" x14ac:dyDescent="0.3">
      <c r="A1897" t="s">
        <v>17</v>
      </c>
      <c r="B1897" t="str">
        <f>"688261"</f>
        <v>688261</v>
      </c>
      <c r="C1897" t="s">
        <v>4113</v>
      </c>
      <c r="F1897">
        <v>551359087</v>
      </c>
      <c r="G1897">
        <v>164603419</v>
      </c>
      <c r="P1897">
        <v>11</v>
      </c>
      <c r="Q1897" t="s">
        <v>4114</v>
      </c>
    </row>
    <row r="1898" spans="1:17" x14ac:dyDescent="0.3">
      <c r="A1898" t="s">
        <v>17</v>
      </c>
      <c r="B1898" t="str">
        <f>"688262"</f>
        <v>688262</v>
      </c>
      <c r="C1898" t="s">
        <v>4115</v>
      </c>
      <c r="D1898" t="s">
        <v>461</v>
      </c>
      <c r="F1898">
        <v>256028501</v>
      </c>
      <c r="G1898">
        <v>140213903</v>
      </c>
      <c r="P1898">
        <v>19</v>
      </c>
      <c r="Q1898" t="s">
        <v>4116</v>
      </c>
    </row>
    <row r="1899" spans="1:17" x14ac:dyDescent="0.3">
      <c r="A1899" t="s">
        <v>17</v>
      </c>
      <c r="B1899" t="str">
        <f>"688265"</f>
        <v>688265</v>
      </c>
      <c r="C1899" t="s">
        <v>4117</v>
      </c>
      <c r="D1899" t="s">
        <v>1461</v>
      </c>
      <c r="F1899">
        <v>196597702</v>
      </c>
      <c r="G1899">
        <v>111615449</v>
      </c>
      <c r="P1899">
        <v>17</v>
      </c>
      <c r="Q1899" t="s">
        <v>4118</v>
      </c>
    </row>
    <row r="1900" spans="1:17" x14ac:dyDescent="0.3">
      <c r="A1900" t="s">
        <v>17</v>
      </c>
      <c r="B1900" t="str">
        <f>"688266"</f>
        <v>688266</v>
      </c>
      <c r="C1900" t="s">
        <v>4119</v>
      </c>
      <c r="D1900" t="s">
        <v>143</v>
      </c>
      <c r="F1900">
        <v>78060832</v>
      </c>
      <c r="G1900">
        <v>27975300</v>
      </c>
      <c r="H1900">
        <v>0</v>
      </c>
      <c r="I1900">
        <v>0</v>
      </c>
      <c r="P1900">
        <v>102</v>
      </c>
      <c r="Q1900" t="s">
        <v>4120</v>
      </c>
    </row>
    <row r="1901" spans="1:17" x14ac:dyDescent="0.3">
      <c r="A1901" t="s">
        <v>17</v>
      </c>
      <c r="B1901" t="str">
        <f>"688267"</f>
        <v>688267</v>
      </c>
      <c r="C1901" t="s">
        <v>4121</v>
      </c>
      <c r="F1901">
        <v>519549126</v>
      </c>
      <c r="P1901">
        <v>7</v>
      </c>
      <c r="Q1901" t="s">
        <v>4122</v>
      </c>
    </row>
    <row r="1902" spans="1:17" x14ac:dyDescent="0.3">
      <c r="A1902" t="s">
        <v>17</v>
      </c>
      <c r="B1902" t="str">
        <f>"688268"</f>
        <v>688268</v>
      </c>
      <c r="C1902" t="s">
        <v>4123</v>
      </c>
      <c r="D1902" t="s">
        <v>2399</v>
      </c>
      <c r="F1902">
        <v>889111511</v>
      </c>
      <c r="G1902">
        <v>613799333</v>
      </c>
      <c r="H1902">
        <v>562347406</v>
      </c>
      <c r="I1902">
        <v>514869440</v>
      </c>
      <c r="P1902">
        <v>184</v>
      </c>
      <c r="Q1902" t="s">
        <v>4124</v>
      </c>
    </row>
    <row r="1903" spans="1:17" x14ac:dyDescent="0.3">
      <c r="A1903" t="s">
        <v>17</v>
      </c>
      <c r="B1903" t="str">
        <f>"688269"</f>
        <v>688269</v>
      </c>
      <c r="C1903" t="s">
        <v>4125</v>
      </c>
      <c r="D1903" t="s">
        <v>581</v>
      </c>
      <c r="F1903">
        <v>965247843</v>
      </c>
      <c r="P1903">
        <v>58</v>
      </c>
      <c r="Q1903" t="s">
        <v>4126</v>
      </c>
    </row>
    <row r="1904" spans="1:17" x14ac:dyDescent="0.3">
      <c r="A1904" t="s">
        <v>17</v>
      </c>
      <c r="B1904" t="str">
        <f>"688270"</f>
        <v>688270</v>
      </c>
      <c r="C1904" t="s">
        <v>4127</v>
      </c>
      <c r="F1904">
        <v>92565204</v>
      </c>
      <c r="G1904">
        <v>64205259</v>
      </c>
      <c r="P1904">
        <v>12</v>
      </c>
      <c r="Q1904" t="s">
        <v>4128</v>
      </c>
    </row>
    <row r="1905" spans="1:17" x14ac:dyDescent="0.3">
      <c r="A1905" t="s">
        <v>17</v>
      </c>
      <c r="B1905" t="str">
        <f>"688272"</f>
        <v>688272</v>
      </c>
      <c r="C1905" t="s">
        <v>4129</v>
      </c>
      <c r="D1905" t="s">
        <v>1136</v>
      </c>
      <c r="F1905">
        <v>168794269</v>
      </c>
      <c r="G1905">
        <v>218560101</v>
      </c>
      <c r="P1905">
        <v>11</v>
      </c>
      <c r="Q1905" t="s">
        <v>4130</v>
      </c>
    </row>
    <row r="1906" spans="1:17" x14ac:dyDescent="0.3">
      <c r="A1906" t="s">
        <v>17</v>
      </c>
      <c r="B1906" t="str">
        <f>"688276"</f>
        <v>688276</v>
      </c>
      <c r="C1906" t="s">
        <v>4131</v>
      </c>
      <c r="D1906" t="s">
        <v>1499</v>
      </c>
      <c r="F1906">
        <v>855535464</v>
      </c>
      <c r="G1906">
        <v>716308155</v>
      </c>
      <c r="P1906">
        <v>46</v>
      </c>
      <c r="Q1906" t="s">
        <v>4132</v>
      </c>
    </row>
    <row r="1907" spans="1:17" x14ac:dyDescent="0.3">
      <c r="A1907" t="s">
        <v>17</v>
      </c>
      <c r="B1907" t="str">
        <f>"688277"</f>
        <v>688277</v>
      </c>
      <c r="C1907" t="s">
        <v>4133</v>
      </c>
      <c r="D1907" t="s">
        <v>122</v>
      </c>
      <c r="F1907">
        <v>82547196</v>
      </c>
      <c r="G1907">
        <v>83844861</v>
      </c>
      <c r="H1907">
        <v>133314186</v>
      </c>
      <c r="P1907">
        <v>120</v>
      </c>
      <c r="Q1907" t="s">
        <v>4134</v>
      </c>
    </row>
    <row r="1908" spans="1:17" x14ac:dyDescent="0.3">
      <c r="A1908" t="s">
        <v>17</v>
      </c>
      <c r="B1908" t="str">
        <f>"688278"</f>
        <v>688278</v>
      </c>
      <c r="C1908" t="s">
        <v>4135</v>
      </c>
      <c r="D1908" t="s">
        <v>1379</v>
      </c>
      <c r="F1908">
        <v>860312565</v>
      </c>
      <c r="G1908">
        <v>559981356</v>
      </c>
      <c r="H1908">
        <v>542510600</v>
      </c>
      <c r="I1908">
        <v>0</v>
      </c>
      <c r="P1908">
        <v>154</v>
      </c>
      <c r="Q1908" t="s">
        <v>4136</v>
      </c>
    </row>
    <row r="1909" spans="1:17" x14ac:dyDescent="0.3">
      <c r="A1909" t="s">
        <v>17</v>
      </c>
      <c r="B1909" t="str">
        <f>"688280"</f>
        <v>688280</v>
      </c>
      <c r="C1909" t="s">
        <v>4137</v>
      </c>
      <c r="D1909" t="s">
        <v>348</v>
      </c>
      <c r="F1909">
        <v>479460544</v>
      </c>
      <c r="G1909">
        <v>364856707</v>
      </c>
      <c r="P1909">
        <v>22</v>
      </c>
      <c r="Q1909" t="s">
        <v>4138</v>
      </c>
    </row>
    <row r="1910" spans="1:17" x14ac:dyDescent="0.3">
      <c r="A1910" t="s">
        <v>17</v>
      </c>
      <c r="B1910" t="str">
        <f>"688281"</f>
        <v>688281</v>
      </c>
      <c r="C1910" t="s">
        <v>4139</v>
      </c>
      <c r="F1910">
        <v>333576088</v>
      </c>
      <c r="G1910">
        <v>45026427</v>
      </c>
      <c r="P1910">
        <v>13</v>
      </c>
      <c r="Q1910" t="s">
        <v>4140</v>
      </c>
    </row>
    <row r="1911" spans="1:17" x14ac:dyDescent="0.3">
      <c r="A1911" t="s">
        <v>17</v>
      </c>
      <c r="B1911" t="str">
        <f>"688283"</f>
        <v>688283</v>
      </c>
      <c r="C1911" t="s">
        <v>4141</v>
      </c>
      <c r="F1911">
        <v>73867818</v>
      </c>
      <c r="G1911">
        <v>65510380</v>
      </c>
      <c r="P1911">
        <v>17</v>
      </c>
      <c r="Q1911" t="s">
        <v>4142</v>
      </c>
    </row>
    <row r="1912" spans="1:17" x14ac:dyDescent="0.3">
      <c r="A1912" t="s">
        <v>17</v>
      </c>
      <c r="B1912" t="str">
        <f>"688285"</f>
        <v>688285</v>
      </c>
      <c r="C1912" t="s">
        <v>4143</v>
      </c>
      <c r="D1912" t="s">
        <v>1012</v>
      </c>
      <c r="F1912">
        <v>775624678</v>
      </c>
      <c r="G1912">
        <v>743862186</v>
      </c>
      <c r="P1912">
        <v>14</v>
      </c>
      <c r="Q1912" t="s">
        <v>4144</v>
      </c>
    </row>
    <row r="1913" spans="1:17" x14ac:dyDescent="0.3">
      <c r="A1913" t="s">
        <v>17</v>
      </c>
      <c r="B1913" t="str">
        <f>"688286"</f>
        <v>688286</v>
      </c>
      <c r="C1913" t="s">
        <v>4145</v>
      </c>
      <c r="D1913" t="s">
        <v>401</v>
      </c>
      <c r="F1913">
        <v>282078509</v>
      </c>
      <c r="G1913">
        <v>226939002</v>
      </c>
      <c r="H1913">
        <v>220246819</v>
      </c>
      <c r="P1913">
        <v>91</v>
      </c>
      <c r="Q1913" t="s">
        <v>4146</v>
      </c>
    </row>
    <row r="1914" spans="1:17" x14ac:dyDescent="0.3">
      <c r="A1914" t="s">
        <v>17</v>
      </c>
      <c r="B1914" t="str">
        <f>"688288"</f>
        <v>688288</v>
      </c>
      <c r="C1914" t="s">
        <v>4147</v>
      </c>
      <c r="D1914" t="s">
        <v>236</v>
      </c>
      <c r="F1914">
        <v>231945911</v>
      </c>
      <c r="G1914">
        <v>170535845</v>
      </c>
      <c r="H1914">
        <v>176429342</v>
      </c>
      <c r="I1914">
        <v>168171203</v>
      </c>
      <c r="P1914">
        <v>110</v>
      </c>
      <c r="Q1914" t="s">
        <v>4148</v>
      </c>
    </row>
    <row r="1915" spans="1:17" x14ac:dyDescent="0.3">
      <c r="A1915" t="s">
        <v>17</v>
      </c>
      <c r="B1915" t="str">
        <f>"688289"</f>
        <v>688289</v>
      </c>
      <c r="C1915" t="s">
        <v>4149</v>
      </c>
      <c r="D1915" t="s">
        <v>1305</v>
      </c>
      <c r="F1915">
        <v>3217107959</v>
      </c>
      <c r="G1915">
        <v>3153493530</v>
      </c>
      <c r="H1915">
        <v>230353355</v>
      </c>
      <c r="P1915">
        <v>209</v>
      </c>
      <c r="Q1915" t="s">
        <v>4150</v>
      </c>
    </row>
    <row r="1916" spans="1:17" x14ac:dyDescent="0.3">
      <c r="A1916" t="s">
        <v>17</v>
      </c>
      <c r="B1916" t="str">
        <f>"688296"</f>
        <v>688296</v>
      </c>
      <c r="C1916" t="s">
        <v>4151</v>
      </c>
      <c r="D1916" t="s">
        <v>945</v>
      </c>
      <c r="F1916">
        <v>241462479</v>
      </c>
      <c r="G1916">
        <v>152190040</v>
      </c>
      <c r="P1916">
        <v>24</v>
      </c>
      <c r="Q1916" t="s">
        <v>4152</v>
      </c>
    </row>
    <row r="1917" spans="1:17" x14ac:dyDescent="0.3">
      <c r="A1917" t="s">
        <v>17</v>
      </c>
      <c r="B1917" t="str">
        <f>"688298"</f>
        <v>688298</v>
      </c>
      <c r="C1917" t="s">
        <v>4153</v>
      </c>
      <c r="D1917" t="s">
        <v>1305</v>
      </c>
      <c r="F1917">
        <v>7257257320</v>
      </c>
      <c r="G1917">
        <v>1012628190</v>
      </c>
      <c r="H1917">
        <v>247200739</v>
      </c>
      <c r="I1917">
        <v>187012728</v>
      </c>
      <c r="P1917">
        <v>477</v>
      </c>
      <c r="Q1917" t="s">
        <v>4154</v>
      </c>
    </row>
    <row r="1918" spans="1:17" x14ac:dyDescent="0.3">
      <c r="A1918" t="s">
        <v>17</v>
      </c>
      <c r="B1918" t="str">
        <f>"688299"</f>
        <v>688299</v>
      </c>
      <c r="C1918" t="s">
        <v>4155</v>
      </c>
      <c r="D1918" t="s">
        <v>1117</v>
      </c>
      <c r="F1918">
        <v>801346819</v>
      </c>
      <c r="G1918">
        <v>563762254</v>
      </c>
      <c r="H1918">
        <v>462612381</v>
      </c>
      <c r="I1918">
        <v>245637761</v>
      </c>
      <c r="P1918">
        <v>239</v>
      </c>
      <c r="Q1918" t="s">
        <v>4156</v>
      </c>
    </row>
    <row r="1919" spans="1:17" x14ac:dyDescent="0.3">
      <c r="A1919" t="s">
        <v>17</v>
      </c>
      <c r="B1919" t="str">
        <f>"688300"</f>
        <v>688300</v>
      </c>
      <c r="C1919" t="s">
        <v>4157</v>
      </c>
      <c r="D1919" t="s">
        <v>2739</v>
      </c>
      <c r="F1919">
        <v>411935497</v>
      </c>
      <c r="G1919">
        <v>263820973</v>
      </c>
      <c r="H1919">
        <v>194857124</v>
      </c>
      <c r="I1919">
        <v>191322582</v>
      </c>
      <c r="P1919">
        <v>196</v>
      </c>
      <c r="Q1919" t="s">
        <v>4158</v>
      </c>
    </row>
    <row r="1920" spans="1:17" x14ac:dyDescent="0.3">
      <c r="A1920" t="s">
        <v>17</v>
      </c>
      <c r="B1920" t="str">
        <f>"688301"</f>
        <v>688301</v>
      </c>
      <c r="C1920" t="s">
        <v>4159</v>
      </c>
      <c r="D1920" t="s">
        <v>122</v>
      </c>
      <c r="F1920">
        <v>800130632</v>
      </c>
      <c r="G1920">
        <v>656204692</v>
      </c>
      <c r="H1920">
        <v>361461523</v>
      </c>
      <c r="P1920">
        <v>178</v>
      </c>
      <c r="Q1920" t="s">
        <v>4160</v>
      </c>
    </row>
    <row r="1921" spans="1:17" x14ac:dyDescent="0.3">
      <c r="A1921" t="s">
        <v>17</v>
      </c>
      <c r="B1921" t="str">
        <f>"688303"</f>
        <v>688303</v>
      </c>
      <c r="C1921" t="s">
        <v>4161</v>
      </c>
      <c r="D1921" t="s">
        <v>929</v>
      </c>
      <c r="F1921">
        <v>6788289790</v>
      </c>
      <c r="G1921">
        <v>1817946301</v>
      </c>
      <c r="P1921">
        <v>108</v>
      </c>
      <c r="Q1921" t="s">
        <v>4162</v>
      </c>
    </row>
    <row r="1922" spans="1:17" x14ac:dyDescent="0.3">
      <c r="A1922" t="s">
        <v>17</v>
      </c>
      <c r="B1922" t="str">
        <f>"688305"</f>
        <v>688305</v>
      </c>
      <c r="C1922" t="s">
        <v>4163</v>
      </c>
      <c r="D1922" t="s">
        <v>2312</v>
      </c>
      <c r="F1922">
        <v>105032778</v>
      </c>
      <c r="P1922">
        <v>79</v>
      </c>
      <c r="Q1922" t="s">
        <v>4164</v>
      </c>
    </row>
    <row r="1923" spans="1:17" x14ac:dyDescent="0.3">
      <c r="A1923" t="s">
        <v>17</v>
      </c>
      <c r="B1923" t="str">
        <f>"688306"</f>
        <v>688306</v>
      </c>
      <c r="C1923" t="s">
        <v>4165</v>
      </c>
      <c r="F1923">
        <v>1557128471</v>
      </c>
      <c r="G1923">
        <v>1360607781</v>
      </c>
      <c r="P1923">
        <v>3</v>
      </c>
      <c r="Q1923" t="s">
        <v>4166</v>
      </c>
    </row>
    <row r="1924" spans="1:17" x14ac:dyDescent="0.3">
      <c r="A1924" t="s">
        <v>17</v>
      </c>
      <c r="B1924" t="str">
        <f>"688308"</f>
        <v>688308</v>
      </c>
      <c r="C1924" t="s">
        <v>4167</v>
      </c>
      <c r="D1924" t="s">
        <v>274</v>
      </c>
      <c r="F1924">
        <v>397526768</v>
      </c>
      <c r="G1924">
        <v>285091146</v>
      </c>
      <c r="H1924">
        <v>300091702</v>
      </c>
      <c r="P1924">
        <v>91</v>
      </c>
      <c r="Q1924" t="s">
        <v>4168</v>
      </c>
    </row>
    <row r="1925" spans="1:17" x14ac:dyDescent="0.3">
      <c r="A1925" t="s">
        <v>17</v>
      </c>
      <c r="B1925" t="str">
        <f>"688309"</f>
        <v>688309</v>
      </c>
      <c r="C1925" t="s">
        <v>4169</v>
      </c>
      <c r="D1925" t="s">
        <v>1070</v>
      </c>
      <c r="F1925">
        <v>74099125</v>
      </c>
      <c r="G1925">
        <v>52318436</v>
      </c>
      <c r="H1925">
        <v>95940061</v>
      </c>
      <c r="P1925">
        <v>30</v>
      </c>
      <c r="Q1925" t="s">
        <v>4170</v>
      </c>
    </row>
    <row r="1926" spans="1:17" x14ac:dyDescent="0.3">
      <c r="A1926" t="s">
        <v>17</v>
      </c>
      <c r="B1926" t="str">
        <f>"688310"</f>
        <v>688310</v>
      </c>
      <c r="C1926" t="s">
        <v>4171</v>
      </c>
      <c r="D1926" t="s">
        <v>3450</v>
      </c>
      <c r="F1926">
        <v>181473748</v>
      </c>
      <c r="G1926">
        <v>194219134</v>
      </c>
      <c r="H1926">
        <v>106523886</v>
      </c>
      <c r="I1926">
        <v>99210037</v>
      </c>
      <c r="P1926">
        <v>92</v>
      </c>
      <c r="Q1926" t="s">
        <v>4172</v>
      </c>
    </row>
    <row r="1927" spans="1:17" x14ac:dyDescent="0.3">
      <c r="A1927" t="s">
        <v>17</v>
      </c>
      <c r="B1927" t="str">
        <f>"688311"</f>
        <v>688311</v>
      </c>
      <c r="C1927" t="s">
        <v>4173</v>
      </c>
      <c r="D1927" t="s">
        <v>1136</v>
      </c>
      <c r="F1927">
        <v>190615621</v>
      </c>
      <c r="G1927">
        <v>86183495</v>
      </c>
      <c r="H1927">
        <v>72593087</v>
      </c>
      <c r="P1927">
        <v>74</v>
      </c>
      <c r="Q1927" t="s">
        <v>4174</v>
      </c>
    </row>
    <row r="1928" spans="1:17" x14ac:dyDescent="0.3">
      <c r="A1928" t="s">
        <v>17</v>
      </c>
      <c r="B1928" t="str">
        <f>"688312"</f>
        <v>688312</v>
      </c>
      <c r="C1928" t="s">
        <v>4175</v>
      </c>
      <c r="D1928" t="s">
        <v>741</v>
      </c>
      <c r="F1928">
        <v>350369076</v>
      </c>
      <c r="G1928">
        <v>220865762</v>
      </c>
      <c r="H1928">
        <v>234450144</v>
      </c>
      <c r="P1928">
        <v>64</v>
      </c>
      <c r="Q1928" t="s">
        <v>4176</v>
      </c>
    </row>
    <row r="1929" spans="1:17" x14ac:dyDescent="0.3">
      <c r="A1929" t="s">
        <v>17</v>
      </c>
      <c r="B1929" t="str">
        <f>"688313"</f>
        <v>688313</v>
      </c>
      <c r="C1929" t="s">
        <v>4177</v>
      </c>
      <c r="D1929" t="s">
        <v>1019</v>
      </c>
      <c r="F1929">
        <v>370931519</v>
      </c>
      <c r="G1929">
        <v>336377498</v>
      </c>
      <c r="H1929">
        <v>270590485</v>
      </c>
      <c r="P1929">
        <v>50</v>
      </c>
      <c r="Q1929" t="s">
        <v>4178</v>
      </c>
    </row>
    <row r="1930" spans="1:17" x14ac:dyDescent="0.3">
      <c r="A1930" t="s">
        <v>17</v>
      </c>
      <c r="B1930" t="str">
        <f>"688314"</f>
        <v>688314</v>
      </c>
      <c r="C1930" t="s">
        <v>4179</v>
      </c>
      <c r="D1930" t="s">
        <v>1077</v>
      </c>
      <c r="F1930">
        <v>176119312</v>
      </c>
      <c r="G1930">
        <v>123256204</v>
      </c>
      <c r="P1930">
        <v>53</v>
      </c>
      <c r="Q1930" t="s">
        <v>4180</v>
      </c>
    </row>
    <row r="1931" spans="1:17" x14ac:dyDescent="0.3">
      <c r="A1931" t="s">
        <v>17</v>
      </c>
      <c r="B1931" t="str">
        <f>"688315"</f>
        <v>688315</v>
      </c>
      <c r="C1931" t="s">
        <v>4181</v>
      </c>
      <c r="D1931" t="s">
        <v>4182</v>
      </c>
      <c r="F1931">
        <v>1128424635</v>
      </c>
      <c r="G1931">
        <v>1016948488</v>
      </c>
      <c r="P1931">
        <v>46</v>
      </c>
      <c r="Q1931" t="s">
        <v>4183</v>
      </c>
    </row>
    <row r="1932" spans="1:17" x14ac:dyDescent="0.3">
      <c r="A1932" t="s">
        <v>17</v>
      </c>
      <c r="B1932" t="str">
        <f>"688316"</f>
        <v>688316</v>
      </c>
      <c r="C1932" t="s">
        <v>4184</v>
      </c>
      <c r="D1932" t="s">
        <v>316</v>
      </c>
      <c r="F1932">
        <v>372789344</v>
      </c>
      <c r="G1932">
        <v>278204488</v>
      </c>
      <c r="H1932">
        <v>297280334</v>
      </c>
      <c r="P1932">
        <v>31</v>
      </c>
      <c r="Q1932" t="s">
        <v>4185</v>
      </c>
    </row>
    <row r="1933" spans="1:17" x14ac:dyDescent="0.3">
      <c r="A1933" t="s">
        <v>17</v>
      </c>
      <c r="B1933" t="str">
        <f>"688317"</f>
        <v>688317</v>
      </c>
      <c r="C1933" t="s">
        <v>4186</v>
      </c>
      <c r="D1933" t="s">
        <v>1305</v>
      </c>
      <c r="F1933">
        <v>1483026328</v>
      </c>
      <c r="G1933">
        <v>1394186502</v>
      </c>
      <c r="H1933">
        <v>0</v>
      </c>
      <c r="P1933">
        <v>120</v>
      </c>
      <c r="Q1933" t="s">
        <v>4187</v>
      </c>
    </row>
    <row r="1934" spans="1:17" x14ac:dyDescent="0.3">
      <c r="A1934" t="s">
        <v>17</v>
      </c>
      <c r="B1934" t="str">
        <f>"688318"</f>
        <v>688318</v>
      </c>
      <c r="C1934" t="s">
        <v>4188</v>
      </c>
      <c r="D1934" t="s">
        <v>945</v>
      </c>
      <c r="F1934">
        <v>207925820</v>
      </c>
      <c r="G1934">
        <v>146974108</v>
      </c>
      <c r="H1934">
        <v>0</v>
      </c>
      <c r="I1934">
        <v>0</v>
      </c>
      <c r="P1934">
        <v>155</v>
      </c>
      <c r="Q1934" t="s">
        <v>4189</v>
      </c>
    </row>
    <row r="1935" spans="1:17" x14ac:dyDescent="0.3">
      <c r="A1935" t="s">
        <v>17</v>
      </c>
      <c r="B1935" t="str">
        <f>"688319"</f>
        <v>688319</v>
      </c>
      <c r="C1935" t="s">
        <v>4190</v>
      </c>
      <c r="D1935" t="s">
        <v>1499</v>
      </c>
      <c r="F1935">
        <v>229339891</v>
      </c>
      <c r="P1935">
        <v>46</v>
      </c>
      <c r="Q1935" t="s">
        <v>4191</v>
      </c>
    </row>
    <row r="1936" spans="1:17" x14ac:dyDescent="0.3">
      <c r="A1936" t="s">
        <v>17</v>
      </c>
      <c r="B1936" t="str">
        <f>"688321"</f>
        <v>688321</v>
      </c>
      <c r="C1936" t="s">
        <v>4192</v>
      </c>
      <c r="D1936" t="s">
        <v>143</v>
      </c>
      <c r="F1936">
        <v>314128886</v>
      </c>
      <c r="G1936">
        <v>234895306</v>
      </c>
      <c r="H1936">
        <v>116794757</v>
      </c>
      <c r="I1936">
        <v>110695128</v>
      </c>
      <c r="P1936">
        <v>157</v>
      </c>
      <c r="Q1936" t="s">
        <v>4193</v>
      </c>
    </row>
    <row r="1937" spans="1:17" x14ac:dyDescent="0.3">
      <c r="A1937" t="s">
        <v>17</v>
      </c>
      <c r="B1937" t="str">
        <f>"688323"</f>
        <v>688323</v>
      </c>
      <c r="C1937" t="s">
        <v>4194</v>
      </c>
      <c r="D1937" t="s">
        <v>324</v>
      </c>
      <c r="F1937">
        <v>188869648</v>
      </c>
      <c r="P1937">
        <v>26</v>
      </c>
      <c r="Q1937" t="s">
        <v>4195</v>
      </c>
    </row>
    <row r="1938" spans="1:17" x14ac:dyDescent="0.3">
      <c r="A1938" t="s">
        <v>17</v>
      </c>
      <c r="B1938" t="str">
        <f>"688326"</f>
        <v>688326</v>
      </c>
      <c r="C1938" t="s">
        <v>4196</v>
      </c>
      <c r="F1938">
        <v>1872737418</v>
      </c>
      <c r="G1938">
        <v>1033975752</v>
      </c>
      <c r="P1938">
        <v>3</v>
      </c>
      <c r="Q1938" t="s">
        <v>4197</v>
      </c>
    </row>
    <row r="1939" spans="1:17" x14ac:dyDescent="0.3">
      <c r="A1939" t="s">
        <v>17</v>
      </c>
      <c r="B1939" t="str">
        <f>"688328"</f>
        <v>688328</v>
      </c>
      <c r="C1939" t="s">
        <v>4198</v>
      </c>
      <c r="D1939" t="s">
        <v>741</v>
      </c>
      <c r="F1939">
        <v>462785263</v>
      </c>
      <c r="G1939">
        <v>298751483</v>
      </c>
      <c r="P1939">
        <v>39</v>
      </c>
      <c r="Q1939" t="s">
        <v>4199</v>
      </c>
    </row>
    <row r="1940" spans="1:17" x14ac:dyDescent="0.3">
      <c r="A1940" t="s">
        <v>17</v>
      </c>
      <c r="B1940" t="str">
        <f>"688329"</f>
        <v>688329</v>
      </c>
      <c r="C1940" t="s">
        <v>4200</v>
      </c>
      <c r="D1940" t="s">
        <v>3450</v>
      </c>
      <c r="F1940">
        <v>239276477</v>
      </c>
      <c r="G1940">
        <v>194255176</v>
      </c>
      <c r="P1940">
        <v>43</v>
      </c>
      <c r="Q1940" t="s">
        <v>4201</v>
      </c>
    </row>
    <row r="1941" spans="1:17" x14ac:dyDescent="0.3">
      <c r="A1941" t="s">
        <v>17</v>
      </c>
      <c r="B1941" t="str">
        <f>"688330"</f>
        <v>688330</v>
      </c>
      <c r="C1941" t="s">
        <v>4202</v>
      </c>
      <c r="D1941" t="s">
        <v>610</v>
      </c>
      <c r="F1941">
        <v>464589590</v>
      </c>
      <c r="G1941">
        <v>176676010</v>
      </c>
      <c r="H1941">
        <v>279074169</v>
      </c>
      <c r="P1941">
        <v>90</v>
      </c>
      <c r="Q1941" t="s">
        <v>4203</v>
      </c>
    </row>
    <row r="1942" spans="1:17" x14ac:dyDescent="0.3">
      <c r="A1942" t="s">
        <v>17</v>
      </c>
      <c r="B1942" t="str">
        <f>"688331"</f>
        <v>688331</v>
      </c>
      <c r="C1942" t="s">
        <v>4204</v>
      </c>
      <c r="F1942">
        <v>66155543</v>
      </c>
      <c r="G1942">
        <v>362391</v>
      </c>
      <c r="P1942">
        <v>5</v>
      </c>
      <c r="Q1942" t="s">
        <v>4205</v>
      </c>
    </row>
    <row r="1943" spans="1:17" x14ac:dyDescent="0.3">
      <c r="A1943" t="s">
        <v>17</v>
      </c>
      <c r="B1943" t="str">
        <f>"688333"</f>
        <v>688333</v>
      </c>
      <c r="C1943" t="s">
        <v>4206</v>
      </c>
      <c r="D1943" t="s">
        <v>2312</v>
      </c>
      <c r="F1943">
        <v>295083559</v>
      </c>
      <c r="G1943">
        <v>198325124</v>
      </c>
      <c r="H1943">
        <v>175702131</v>
      </c>
      <c r="I1943">
        <v>171451836</v>
      </c>
      <c r="P1943">
        <v>117</v>
      </c>
      <c r="Q1943" t="s">
        <v>4207</v>
      </c>
    </row>
    <row r="1944" spans="1:17" x14ac:dyDescent="0.3">
      <c r="A1944" t="s">
        <v>17</v>
      </c>
      <c r="B1944" t="str">
        <f>"688335"</f>
        <v>688335</v>
      </c>
      <c r="C1944" t="s">
        <v>4208</v>
      </c>
      <c r="D1944" t="s">
        <v>33</v>
      </c>
      <c r="F1944">
        <v>261598245</v>
      </c>
      <c r="G1944">
        <v>120471618</v>
      </c>
      <c r="H1944">
        <v>187499742</v>
      </c>
      <c r="P1944">
        <v>61</v>
      </c>
      <c r="Q1944" t="s">
        <v>4209</v>
      </c>
    </row>
    <row r="1945" spans="1:17" x14ac:dyDescent="0.3">
      <c r="A1945" t="s">
        <v>17</v>
      </c>
      <c r="B1945" t="str">
        <f>"688336"</f>
        <v>688336</v>
      </c>
      <c r="C1945" t="s">
        <v>4210</v>
      </c>
      <c r="D1945" t="s">
        <v>1379</v>
      </c>
      <c r="F1945">
        <v>554553454</v>
      </c>
      <c r="G1945">
        <v>750165971</v>
      </c>
      <c r="H1945">
        <v>1058605958</v>
      </c>
      <c r="P1945">
        <v>52</v>
      </c>
      <c r="Q1945" t="s">
        <v>4211</v>
      </c>
    </row>
    <row r="1946" spans="1:17" x14ac:dyDescent="0.3">
      <c r="A1946" t="s">
        <v>17</v>
      </c>
      <c r="B1946" t="str">
        <f>"688338"</f>
        <v>688338</v>
      </c>
      <c r="C1946" t="s">
        <v>4212</v>
      </c>
      <c r="D1946" t="s">
        <v>1305</v>
      </c>
      <c r="F1946">
        <v>184497241</v>
      </c>
      <c r="G1946">
        <v>183696139</v>
      </c>
      <c r="H1946">
        <v>178444561</v>
      </c>
      <c r="I1946">
        <v>43932600</v>
      </c>
      <c r="P1946">
        <v>56</v>
      </c>
      <c r="Q1946" t="s">
        <v>4213</v>
      </c>
    </row>
    <row r="1947" spans="1:17" x14ac:dyDescent="0.3">
      <c r="A1947" t="s">
        <v>17</v>
      </c>
      <c r="B1947" t="str">
        <f>"688339"</f>
        <v>688339</v>
      </c>
      <c r="C1947" t="s">
        <v>4214</v>
      </c>
      <c r="D1947" t="s">
        <v>4215</v>
      </c>
      <c r="F1947">
        <v>255750838</v>
      </c>
      <c r="G1947">
        <v>119539480</v>
      </c>
      <c r="H1947">
        <v>121296021</v>
      </c>
      <c r="P1947">
        <v>153</v>
      </c>
      <c r="Q1947" t="s">
        <v>4216</v>
      </c>
    </row>
    <row r="1948" spans="1:17" x14ac:dyDescent="0.3">
      <c r="A1948" t="s">
        <v>17</v>
      </c>
      <c r="B1948" t="str">
        <f>"688345"</f>
        <v>688345</v>
      </c>
      <c r="C1948" t="s">
        <v>4217</v>
      </c>
      <c r="D1948" t="s">
        <v>359</v>
      </c>
      <c r="F1948">
        <v>1409497596</v>
      </c>
      <c r="G1948">
        <v>840250359</v>
      </c>
      <c r="P1948">
        <v>39</v>
      </c>
      <c r="Q1948" t="s">
        <v>4218</v>
      </c>
    </row>
    <row r="1949" spans="1:17" x14ac:dyDescent="0.3">
      <c r="A1949" t="s">
        <v>17</v>
      </c>
      <c r="B1949" t="str">
        <f>"688350"</f>
        <v>688350</v>
      </c>
      <c r="C1949" t="s">
        <v>4219</v>
      </c>
      <c r="D1949" t="s">
        <v>386</v>
      </c>
      <c r="F1949">
        <v>739500768</v>
      </c>
      <c r="G1949">
        <v>687634848</v>
      </c>
      <c r="H1949">
        <v>0</v>
      </c>
      <c r="P1949">
        <v>34</v>
      </c>
      <c r="Q1949" t="s">
        <v>4220</v>
      </c>
    </row>
    <row r="1950" spans="1:17" x14ac:dyDescent="0.3">
      <c r="A1950" t="s">
        <v>17</v>
      </c>
      <c r="B1950" t="str">
        <f>"688355"</f>
        <v>688355</v>
      </c>
      <c r="C1950" t="s">
        <v>4221</v>
      </c>
      <c r="D1950" t="s">
        <v>274</v>
      </c>
      <c r="F1950">
        <v>529797905</v>
      </c>
      <c r="P1950">
        <v>21</v>
      </c>
      <c r="Q1950" t="s">
        <v>4222</v>
      </c>
    </row>
    <row r="1951" spans="1:17" x14ac:dyDescent="0.3">
      <c r="A1951" t="s">
        <v>17</v>
      </c>
      <c r="B1951" t="str">
        <f>"688356"</f>
        <v>688356</v>
      </c>
      <c r="C1951" t="s">
        <v>4223</v>
      </c>
      <c r="D1951" t="s">
        <v>496</v>
      </c>
      <c r="F1951">
        <v>249438607</v>
      </c>
      <c r="G1951">
        <v>113129756</v>
      </c>
      <c r="H1951">
        <v>90766935</v>
      </c>
      <c r="P1951">
        <v>152</v>
      </c>
      <c r="Q1951" t="s">
        <v>4224</v>
      </c>
    </row>
    <row r="1952" spans="1:17" x14ac:dyDescent="0.3">
      <c r="A1952" t="s">
        <v>17</v>
      </c>
      <c r="B1952" t="str">
        <f>"688357"</f>
        <v>688357</v>
      </c>
      <c r="C1952" t="s">
        <v>4225</v>
      </c>
      <c r="D1952" t="s">
        <v>2739</v>
      </c>
      <c r="F1952">
        <v>516069512</v>
      </c>
      <c r="G1952">
        <v>225407141</v>
      </c>
      <c r="H1952">
        <v>190689305</v>
      </c>
      <c r="I1952">
        <v>187439269</v>
      </c>
      <c r="P1952">
        <v>157</v>
      </c>
      <c r="Q1952" t="s">
        <v>4226</v>
      </c>
    </row>
    <row r="1953" spans="1:17" x14ac:dyDescent="0.3">
      <c r="A1953" t="s">
        <v>17</v>
      </c>
      <c r="B1953" t="str">
        <f>"688358"</f>
        <v>688358</v>
      </c>
      <c r="C1953" t="s">
        <v>4227</v>
      </c>
      <c r="D1953" t="s">
        <v>122</v>
      </c>
      <c r="F1953">
        <v>274307424</v>
      </c>
      <c r="G1953">
        <v>231181813</v>
      </c>
      <c r="H1953">
        <v>242721535</v>
      </c>
      <c r="I1953">
        <v>261444184</v>
      </c>
      <c r="P1953">
        <v>122</v>
      </c>
      <c r="Q1953" t="s">
        <v>4228</v>
      </c>
    </row>
    <row r="1954" spans="1:17" x14ac:dyDescent="0.3">
      <c r="A1954" t="s">
        <v>17</v>
      </c>
      <c r="B1954" t="str">
        <f>"688359"</f>
        <v>688359</v>
      </c>
      <c r="C1954" t="s">
        <v>4229</v>
      </c>
      <c r="D1954" t="s">
        <v>2399</v>
      </c>
      <c r="F1954">
        <v>157026400</v>
      </c>
      <c r="G1954">
        <v>137729393</v>
      </c>
      <c r="P1954">
        <v>23</v>
      </c>
      <c r="Q1954" t="s">
        <v>4230</v>
      </c>
    </row>
    <row r="1955" spans="1:17" x14ac:dyDescent="0.3">
      <c r="A1955" t="s">
        <v>17</v>
      </c>
      <c r="B1955" t="str">
        <f>"688360"</f>
        <v>688360</v>
      </c>
      <c r="C1955" t="s">
        <v>4231</v>
      </c>
      <c r="D1955" t="s">
        <v>560</v>
      </c>
      <c r="F1955">
        <v>957332690</v>
      </c>
      <c r="G1955">
        <v>579894445</v>
      </c>
      <c r="H1955">
        <v>537387243</v>
      </c>
      <c r="P1955">
        <v>84</v>
      </c>
      <c r="Q1955" t="s">
        <v>4232</v>
      </c>
    </row>
    <row r="1956" spans="1:17" x14ac:dyDescent="0.3">
      <c r="A1956" t="s">
        <v>17</v>
      </c>
      <c r="B1956" t="str">
        <f>"688363"</f>
        <v>688363</v>
      </c>
      <c r="C1956" t="s">
        <v>4233</v>
      </c>
      <c r="D1956" t="s">
        <v>4234</v>
      </c>
      <c r="F1956">
        <v>3335490473</v>
      </c>
      <c r="G1956">
        <v>1709387149</v>
      </c>
      <c r="H1956">
        <v>1289634407</v>
      </c>
      <c r="I1956">
        <v>976847512</v>
      </c>
      <c r="P1956">
        <v>1156</v>
      </c>
      <c r="Q1956" t="s">
        <v>4235</v>
      </c>
    </row>
    <row r="1957" spans="1:17" x14ac:dyDescent="0.3">
      <c r="A1957" t="s">
        <v>17</v>
      </c>
      <c r="B1957" t="str">
        <f>"688365"</f>
        <v>688365</v>
      </c>
      <c r="C1957" t="s">
        <v>4236</v>
      </c>
      <c r="D1957" t="s">
        <v>316</v>
      </c>
      <c r="F1957">
        <v>391751967</v>
      </c>
      <c r="G1957">
        <v>352443885</v>
      </c>
      <c r="H1957">
        <v>340978617</v>
      </c>
      <c r="I1957">
        <v>0</v>
      </c>
      <c r="P1957">
        <v>72</v>
      </c>
      <c r="Q1957" t="s">
        <v>4237</v>
      </c>
    </row>
    <row r="1958" spans="1:17" x14ac:dyDescent="0.3">
      <c r="A1958" t="s">
        <v>17</v>
      </c>
      <c r="B1958" t="str">
        <f>"688366"</f>
        <v>688366</v>
      </c>
      <c r="C1958" t="s">
        <v>4238</v>
      </c>
      <c r="D1958" t="s">
        <v>1077</v>
      </c>
      <c r="F1958">
        <v>1329553071</v>
      </c>
      <c r="G1958">
        <v>1006728950</v>
      </c>
      <c r="H1958">
        <v>1233159319</v>
      </c>
      <c r="I1958">
        <v>1135606887</v>
      </c>
      <c r="P1958">
        <v>265</v>
      </c>
      <c r="Q1958" t="s">
        <v>4239</v>
      </c>
    </row>
    <row r="1959" spans="1:17" x14ac:dyDescent="0.3">
      <c r="A1959" t="s">
        <v>17</v>
      </c>
      <c r="B1959" t="str">
        <f>"688367"</f>
        <v>688367</v>
      </c>
      <c r="C1959" t="s">
        <v>4240</v>
      </c>
      <c r="D1959" t="s">
        <v>1012</v>
      </c>
      <c r="F1959">
        <v>89249920</v>
      </c>
      <c r="G1959">
        <v>90224328</v>
      </c>
      <c r="P1959">
        <v>30</v>
      </c>
      <c r="Q1959" t="s">
        <v>4241</v>
      </c>
    </row>
    <row r="1960" spans="1:17" x14ac:dyDescent="0.3">
      <c r="A1960" t="s">
        <v>17</v>
      </c>
      <c r="B1960" t="str">
        <f>"688368"</f>
        <v>688368</v>
      </c>
      <c r="C1960" t="s">
        <v>4242</v>
      </c>
      <c r="D1960" t="s">
        <v>401</v>
      </c>
      <c r="F1960">
        <v>1869170350</v>
      </c>
      <c r="G1960">
        <v>463721781</v>
      </c>
      <c r="H1960">
        <v>409067015</v>
      </c>
      <c r="I1960">
        <v>388935443</v>
      </c>
      <c r="P1960">
        <v>213</v>
      </c>
      <c r="Q1960" t="s">
        <v>4243</v>
      </c>
    </row>
    <row r="1961" spans="1:17" x14ac:dyDescent="0.3">
      <c r="A1961" t="s">
        <v>17</v>
      </c>
      <c r="B1961" t="str">
        <f>"688369"</f>
        <v>688369</v>
      </c>
      <c r="C1961" t="s">
        <v>4244</v>
      </c>
      <c r="D1961" t="s">
        <v>1189</v>
      </c>
      <c r="F1961">
        <v>527677616</v>
      </c>
      <c r="G1961">
        <v>382923298</v>
      </c>
      <c r="H1961">
        <v>377864527</v>
      </c>
      <c r="I1961">
        <v>337880118</v>
      </c>
      <c r="P1961">
        <v>168</v>
      </c>
      <c r="Q1961" t="s">
        <v>4245</v>
      </c>
    </row>
    <row r="1962" spans="1:17" x14ac:dyDescent="0.3">
      <c r="A1962" t="s">
        <v>17</v>
      </c>
      <c r="B1962" t="str">
        <f>"688377"</f>
        <v>688377</v>
      </c>
      <c r="C1962" t="s">
        <v>4246</v>
      </c>
      <c r="D1962" t="s">
        <v>395</v>
      </c>
      <c r="F1962">
        <v>418198752</v>
      </c>
      <c r="G1962">
        <v>570636610</v>
      </c>
      <c r="H1962">
        <v>452600083</v>
      </c>
      <c r="P1962">
        <v>52</v>
      </c>
      <c r="Q1962" t="s">
        <v>4247</v>
      </c>
    </row>
    <row r="1963" spans="1:17" x14ac:dyDescent="0.3">
      <c r="A1963" t="s">
        <v>17</v>
      </c>
      <c r="B1963" t="str">
        <f>"688378"</f>
        <v>688378</v>
      </c>
      <c r="C1963" t="s">
        <v>4248</v>
      </c>
      <c r="D1963" t="s">
        <v>741</v>
      </c>
      <c r="F1963">
        <v>286482924</v>
      </c>
      <c r="G1963">
        <v>188127921</v>
      </c>
      <c r="H1963">
        <v>199683074</v>
      </c>
      <c r="P1963">
        <v>50</v>
      </c>
      <c r="Q1963" t="s">
        <v>4249</v>
      </c>
    </row>
    <row r="1964" spans="1:17" x14ac:dyDescent="0.3">
      <c r="A1964" t="s">
        <v>17</v>
      </c>
      <c r="B1964" t="str">
        <f>"688379"</f>
        <v>688379</v>
      </c>
      <c r="C1964" t="s">
        <v>4250</v>
      </c>
      <c r="D1964" t="s">
        <v>274</v>
      </c>
      <c r="F1964">
        <v>616113912</v>
      </c>
      <c r="G1964">
        <v>407624370</v>
      </c>
      <c r="H1964">
        <v>392509133</v>
      </c>
      <c r="P1964">
        <v>36</v>
      </c>
      <c r="Q1964" t="s">
        <v>4251</v>
      </c>
    </row>
    <row r="1965" spans="1:17" x14ac:dyDescent="0.3">
      <c r="A1965" t="s">
        <v>17</v>
      </c>
      <c r="B1965" t="str">
        <f>"688383"</f>
        <v>688383</v>
      </c>
      <c r="C1965" t="s">
        <v>4252</v>
      </c>
      <c r="D1965" t="s">
        <v>741</v>
      </c>
      <c r="F1965">
        <v>435868392</v>
      </c>
      <c r="G1965">
        <v>450700174</v>
      </c>
      <c r="P1965">
        <v>49</v>
      </c>
      <c r="Q1965" t="s">
        <v>4253</v>
      </c>
    </row>
    <row r="1966" spans="1:17" x14ac:dyDescent="0.3">
      <c r="A1966" t="s">
        <v>17</v>
      </c>
      <c r="B1966" t="str">
        <f>"688385"</f>
        <v>688385</v>
      </c>
      <c r="C1966" t="s">
        <v>4254</v>
      </c>
      <c r="D1966" t="s">
        <v>461</v>
      </c>
      <c r="F1966">
        <v>2081554189</v>
      </c>
      <c r="G1966">
        <v>1250234038</v>
      </c>
      <c r="P1966">
        <v>47</v>
      </c>
      <c r="Q1966" t="s">
        <v>4255</v>
      </c>
    </row>
    <row r="1967" spans="1:17" x14ac:dyDescent="0.3">
      <c r="A1967" t="s">
        <v>17</v>
      </c>
      <c r="B1967" t="str">
        <f>"688386"</f>
        <v>688386</v>
      </c>
      <c r="C1967" t="s">
        <v>4256</v>
      </c>
      <c r="D1967" t="s">
        <v>324</v>
      </c>
      <c r="F1967">
        <v>192029057</v>
      </c>
      <c r="G1967">
        <v>139794351</v>
      </c>
      <c r="H1967">
        <v>138548591</v>
      </c>
      <c r="P1967">
        <v>43</v>
      </c>
      <c r="Q1967" t="s">
        <v>4257</v>
      </c>
    </row>
    <row r="1968" spans="1:17" x14ac:dyDescent="0.3">
      <c r="A1968" t="s">
        <v>17</v>
      </c>
      <c r="B1968" t="str">
        <f>"688388"</f>
        <v>688388</v>
      </c>
      <c r="C1968" t="s">
        <v>4258</v>
      </c>
      <c r="D1968" t="s">
        <v>263</v>
      </c>
      <c r="F1968">
        <v>2073377531</v>
      </c>
      <c r="G1968">
        <v>610832771</v>
      </c>
      <c r="H1968">
        <v>1143592480</v>
      </c>
      <c r="I1968">
        <v>762068041</v>
      </c>
      <c r="P1968">
        <v>286</v>
      </c>
      <c r="Q1968" t="s">
        <v>4259</v>
      </c>
    </row>
    <row r="1969" spans="1:17" x14ac:dyDescent="0.3">
      <c r="A1969" t="s">
        <v>17</v>
      </c>
      <c r="B1969" t="str">
        <f>"688389"</f>
        <v>688389</v>
      </c>
      <c r="C1969" t="s">
        <v>4260</v>
      </c>
      <c r="D1969" t="s">
        <v>1305</v>
      </c>
      <c r="F1969">
        <v>568360026</v>
      </c>
      <c r="G1969">
        <v>419874606</v>
      </c>
      <c r="H1969">
        <v>331303084</v>
      </c>
      <c r="I1969">
        <v>256046445</v>
      </c>
      <c r="P1969">
        <v>161</v>
      </c>
      <c r="Q1969" t="s">
        <v>4261</v>
      </c>
    </row>
    <row r="1970" spans="1:17" x14ac:dyDescent="0.3">
      <c r="A1970" t="s">
        <v>17</v>
      </c>
      <c r="B1970" t="str">
        <f>"688390"</f>
        <v>688390</v>
      </c>
      <c r="C1970" t="s">
        <v>4262</v>
      </c>
      <c r="D1970" t="s">
        <v>3797</v>
      </c>
      <c r="F1970">
        <v>1320042110</v>
      </c>
      <c r="G1970">
        <v>893726902</v>
      </c>
      <c r="H1970">
        <v>623344766</v>
      </c>
      <c r="P1970">
        <v>283</v>
      </c>
      <c r="Q1970" t="s">
        <v>4263</v>
      </c>
    </row>
    <row r="1971" spans="1:17" x14ac:dyDescent="0.3">
      <c r="A1971" t="s">
        <v>17</v>
      </c>
      <c r="B1971" t="str">
        <f>"688393"</f>
        <v>688393</v>
      </c>
      <c r="C1971" t="s">
        <v>4264</v>
      </c>
      <c r="D1971" t="s">
        <v>1305</v>
      </c>
      <c r="F1971">
        <v>329580894</v>
      </c>
      <c r="G1971">
        <v>271986516</v>
      </c>
      <c r="H1971">
        <v>273345532</v>
      </c>
      <c r="P1971">
        <v>76</v>
      </c>
      <c r="Q1971" t="s">
        <v>4265</v>
      </c>
    </row>
    <row r="1972" spans="1:17" x14ac:dyDescent="0.3">
      <c r="A1972" t="s">
        <v>17</v>
      </c>
      <c r="B1972" t="str">
        <f>"688395"</f>
        <v>688395</v>
      </c>
      <c r="C1972" t="s">
        <v>4266</v>
      </c>
      <c r="D1972" t="s">
        <v>2423</v>
      </c>
      <c r="F1972">
        <v>198069591</v>
      </c>
      <c r="G1972">
        <v>185170411</v>
      </c>
      <c r="P1972">
        <v>36</v>
      </c>
      <c r="Q1972" t="s">
        <v>4267</v>
      </c>
    </row>
    <row r="1973" spans="1:17" x14ac:dyDescent="0.3">
      <c r="A1973" t="s">
        <v>17</v>
      </c>
      <c r="B1973" t="str">
        <f>"688396"</f>
        <v>688396</v>
      </c>
      <c r="C1973" t="s">
        <v>4268</v>
      </c>
      <c r="D1973" t="s">
        <v>4269</v>
      </c>
      <c r="F1973">
        <v>6615516630</v>
      </c>
      <c r="G1973">
        <v>4088153620</v>
      </c>
      <c r="H1973">
        <v>3401288616</v>
      </c>
      <c r="I1973">
        <v>0</v>
      </c>
      <c r="P1973">
        <v>495</v>
      </c>
      <c r="Q1973" t="s">
        <v>4270</v>
      </c>
    </row>
    <row r="1974" spans="1:17" x14ac:dyDescent="0.3">
      <c r="A1974" t="s">
        <v>17</v>
      </c>
      <c r="B1974" t="str">
        <f>"688398"</f>
        <v>688398</v>
      </c>
      <c r="C1974" t="s">
        <v>4271</v>
      </c>
      <c r="D1974" t="s">
        <v>386</v>
      </c>
      <c r="F1974">
        <v>524552834</v>
      </c>
      <c r="G1974">
        <v>280165672</v>
      </c>
      <c r="H1974">
        <v>235926152</v>
      </c>
      <c r="I1974">
        <v>0</v>
      </c>
      <c r="P1974">
        <v>81</v>
      </c>
      <c r="Q1974" t="s">
        <v>4272</v>
      </c>
    </row>
    <row r="1975" spans="1:17" x14ac:dyDescent="0.3">
      <c r="A1975" t="s">
        <v>17</v>
      </c>
      <c r="B1975" t="str">
        <f>"688399"</f>
        <v>688399</v>
      </c>
      <c r="C1975" t="s">
        <v>4273</v>
      </c>
      <c r="D1975" t="s">
        <v>1305</v>
      </c>
      <c r="F1975">
        <v>1948006839</v>
      </c>
      <c r="G1975">
        <v>1044745780</v>
      </c>
      <c r="H1975">
        <v>189516939</v>
      </c>
      <c r="I1975">
        <v>145933489</v>
      </c>
      <c r="P1975">
        <v>373</v>
      </c>
      <c r="Q1975" t="s">
        <v>4274</v>
      </c>
    </row>
    <row r="1976" spans="1:17" x14ac:dyDescent="0.3">
      <c r="A1976" t="s">
        <v>17</v>
      </c>
      <c r="B1976" t="str">
        <f>"688408"</f>
        <v>688408</v>
      </c>
      <c r="C1976" t="s">
        <v>4275</v>
      </c>
      <c r="D1976" t="s">
        <v>478</v>
      </c>
      <c r="F1976">
        <v>1939598068</v>
      </c>
      <c r="G1976">
        <v>2152266309</v>
      </c>
      <c r="H1976">
        <v>1474501788</v>
      </c>
      <c r="P1976">
        <v>114</v>
      </c>
      <c r="Q1976" t="s">
        <v>4276</v>
      </c>
    </row>
    <row r="1977" spans="1:17" x14ac:dyDescent="0.3">
      <c r="A1977" t="s">
        <v>17</v>
      </c>
      <c r="B1977" t="str">
        <f>"688418"</f>
        <v>688418</v>
      </c>
      <c r="C1977" t="s">
        <v>4277</v>
      </c>
      <c r="D1977" t="s">
        <v>595</v>
      </c>
      <c r="F1977">
        <v>246932907</v>
      </c>
      <c r="G1977">
        <v>174826052</v>
      </c>
      <c r="H1977">
        <v>208363239</v>
      </c>
      <c r="P1977">
        <v>40</v>
      </c>
      <c r="Q1977" t="s">
        <v>4278</v>
      </c>
    </row>
    <row r="1978" spans="1:17" x14ac:dyDescent="0.3">
      <c r="A1978" t="s">
        <v>17</v>
      </c>
      <c r="B1978" t="str">
        <f>"688425"</f>
        <v>688425</v>
      </c>
      <c r="C1978" t="s">
        <v>4279</v>
      </c>
      <c r="D1978" t="s">
        <v>83</v>
      </c>
      <c r="F1978">
        <v>5790680235</v>
      </c>
      <c r="P1978">
        <v>40</v>
      </c>
      <c r="Q1978" t="s">
        <v>4280</v>
      </c>
    </row>
    <row r="1979" spans="1:17" x14ac:dyDescent="0.3">
      <c r="A1979" t="s">
        <v>17</v>
      </c>
      <c r="B1979" t="str">
        <f>"688456"</f>
        <v>688456</v>
      </c>
      <c r="C1979" t="s">
        <v>4281</v>
      </c>
      <c r="D1979" t="s">
        <v>263</v>
      </c>
      <c r="F1979">
        <v>1666445102</v>
      </c>
      <c r="G1979">
        <v>1049798518</v>
      </c>
      <c r="H1979">
        <v>1212743961</v>
      </c>
      <c r="P1979">
        <v>28</v>
      </c>
      <c r="Q1979" t="s">
        <v>4282</v>
      </c>
    </row>
    <row r="1980" spans="1:17" x14ac:dyDescent="0.3">
      <c r="A1980" t="s">
        <v>17</v>
      </c>
      <c r="B1980" t="str">
        <f>"688466"</f>
        <v>688466</v>
      </c>
      <c r="C1980" t="s">
        <v>4283</v>
      </c>
      <c r="D1980" t="s">
        <v>33</v>
      </c>
      <c r="F1980">
        <v>193199879</v>
      </c>
      <c r="G1980">
        <v>179061243</v>
      </c>
      <c r="H1980">
        <v>191807779</v>
      </c>
      <c r="I1980">
        <v>0</v>
      </c>
      <c r="P1980">
        <v>60</v>
      </c>
      <c r="Q1980" t="s">
        <v>4284</v>
      </c>
    </row>
    <row r="1981" spans="1:17" x14ac:dyDescent="0.3">
      <c r="A1981" t="s">
        <v>17</v>
      </c>
      <c r="B1981" t="str">
        <f>"688468"</f>
        <v>688468</v>
      </c>
      <c r="C1981" t="s">
        <v>4285</v>
      </c>
      <c r="D1981" t="s">
        <v>1305</v>
      </c>
      <c r="F1981">
        <v>398420518</v>
      </c>
      <c r="G1981">
        <v>317833375</v>
      </c>
      <c r="P1981">
        <v>39</v>
      </c>
      <c r="Q1981" t="s">
        <v>4286</v>
      </c>
    </row>
    <row r="1982" spans="1:17" x14ac:dyDescent="0.3">
      <c r="A1982" t="s">
        <v>17</v>
      </c>
      <c r="B1982" t="str">
        <f>"688488"</f>
        <v>688488</v>
      </c>
      <c r="C1982" t="s">
        <v>4287</v>
      </c>
      <c r="D1982" t="s">
        <v>1379</v>
      </c>
      <c r="F1982">
        <v>244756782</v>
      </c>
      <c r="G1982">
        <v>254041122</v>
      </c>
      <c r="H1982">
        <v>294786066</v>
      </c>
      <c r="P1982">
        <v>44</v>
      </c>
      <c r="Q1982" t="s">
        <v>4288</v>
      </c>
    </row>
    <row r="1983" spans="1:17" x14ac:dyDescent="0.3">
      <c r="A1983" t="s">
        <v>17</v>
      </c>
      <c r="B1983" t="str">
        <f>"688499"</f>
        <v>688499</v>
      </c>
      <c r="C1983" t="s">
        <v>4289</v>
      </c>
      <c r="D1983" t="s">
        <v>3749</v>
      </c>
      <c r="F1983">
        <v>1785589955</v>
      </c>
      <c r="G1983">
        <v>643812203</v>
      </c>
      <c r="P1983">
        <v>65</v>
      </c>
      <c r="Q1983" t="s">
        <v>4290</v>
      </c>
    </row>
    <row r="1984" spans="1:17" x14ac:dyDescent="0.3">
      <c r="A1984" t="s">
        <v>17</v>
      </c>
      <c r="B1984" t="str">
        <f>"688500"</f>
        <v>688500</v>
      </c>
      <c r="C1984" t="s">
        <v>4291</v>
      </c>
      <c r="D1984" t="s">
        <v>316</v>
      </c>
      <c r="F1984">
        <v>293778078</v>
      </c>
      <c r="G1984">
        <v>223389546</v>
      </c>
      <c r="H1984">
        <v>249657993</v>
      </c>
      <c r="P1984">
        <v>26</v>
      </c>
      <c r="Q1984" t="s">
        <v>4292</v>
      </c>
    </row>
    <row r="1985" spans="1:17" x14ac:dyDescent="0.3">
      <c r="A1985" t="s">
        <v>17</v>
      </c>
      <c r="B1985" t="str">
        <f>"688501"</f>
        <v>688501</v>
      </c>
      <c r="C1985" t="s">
        <v>4293</v>
      </c>
      <c r="D1985" t="s">
        <v>1070</v>
      </c>
      <c r="F1985">
        <v>283376177</v>
      </c>
      <c r="G1985">
        <v>252595085</v>
      </c>
      <c r="P1985">
        <v>24</v>
      </c>
      <c r="Q1985" t="s">
        <v>4294</v>
      </c>
    </row>
    <row r="1986" spans="1:17" x14ac:dyDescent="0.3">
      <c r="A1986" t="s">
        <v>17</v>
      </c>
      <c r="B1986" t="str">
        <f>"688505"</f>
        <v>688505</v>
      </c>
      <c r="C1986" t="s">
        <v>4295</v>
      </c>
      <c r="D1986" t="s">
        <v>143</v>
      </c>
      <c r="F1986">
        <v>762540450</v>
      </c>
      <c r="G1986">
        <v>536405190</v>
      </c>
      <c r="H1986">
        <v>678152603</v>
      </c>
      <c r="P1986">
        <v>69</v>
      </c>
      <c r="Q1986" t="s">
        <v>4296</v>
      </c>
    </row>
    <row r="1987" spans="1:17" x14ac:dyDescent="0.3">
      <c r="A1987" t="s">
        <v>17</v>
      </c>
      <c r="B1987" t="str">
        <f>"688508"</f>
        <v>688508</v>
      </c>
      <c r="C1987" t="s">
        <v>4297</v>
      </c>
      <c r="D1987" t="s">
        <v>401</v>
      </c>
      <c r="F1987">
        <v>454974627</v>
      </c>
      <c r="G1987">
        <v>158987406</v>
      </c>
      <c r="H1987">
        <v>132899665</v>
      </c>
      <c r="P1987">
        <v>165</v>
      </c>
      <c r="Q1987" t="s">
        <v>4298</v>
      </c>
    </row>
    <row r="1988" spans="1:17" x14ac:dyDescent="0.3">
      <c r="A1988" t="s">
        <v>17</v>
      </c>
      <c r="B1988" t="str">
        <f>"688509"</f>
        <v>688509</v>
      </c>
      <c r="C1988" t="s">
        <v>4299</v>
      </c>
      <c r="D1988" t="s">
        <v>316</v>
      </c>
      <c r="F1988">
        <v>870454819</v>
      </c>
      <c r="G1988">
        <v>785937135</v>
      </c>
      <c r="P1988">
        <v>17</v>
      </c>
      <c r="Q1988" t="s">
        <v>4300</v>
      </c>
    </row>
    <row r="1989" spans="1:17" x14ac:dyDescent="0.3">
      <c r="A1989" t="s">
        <v>17</v>
      </c>
      <c r="B1989" t="str">
        <f>"688510"</f>
        <v>688510</v>
      </c>
      <c r="C1989" t="s">
        <v>4301</v>
      </c>
      <c r="D1989" t="s">
        <v>98</v>
      </c>
      <c r="F1989">
        <v>124367441</v>
      </c>
      <c r="G1989">
        <v>155869954</v>
      </c>
      <c r="H1989">
        <v>0</v>
      </c>
      <c r="P1989">
        <v>66</v>
      </c>
      <c r="Q1989" t="s">
        <v>4302</v>
      </c>
    </row>
    <row r="1990" spans="1:17" x14ac:dyDescent="0.3">
      <c r="A1990" t="s">
        <v>17</v>
      </c>
      <c r="B1990" t="str">
        <f>"688511"</f>
        <v>688511</v>
      </c>
      <c r="C1990" t="s">
        <v>4303</v>
      </c>
      <c r="D1990" t="s">
        <v>1136</v>
      </c>
      <c r="F1990">
        <v>106076824</v>
      </c>
      <c r="P1990">
        <v>23</v>
      </c>
      <c r="Q1990" t="s">
        <v>4304</v>
      </c>
    </row>
    <row r="1991" spans="1:17" x14ac:dyDescent="0.3">
      <c r="A1991" t="s">
        <v>17</v>
      </c>
      <c r="B1991" t="str">
        <f>"688513"</f>
        <v>688513</v>
      </c>
      <c r="C1991" t="s">
        <v>4305</v>
      </c>
      <c r="D1991" t="s">
        <v>143</v>
      </c>
      <c r="F1991">
        <v>815557529</v>
      </c>
      <c r="G1991">
        <v>690920875</v>
      </c>
      <c r="H1991">
        <v>732060249</v>
      </c>
      <c r="P1991">
        <v>58</v>
      </c>
      <c r="Q1991" t="s">
        <v>4306</v>
      </c>
    </row>
    <row r="1992" spans="1:17" x14ac:dyDescent="0.3">
      <c r="A1992" t="s">
        <v>17</v>
      </c>
      <c r="B1992" t="str">
        <f>"688516"</f>
        <v>688516</v>
      </c>
      <c r="C1992" t="s">
        <v>4307</v>
      </c>
      <c r="D1992" t="s">
        <v>2654</v>
      </c>
      <c r="F1992">
        <v>1160927711</v>
      </c>
      <c r="G1992">
        <v>856420012</v>
      </c>
      <c r="H1992">
        <v>312700973</v>
      </c>
      <c r="P1992">
        <v>152</v>
      </c>
      <c r="Q1992" t="s">
        <v>4308</v>
      </c>
    </row>
    <row r="1993" spans="1:17" x14ac:dyDescent="0.3">
      <c r="A1993" t="s">
        <v>17</v>
      </c>
      <c r="B1993" t="str">
        <f>"688517"</f>
        <v>688517</v>
      </c>
      <c r="C1993" t="s">
        <v>4309</v>
      </c>
      <c r="D1993" t="s">
        <v>657</v>
      </c>
      <c r="F1993">
        <v>296793817</v>
      </c>
      <c r="G1993">
        <v>266865082</v>
      </c>
      <c r="P1993">
        <v>19</v>
      </c>
      <c r="Q1993" t="s">
        <v>4310</v>
      </c>
    </row>
    <row r="1994" spans="1:17" x14ac:dyDescent="0.3">
      <c r="A1994" t="s">
        <v>17</v>
      </c>
      <c r="B1994" t="str">
        <f>"688518"</f>
        <v>688518</v>
      </c>
      <c r="C1994" t="s">
        <v>4311</v>
      </c>
      <c r="D1994" t="s">
        <v>3784</v>
      </c>
      <c r="F1994">
        <v>873791506</v>
      </c>
      <c r="G1994">
        <v>458146044</v>
      </c>
      <c r="H1994">
        <v>455107604</v>
      </c>
      <c r="P1994">
        <v>65</v>
      </c>
      <c r="Q1994" t="s">
        <v>4312</v>
      </c>
    </row>
    <row r="1995" spans="1:17" x14ac:dyDescent="0.3">
      <c r="A1995" t="s">
        <v>17</v>
      </c>
      <c r="B1995" t="str">
        <f>"688519"</f>
        <v>688519</v>
      </c>
      <c r="C1995" t="s">
        <v>4313</v>
      </c>
      <c r="D1995" t="s">
        <v>425</v>
      </c>
      <c r="F1995">
        <v>1233143150</v>
      </c>
      <c r="G1995">
        <v>815205846</v>
      </c>
      <c r="H1995">
        <v>694076082</v>
      </c>
      <c r="I1995">
        <v>654993971</v>
      </c>
      <c r="P1995">
        <v>80</v>
      </c>
      <c r="Q1995" t="s">
        <v>4314</v>
      </c>
    </row>
    <row r="1996" spans="1:17" x14ac:dyDescent="0.3">
      <c r="A1996" t="s">
        <v>17</v>
      </c>
      <c r="B1996" t="str">
        <f>"688520"</f>
        <v>688520</v>
      </c>
      <c r="C1996" t="s">
        <v>4315</v>
      </c>
      <c r="D1996" t="s">
        <v>1379</v>
      </c>
      <c r="F1996">
        <v>1660040</v>
      </c>
      <c r="G1996">
        <v>0</v>
      </c>
      <c r="H1996">
        <v>332804</v>
      </c>
      <c r="P1996">
        <v>90</v>
      </c>
      <c r="Q1996" t="s">
        <v>4316</v>
      </c>
    </row>
    <row r="1997" spans="1:17" x14ac:dyDescent="0.3">
      <c r="A1997" t="s">
        <v>17</v>
      </c>
      <c r="B1997" t="str">
        <f>"688521"</f>
        <v>688521</v>
      </c>
      <c r="C1997" t="s">
        <v>4317</v>
      </c>
      <c r="D1997" t="s">
        <v>461</v>
      </c>
      <c r="F1997">
        <v>1510837486</v>
      </c>
      <c r="G1997">
        <v>913644364</v>
      </c>
      <c r="H1997">
        <v>932226257</v>
      </c>
      <c r="P1997">
        <v>140</v>
      </c>
      <c r="Q1997" t="s">
        <v>4318</v>
      </c>
    </row>
    <row r="1998" spans="1:17" x14ac:dyDescent="0.3">
      <c r="A1998" t="s">
        <v>17</v>
      </c>
      <c r="B1998" t="str">
        <f>"688526"</f>
        <v>688526</v>
      </c>
      <c r="C1998" t="s">
        <v>4319</v>
      </c>
      <c r="D1998" t="s">
        <v>453</v>
      </c>
      <c r="F1998">
        <v>801883795</v>
      </c>
      <c r="G1998">
        <v>612017662</v>
      </c>
      <c r="H1998">
        <v>362254000</v>
      </c>
      <c r="P1998">
        <v>147</v>
      </c>
      <c r="Q1998" t="s">
        <v>4320</v>
      </c>
    </row>
    <row r="1999" spans="1:17" x14ac:dyDescent="0.3">
      <c r="A1999" t="s">
        <v>17</v>
      </c>
      <c r="B1999" t="str">
        <f>"688528"</f>
        <v>688528</v>
      </c>
      <c r="C1999" t="s">
        <v>4321</v>
      </c>
      <c r="D1999" t="s">
        <v>2551</v>
      </c>
      <c r="F1999">
        <v>195813141</v>
      </c>
      <c r="G1999">
        <v>148587748</v>
      </c>
      <c r="H1999">
        <v>119883111</v>
      </c>
      <c r="P1999">
        <v>42</v>
      </c>
      <c r="Q1999" t="s">
        <v>4322</v>
      </c>
    </row>
    <row r="2000" spans="1:17" x14ac:dyDescent="0.3">
      <c r="A2000" t="s">
        <v>17</v>
      </c>
      <c r="B2000" t="str">
        <f>"688529"</f>
        <v>688529</v>
      </c>
      <c r="C2000" t="s">
        <v>4323</v>
      </c>
      <c r="D2000" t="s">
        <v>741</v>
      </c>
      <c r="F2000">
        <v>698315711</v>
      </c>
      <c r="G2000">
        <v>761404454</v>
      </c>
      <c r="H2000">
        <v>782032632</v>
      </c>
      <c r="P2000">
        <v>33</v>
      </c>
      <c r="Q2000" t="s">
        <v>4324</v>
      </c>
    </row>
    <row r="2001" spans="1:17" x14ac:dyDescent="0.3">
      <c r="A2001" t="s">
        <v>17</v>
      </c>
      <c r="B2001" t="str">
        <f>"688533"</f>
        <v>688533</v>
      </c>
      <c r="C2001" t="s">
        <v>4325</v>
      </c>
      <c r="D2001" t="s">
        <v>1415</v>
      </c>
      <c r="F2001">
        <v>916038087</v>
      </c>
      <c r="G2001">
        <v>803588420</v>
      </c>
      <c r="P2001">
        <v>39</v>
      </c>
      <c r="Q2001" t="s">
        <v>4326</v>
      </c>
    </row>
    <row r="2002" spans="1:17" x14ac:dyDescent="0.3">
      <c r="A2002" t="s">
        <v>17</v>
      </c>
      <c r="B2002" t="str">
        <f>"688536"</f>
        <v>688536</v>
      </c>
      <c r="C2002" t="s">
        <v>4327</v>
      </c>
      <c r="D2002" t="s">
        <v>401</v>
      </c>
      <c r="F2002">
        <v>802866726</v>
      </c>
      <c r="G2002">
        <v>458007763</v>
      </c>
      <c r="H2002">
        <v>141723123</v>
      </c>
      <c r="P2002">
        <v>199</v>
      </c>
      <c r="Q2002" t="s">
        <v>4328</v>
      </c>
    </row>
    <row r="2003" spans="1:17" x14ac:dyDescent="0.3">
      <c r="A2003" t="s">
        <v>17</v>
      </c>
      <c r="B2003" t="str">
        <f>"688538"</f>
        <v>688538</v>
      </c>
      <c r="C2003" t="s">
        <v>4329</v>
      </c>
      <c r="D2003" t="s">
        <v>1117</v>
      </c>
      <c r="F2003">
        <v>2711335650</v>
      </c>
      <c r="P2003">
        <v>37</v>
      </c>
      <c r="Q2003" t="s">
        <v>4330</v>
      </c>
    </row>
    <row r="2004" spans="1:17" x14ac:dyDescent="0.3">
      <c r="A2004" t="s">
        <v>17</v>
      </c>
      <c r="B2004" t="str">
        <f>"688550"</f>
        <v>688550</v>
      </c>
      <c r="C2004" t="s">
        <v>4331</v>
      </c>
      <c r="D2004" t="s">
        <v>2399</v>
      </c>
      <c r="F2004">
        <v>902967523</v>
      </c>
      <c r="G2004">
        <v>567658871</v>
      </c>
      <c r="H2004">
        <v>680297475</v>
      </c>
      <c r="P2004">
        <v>54</v>
      </c>
      <c r="Q2004" t="s">
        <v>4332</v>
      </c>
    </row>
    <row r="2005" spans="1:17" x14ac:dyDescent="0.3">
      <c r="A2005" t="s">
        <v>17</v>
      </c>
      <c r="B2005" t="str">
        <f>"688551"</f>
        <v>688551</v>
      </c>
      <c r="C2005" t="s">
        <v>4333</v>
      </c>
      <c r="D2005" t="s">
        <v>880</v>
      </c>
      <c r="F2005">
        <v>166514491</v>
      </c>
      <c r="G2005">
        <v>108004645</v>
      </c>
      <c r="H2005">
        <v>103054141</v>
      </c>
      <c r="P2005">
        <v>39</v>
      </c>
      <c r="Q2005" t="s">
        <v>4334</v>
      </c>
    </row>
    <row r="2006" spans="1:17" x14ac:dyDescent="0.3">
      <c r="A2006" t="s">
        <v>17</v>
      </c>
      <c r="B2006" t="str">
        <f>"688553"</f>
        <v>688553</v>
      </c>
      <c r="C2006" t="s">
        <v>4335</v>
      </c>
      <c r="D2006" t="s">
        <v>143</v>
      </c>
      <c r="F2006">
        <v>1417557800</v>
      </c>
      <c r="G2006">
        <v>1040905779</v>
      </c>
      <c r="P2006">
        <v>30</v>
      </c>
      <c r="Q2006" t="s">
        <v>4336</v>
      </c>
    </row>
    <row r="2007" spans="1:17" x14ac:dyDescent="0.3">
      <c r="A2007" t="s">
        <v>17</v>
      </c>
      <c r="B2007" t="str">
        <f>"688555"</f>
        <v>688555</v>
      </c>
      <c r="C2007" t="s">
        <v>4337</v>
      </c>
      <c r="D2007" t="s">
        <v>945</v>
      </c>
      <c r="F2007">
        <v>161555934</v>
      </c>
      <c r="G2007">
        <v>125408921</v>
      </c>
      <c r="H2007">
        <v>142227603</v>
      </c>
      <c r="P2007">
        <v>55</v>
      </c>
      <c r="Q2007" t="s">
        <v>4338</v>
      </c>
    </row>
    <row r="2008" spans="1:17" x14ac:dyDescent="0.3">
      <c r="A2008" t="s">
        <v>17</v>
      </c>
      <c r="B2008" t="str">
        <f>"688556"</f>
        <v>688556</v>
      </c>
      <c r="C2008" t="s">
        <v>4339</v>
      </c>
      <c r="D2008" t="s">
        <v>2654</v>
      </c>
      <c r="F2008">
        <v>573786007</v>
      </c>
      <c r="G2008">
        <v>475991537</v>
      </c>
      <c r="H2008">
        <v>268821775</v>
      </c>
      <c r="P2008">
        <v>69</v>
      </c>
      <c r="Q2008" t="s">
        <v>4340</v>
      </c>
    </row>
    <row r="2009" spans="1:17" x14ac:dyDescent="0.3">
      <c r="A2009" t="s">
        <v>17</v>
      </c>
      <c r="B2009" t="str">
        <f>"688557"</f>
        <v>688557</v>
      </c>
      <c r="C2009" t="s">
        <v>4341</v>
      </c>
      <c r="D2009" t="s">
        <v>560</v>
      </c>
      <c r="F2009">
        <v>395722847</v>
      </c>
      <c r="G2009">
        <v>229364159</v>
      </c>
      <c r="H2009">
        <v>302816172</v>
      </c>
      <c r="P2009">
        <v>47</v>
      </c>
      <c r="Q2009" t="s">
        <v>4342</v>
      </c>
    </row>
    <row r="2010" spans="1:17" x14ac:dyDescent="0.3">
      <c r="A2010" t="s">
        <v>17</v>
      </c>
      <c r="B2010" t="str">
        <f>"688558"</f>
        <v>688558</v>
      </c>
      <c r="C2010" t="s">
        <v>4343</v>
      </c>
      <c r="D2010" t="s">
        <v>2312</v>
      </c>
      <c r="F2010">
        <v>414886994</v>
      </c>
      <c r="G2010">
        <v>340145535</v>
      </c>
      <c r="H2010">
        <v>326826237</v>
      </c>
      <c r="P2010">
        <v>95</v>
      </c>
      <c r="Q2010" t="s">
        <v>4344</v>
      </c>
    </row>
    <row r="2011" spans="1:17" x14ac:dyDescent="0.3">
      <c r="A2011" t="s">
        <v>17</v>
      </c>
      <c r="B2011" t="str">
        <f>"688559"</f>
        <v>688559</v>
      </c>
      <c r="C2011" t="s">
        <v>4345</v>
      </c>
      <c r="D2011" t="s">
        <v>3784</v>
      </c>
      <c r="F2011">
        <v>1637714867</v>
      </c>
      <c r="G2011">
        <v>848903101</v>
      </c>
      <c r="H2011">
        <v>810840516</v>
      </c>
      <c r="P2011">
        <v>68</v>
      </c>
      <c r="Q2011" t="s">
        <v>4346</v>
      </c>
    </row>
    <row r="2012" spans="1:17" x14ac:dyDescent="0.3">
      <c r="A2012" t="s">
        <v>17</v>
      </c>
      <c r="B2012" t="str">
        <f>"688560"</f>
        <v>688560</v>
      </c>
      <c r="C2012" t="s">
        <v>4347</v>
      </c>
      <c r="D2012" t="s">
        <v>478</v>
      </c>
      <c r="F2012">
        <v>572817333</v>
      </c>
      <c r="G2012">
        <v>453038221</v>
      </c>
      <c r="H2012">
        <v>0</v>
      </c>
      <c r="P2012">
        <v>38</v>
      </c>
      <c r="Q2012" t="s">
        <v>4348</v>
      </c>
    </row>
    <row r="2013" spans="1:17" x14ac:dyDescent="0.3">
      <c r="A2013" t="s">
        <v>17</v>
      </c>
      <c r="B2013" t="str">
        <f>"688561"</f>
        <v>688561</v>
      </c>
      <c r="C2013" t="s">
        <v>4349</v>
      </c>
      <c r="D2013" t="s">
        <v>1189</v>
      </c>
      <c r="F2013">
        <v>2452142136</v>
      </c>
      <c r="G2013">
        <v>2161844851</v>
      </c>
      <c r="H2013">
        <v>1525090608</v>
      </c>
      <c r="P2013">
        <v>192</v>
      </c>
      <c r="Q2013" t="s">
        <v>4350</v>
      </c>
    </row>
    <row r="2014" spans="1:17" x14ac:dyDescent="0.3">
      <c r="A2014" t="s">
        <v>17</v>
      </c>
      <c r="B2014" t="str">
        <f>"688565"</f>
        <v>688565</v>
      </c>
      <c r="C2014" t="s">
        <v>4351</v>
      </c>
      <c r="D2014" t="s">
        <v>33</v>
      </c>
      <c r="F2014">
        <v>121447986</v>
      </c>
      <c r="G2014">
        <v>180663338</v>
      </c>
      <c r="P2014">
        <v>38</v>
      </c>
      <c r="Q2014" t="s">
        <v>4352</v>
      </c>
    </row>
    <row r="2015" spans="1:17" x14ac:dyDescent="0.3">
      <c r="A2015" t="s">
        <v>17</v>
      </c>
      <c r="B2015" t="str">
        <f>"688566"</f>
        <v>688566</v>
      </c>
      <c r="C2015" t="s">
        <v>4353</v>
      </c>
      <c r="D2015" t="s">
        <v>143</v>
      </c>
      <c r="F2015">
        <v>440400564</v>
      </c>
      <c r="G2015">
        <v>415550967</v>
      </c>
      <c r="H2015">
        <v>425614297</v>
      </c>
      <c r="P2015">
        <v>69</v>
      </c>
      <c r="Q2015" t="s">
        <v>4354</v>
      </c>
    </row>
    <row r="2016" spans="1:17" x14ac:dyDescent="0.3">
      <c r="A2016" t="s">
        <v>17</v>
      </c>
      <c r="B2016" t="str">
        <f>"688567"</f>
        <v>688567</v>
      </c>
      <c r="C2016" t="s">
        <v>4355</v>
      </c>
      <c r="D2016" t="s">
        <v>359</v>
      </c>
      <c r="F2016">
        <v>1683680062</v>
      </c>
      <c r="G2016">
        <v>557198042</v>
      </c>
      <c r="H2016">
        <v>2631981244</v>
      </c>
      <c r="P2016">
        <v>107</v>
      </c>
      <c r="Q2016" t="s">
        <v>4356</v>
      </c>
    </row>
    <row r="2017" spans="1:17" x14ac:dyDescent="0.3">
      <c r="A2017" t="s">
        <v>17</v>
      </c>
      <c r="B2017" t="str">
        <f>"688568"</f>
        <v>688568</v>
      </c>
      <c r="C2017" t="s">
        <v>4357</v>
      </c>
      <c r="D2017" t="s">
        <v>316</v>
      </c>
      <c r="F2017">
        <v>324952155</v>
      </c>
      <c r="G2017">
        <v>179174456</v>
      </c>
      <c r="H2017">
        <v>219408580</v>
      </c>
      <c r="P2017">
        <v>98</v>
      </c>
      <c r="Q2017" t="s">
        <v>4358</v>
      </c>
    </row>
    <row r="2018" spans="1:17" x14ac:dyDescent="0.3">
      <c r="A2018" t="s">
        <v>17</v>
      </c>
      <c r="B2018" t="str">
        <f>"688569"</f>
        <v>688569</v>
      </c>
      <c r="C2018" t="s">
        <v>4359</v>
      </c>
      <c r="D2018" t="s">
        <v>1012</v>
      </c>
      <c r="F2018">
        <v>564429921</v>
      </c>
      <c r="G2018">
        <v>762346575</v>
      </c>
      <c r="H2018">
        <v>769052263</v>
      </c>
      <c r="I2018">
        <v>0</v>
      </c>
      <c r="P2018">
        <v>31</v>
      </c>
      <c r="Q2018" t="s">
        <v>4360</v>
      </c>
    </row>
    <row r="2019" spans="1:17" x14ac:dyDescent="0.3">
      <c r="A2019" t="s">
        <v>17</v>
      </c>
      <c r="B2019" t="str">
        <f>"688571"</f>
        <v>688571</v>
      </c>
      <c r="C2019" t="s">
        <v>4361</v>
      </c>
      <c r="D2019" t="s">
        <v>2570</v>
      </c>
      <c r="F2019">
        <v>699772641</v>
      </c>
      <c r="G2019">
        <v>570566397</v>
      </c>
      <c r="H2019">
        <v>0</v>
      </c>
      <c r="P2019">
        <v>29</v>
      </c>
      <c r="Q2019" t="s">
        <v>4362</v>
      </c>
    </row>
    <row r="2020" spans="1:17" x14ac:dyDescent="0.3">
      <c r="A2020" t="s">
        <v>17</v>
      </c>
      <c r="B2020" t="str">
        <f>"688575"</f>
        <v>688575</v>
      </c>
      <c r="C2020" t="s">
        <v>4363</v>
      </c>
      <c r="D2020" t="s">
        <v>1305</v>
      </c>
      <c r="F2020">
        <v>928188404</v>
      </c>
      <c r="G2020">
        <v>733479807</v>
      </c>
      <c r="P2020">
        <v>46</v>
      </c>
      <c r="Q2020" t="s">
        <v>4364</v>
      </c>
    </row>
    <row r="2021" spans="1:17" x14ac:dyDescent="0.3">
      <c r="A2021" t="s">
        <v>17</v>
      </c>
      <c r="B2021" t="str">
        <f>"688577"</f>
        <v>688577</v>
      </c>
      <c r="C2021" t="s">
        <v>4365</v>
      </c>
      <c r="D2021" t="s">
        <v>2312</v>
      </c>
      <c r="F2021">
        <v>225144312</v>
      </c>
      <c r="G2021">
        <v>209607979</v>
      </c>
      <c r="H2021">
        <v>171094844</v>
      </c>
      <c r="P2021">
        <v>56</v>
      </c>
      <c r="Q2021" t="s">
        <v>4366</v>
      </c>
    </row>
    <row r="2022" spans="1:17" x14ac:dyDescent="0.3">
      <c r="A2022" t="s">
        <v>17</v>
      </c>
      <c r="B2022" t="str">
        <f>"688578"</f>
        <v>688578</v>
      </c>
      <c r="C2022" t="s">
        <v>4367</v>
      </c>
      <c r="D2022" t="s">
        <v>143</v>
      </c>
      <c r="F2022">
        <v>439284122</v>
      </c>
      <c r="G2022">
        <v>735110</v>
      </c>
      <c r="H2022">
        <v>0</v>
      </c>
      <c r="P2022">
        <v>47</v>
      </c>
      <c r="Q2022" t="s">
        <v>4368</v>
      </c>
    </row>
    <row r="2023" spans="1:17" x14ac:dyDescent="0.3">
      <c r="A2023" t="s">
        <v>17</v>
      </c>
      <c r="B2023" t="str">
        <f>"688579"</f>
        <v>688579</v>
      </c>
      <c r="C2023" t="s">
        <v>4369</v>
      </c>
      <c r="D2023" t="s">
        <v>945</v>
      </c>
      <c r="F2023">
        <v>305635388</v>
      </c>
      <c r="G2023">
        <v>256049432</v>
      </c>
      <c r="H2023">
        <v>248064289</v>
      </c>
      <c r="P2023">
        <v>34</v>
      </c>
      <c r="Q2023" t="s">
        <v>4370</v>
      </c>
    </row>
    <row r="2024" spans="1:17" x14ac:dyDescent="0.3">
      <c r="A2024" t="s">
        <v>17</v>
      </c>
      <c r="B2024" t="str">
        <f>"688580"</f>
        <v>688580</v>
      </c>
      <c r="C2024" t="s">
        <v>4371</v>
      </c>
      <c r="D2024" t="s">
        <v>122</v>
      </c>
      <c r="F2024">
        <v>304651272</v>
      </c>
      <c r="G2024">
        <v>257749849</v>
      </c>
      <c r="H2024">
        <v>253194573</v>
      </c>
      <c r="P2024">
        <v>246</v>
      </c>
      <c r="Q2024" t="s">
        <v>4372</v>
      </c>
    </row>
    <row r="2025" spans="1:17" x14ac:dyDescent="0.3">
      <c r="A2025" t="s">
        <v>17</v>
      </c>
      <c r="B2025" t="str">
        <f>"688585"</f>
        <v>688585</v>
      </c>
      <c r="C2025" t="s">
        <v>4373</v>
      </c>
      <c r="D2025" t="s">
        <v>3350</v>
      </c>
      <c r="F2025">
        <v>875141104</v>
      </c>
      <c r="G2025">
        <v>640467430</v>
      </c>
      <c r="H2025">
        <v>657869023</v>
      </c>
      <c r="I2025">
        <v>0</v>
      </c>
      <c r="P2025">
        <v>26</v>
      </c>
      <c r="Q2025" t="s">
        <v>4374</v>
      </c>
    </row>
    <row r="2026" spans="1:17" x14ac:dyDescent="0.3">
      <c r="A2026" t="s">
        <v>17</v>
      </c>
      <c r="B2026" t="str">
        <f>"688586"</f>
        <v>688586</v>
      </c>
      <c r="C2026" t="s">
        <v>4375</v>
      </c>
      <c r="D2026" t="s">
        <v>98</v>
      </c>
      <c r="F2026">
        <v>795854507</v>
      </c>
      <c r="G2026">
        <v>347673782</v>
      </c>
      <c r="H2026">
        <v>243520188</v>
      </c>
      <c r="P2026">
        <v>70</v>
      </c>
      <c r="Q2026" t="s">
        <v>4376</v>
      </c>
    </row>
    <row r="2027" spans="1:17" x14ac:dyDescent="0.3">
      <c r="A2027" t="s">
        <v>17</v>
      </c>
      <c r="B2027" t="str">
        <f>"688588"</f>
        <v>688588</v>
      </c>
      <c r="C2027" t="s">
        <v>4377</v>
      </c>
      <c r="D2027" t="s">
        <v>945</v>
      </c>
      <c r="F2027">
        <v>483362123</v>
      </c>
      <c r="G2027">
        <v>465451062</v>
      </c>
      <c r="H2027">
        <v>463160571</v>
      </c>
      <c r="I2027">
        <v>330455795</v>
      </c>
      <c r="P2027">
        <v>79</v>
      </c>
      <c r="Q2027" t="s">
        <v>4378</v>
      </c>
    </row>
    <row r="2028" spans="1:17" x14ac:dyDescent="0.3">
      <c r="A2028" t="s">
        <v>17</v>
      </c>
      <c r="B2028" t="str">
        <f>"688589"</f>
        <v>688589</v>
      </c>
      <c r="C2028" t="s">
        <v>4379</v>
      </c>
      <c r="D2028" t="s">
        <v>461</v>
      </c>
      <c r="F2028">
        <v>143713354</v>
      </c>
      <c r="G2028">
        <v>103543483</v>
      </c>
      <c r="H2028">
        <v>120987762</v>
      </c>
      <c r="P2028">
        <v>73</v>
      </c>
      <c r="Q2028" t="s">
        <v>4380</v>
      </c>
    </row>
    <row r="2029" spans="1:17" x14ac:dyDescent="0.3">
      <c r="A2029" t="s">
        <v>17</v>
      </c>
      <c r="B2029" t="str">
        <f>"688590"</f>
        <v>688590</v>
      </c>
      <c r="C2029" t="s">
        <v>4381</v>
      </c>
      <c r="D2029" t="s">
        <v>945</v>
      </c>
      <c r="F2029">
        <v>671321675</v>
      </c>
      <c r="G2029">
        <v>649246881</v>
      </c>
      <c r="H2029">
        <v>612805634</v>
      </c>
      <c r="P2029">
        <v>29</v>
      </c>
      <c r="Q2029" t="s">
        <v>4382</v>
      </c>
    </row>
    <row r="2030" spans="1:17" x14ac:dyDescent="0.3">
      <c r="A2030" t="s">
        <v>17</v>
      </c>
      <c r="B2030" t="str">
        <f>"688595"</f>
        <v>688595</v>
      </c>
      <c r="C2030" t="s">
        <v>4383</v>
      </c>
      <c r="D2030" t="s">
        <v>401</v>
      </c>
      <c r="F2030">
        <v>481592104</v>
      </c>
      <c r="G2030">
        <v>290479663</v>
      </c>
      <c r="H2030">
        <v>132481392</v>
      </c>
      <c r="P2030">
        <v>128</v>
      </c>
      <c r="Q2030" t="s">
        <v>4384</v>
      </c>
    </row>
    <row r="2031" spans="1:17" x14ac:dyDescent="0.3">
      <c r="A2031" t="s">
        <v>17</v>
      </c>
      <c r="B2031" t="str">
        <f>"688596"</f>
        <v>688596</v>
      </c>
      <c r="C2031" t="s">
        <v>4385</v>
      </c>
      <c r="D2031" t="s">
        <v>741</v>
      </c>
      <c r="F2031">
        <v>902408392</v>
      </c>
      <c r="G2031">
        <v>525883956</v>
      </c>
      <c r="H2031">
        <v>638424585</v>
      </c>
      <c r="P2031">
        <v>61</v>
      </c>
      <c r="Q2031" t="s">
        <v>4386</v>
      </c>
    </row>
    <row r="2032" spans="1:17" x14ac:dyDescent="0.3">
      <c r="A2032" t="s">
        <v>17</v>
      </c>
      <c r="B2032" t="str">
        <f>"688597"</f>
        <v>688597</v>
      </c>
      <c r="C2032" t="s">
        <v>4387</v>
      </c>
      <c r="D2032" t="s">
        <v>2171</v>
      </c>
      <c r="F2032">
        <v>298176706</v>
      </c>
      <c r="G2032">
        <v>263214380</v>
      </c>
      <c r="P2032">
        <v>17</v>
      </c>
      <c r="Q2032" t="s">
        <v>4388</v>
      </c>
    </row>
    <row r="2033" spans="1:17" x14ac:dyDescent="0.3">
      <c r="A2033" t="s">
        <v>17</v>
      </c>
      <c r="B2033" t="str">
        <f>"688598"</f>
        <v>688598</v>
      </c>
      <c r="C2033" t="s">
        <v>4389</v>
      </c>
      <c r="D2033" t="s">
        <v>478</v>
      </c>
      <c r="F2033">
        <v>602081661</v>
      </c>
      <c r="G2033">
        <v>172447960</v>
      </c>
      <c r="H2033">
        <v>136864953</v>
      </c>
      <c r="P2033">
        <v>262</v>
      </c>
      <c r="Q2033" t="s">
        <v>4390</v>
      </c>
    </row>
    <row r="2034" spans="1:17" x14ac:dyDescent="0.3">
      <c r="A2034" t="s">
        <v>17</v>
      </c>
      <c r="B2034" t="str">
        <f>"688599"</f>
        <v>688599</v>
      </c>
      <c r="C2034" t="s">
        <v>4391</v>
      </c>
      <c r="D2034" t="s">
        <v>356</v>
      </c>
      <c r="F2034">
        <v>29088753588</v>
      </c>
      <c r="G2034">
        <v>17510804887</v>
      </c>
      <c r="H2034">
        <v>15584121782</v>
      </c>
      <c r="P2034">
        <v>371</v>
      </c>
      <c r="Q2034" t="s">
        <v>4392</v>
      </c>
    </row>
    <row r="2035" spans="1:17" x14ac:dyDescent="0.3">
      <c r="A2035" t="s">
        <v>17</v>
      </c>
      <c r="B2035" t="str">
        <f>"688600"</f>
        <v>688600</v>
      </c>
      <c r="C2035" t="s">
        <v>4393</v>
      </c>
      <c r="D2035" t="s">
        <v>1070</v>
      </c>
      <c r="F2035">
        <v>345101701</v>
      </c>
      <c r="G2035">
        <v>214497289</v>
      </c>
      <c r="H2035">
        <v>250678664</v>
      </c>
      <c r="P2035">
        <v>62</v>
      </c>
      <c r="Q2035" t="s">
        <v>4394</v>
      </c>
    </row>
    <row r="2036" spans="1:17" x14ac:dyDescent="0.3">
      <c r="A2036" t="s">
        <v>17</v>
      </c>
      <c r="B2036" t="str">
        <f>"688601"</f>
        <v>688601</v>
      </c>
      <c r="C2036" t="s">
        <v>4395</v>
      </c>
      <c r="D2036" t="s">
        <v>401</v>
      </c>
      <c r="F2036">
        <v>454635020</v>
      </c>
      <c r="G2036">
        <v>332708036</v>
      </c>
      <c r="P2036">
        <v>57</v>
      </c>
      <c r="Q2036" t="s">
        <v>4396</v>
      </c>
    </row>
    <row r="2037" spans="1:17" x14ac:dyDescent="0.3">
      <c r="A2037" t="s">
        <v>17</v>
      </c>
      <c r="B2037" t="str">
        <f>"688606"</f>
        <v>688606</v>
      </c>
      <c r="C2037" t="s">
        <v>4397</v>
      </c>
      <c r="D2037" t="s">
        <v>1305</v>
      </c>
      <c r="F2037">
        <v>954877896</v>
      </c>
      <c r="G2037">
        <v>586737408</v>
      </c>
      <c r="H2037">
        <v>170603331</v>
      </c>
      <c r="P2037">
        <v>104</v>
      </c>
      <c r="Q2037" t="s">
        <v>4398</v>
      </c>
    </row>
    <row r="2038" spans="1:17" x14ac:dyDescent="0.3">
      <c r="A2038" t="s">
        <v>17</v>
      </c>
      <c r="B2038" t="str">
        <f>"688607"</f>
        <v>688607</v>
      </c>
      <c r="C2038" t="s">
        <v>4399</v>
      </c>
      <c r="D2038" t="s">
        <v>122</v>
      </c>
      <c r="F2038">
        <v>280453178</v>
      </c>
      <c r="G2038">
        <v>251294198</v>
      </c>
      <c r="H2038">
        <v>0</v>
      </c>
      <c r="P2038">
        <v>55</v>
      </c>
      <c r="Q2038" t="s">
        <v>4400</v>
      </c>
    </row>
    <row r="2039" spans="1:17" x14ac:dyDescent="0.3">
      <c r="A2039" t="s">
        <v>17</v>
      </c>
      <c r="B2039" t="str">
        <f>"688608"</f>
        <v>688608</v>
      </c>
      <c r="C2039" t="s">
        <v>4401</v>
      </c>
      <c r="D2039" t="s">
        <v>461</v>
      </c>
      <c r="F2039">
        <v>1155306190</v>
      </c>
      <c r="G2039">
        <v>668078283</v>
      </c>
      <c r="H2039">
        <v>537288226</v>
      </c>
      <c r="P2039">
        <v>123</v>
      </c>
      <c r="Q2039" t="s">
        <v>4402</v>
      </c>
    </row>
    <row r="2040" spans="1:17" x14ac:dyDescent="0.3">
      <c r="A2040" t="s">
        <v>17</v>
      </c>
      <c r="B2040" t="str">
        <f>"688609"</f>
        <v>688609</v>
      </c>
      <c r="C2040" t="s">
        <v>4403</v>
      </c>
      <c r="D2040" t="s">
        <v>4404</v>
      </c>
      <c r="F2040">
        <v>1790135290</v>
      </c>
      <c r="G2040">
        <v>1402036728</v>
      </c>
      <c r="P2040">
        <v>31</v>
      </c>
      <c r="Q2040" t="s">
        <v>4405</v>
      </c>
    </row>
    <row r="2041" spans="1:17" x14ac:dyDescent="0.3">
      <c r="A2041" t="s">
        <v>17</v>
      </c>
      <c r="B2041" t="str">
        <f>"688611"</f>
        <v>688611</v>
      </c>
      <c r="C2041" t="s">
        <v>4406</v>
      </c>
      <c r="D2041" t="s">
        <v>610</v>
      </c>
      <c r="F2041">
        <v>55363831</v>
      </c>
      <c r="G2041">
        <v>76333420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"688613"</f>
        <v>688613</v>
      </c>
      <c r="C2042" t="s">
        <v>4408</v>
      </c>
      <c r="D2042" t="s">
        <v>1077</v>
      </c>
      <c r="F2042">
        <v>161717505</v>
      </c>
      <c r="G2042">
        <v>101124132</v>
      </c>
      <c r="P2042">
        <v>51</v>
      </c>
      <c r="Q2042" t="s">
        <v>4409</v>
      </c>
    </row>
    <row r="2043" spans="1:17" x14ac:dyDescent="0.3">
      <c r="A2043" t="s">
        <v>17</v>
      </c>
      <c r="B2043" t="str">
        <f>"688616"</f>
        <v>688616</v>
      </c>
      <c r="C2043" t="s">
        <v>4410</v>
      </c>
      <c r="D2043" t="s">
        <v>2171</v>
      </c>
      <c r="F2043">
        <v>238873040</v>
      </c>
      <c r="G2043">
        <v>313719484</v>
      </c>
      <c r="P2043">
        <v>23</v>
      </c>
      <c r="Q2043" t="s">
        <v>4411</v>
      </c>
    </row>
    <row r="2044" spans="1:17" x14ac:dyDescent="0.3">
      <c r="A2044" t="s">
        <v>17</v>
      </c>
      <c r="B2044" t="str">
        <f>"688617"</f>
        <v>688617</v>
      </c>
      <c r="C2044" t="s">
        <v>4412</v>
      </c>
      <c r="D2044" t="s">
        <v>1077</v>
      </c>
      <c r="F2044">
        <v>680706325</v>
      </c>
      <c r="G2044">
        <v>380202215</v>
      </c>
      <c r="H2044">
        <v>315356314</v>
      </c>
      <c r="P2044">
        <v>137</v>
      </c>
      <c r="Q2044" t="s">
        <v>4413</v>
      </c>
    </row>
    <row r="2045" spans="1:17" x14ac:dyDescent="0.3">
      <c r="A2045" t="s">
        <v>17</v>
      </c>
      <c r="B2045" t="str">
        <f>"688618"</f>
        <v>688618</v>
      </c>
      <c r="C2045" t="s">
        <v>4414</v>
      </c>
      <c r="D2045" t="s">
        <v>1019</v>
      </c>
      <c r="F2045">
        <v>149218118</v>
      </c>
      <c r="G2045">
        <v>111965191</v>
      </c>
      <c r="H2045">
        <v>85185696</v>
      </c>
      <c r="P2045">
        <v>41</v>
      </c>
      <c r="Q2045" t="s">
        <v>4415</v>
      </c>
    </row>
    <row r="2046" spans="1:17" x14ac:dyDescent="0.3">
      <c r="A2046" t="s">
        <v>17</v>
      </c>
      <c r="B2046" t="str">
        <f>"688619"</f>
        <v>688619</v>
      </c>
      <c r="C2046" t="s">
        <v>4416</v>
      </c>
      <c r="D2046" t="s">
        <v>2953</v>
      </c>
      <c r="F2046">
        <v>199096725</v>
      </c>
      <c r="G2046">
        <v>268974342</v>
      </c>
      <c r="H2046">
        <v>128745156</v>
      </c>
      <c r="P2046">
        <v>31</v>
      </c>
      <c r="Q2046" t="s">
        <v>4417</v>
      </c>
    </row>
    <row r="2047" spans="1:17" x14ac:dyDescent="0.3">
      <c r="A2047" t="s">
        <v>17</v>
      </c>
      <c r="B2047" t="str">
        <f>"688621"</f>
        <v>688621</v>
      </c>
      <c r="C2047" t="s">
        <v>4418</v>
      </c>
      <c r="D2047" t="s">
        <v>1461</v>
      </c>
      <c r="F2047">
        <v>303807672</v>
      </c>
      <c r="G2047">
        <v>235334895</v>
      </c>
      <c r="P2047">
        <v>63</v>
      </c>
      <c r="Q2047" t="s">
        <v>4419</v>
      </c>
    </row>
    <row r="2048" spans="1:17" x14ac:dyDescent="0.3">
      <c r="A2048" t="s">
        <v>17</v>
      </c>
      <c r="B2048" t="str">
        <f>"688622"</f>
        <v>688622</v>
      </c>
      <c r="C2048" t="s">
        <v>4420</v>
      </c>
      <c r="D2048" t="s">
        <v>2551</v>
      </c>
      <c r="F2048">
        <v>298401967</v>
      </c>
      <c r="G2048">
        <v>172364984</v>
      </c>
      <c r="P2048">
        <v>29</v>
      </c>
      <c r="Q2048" t="s">
        <v>4421</v>
      </c>
    </row>
    <row r="2049" spans="1:17" x14ac:dyDescent="0.3">
      <c r="A2049" t="s">
        <v>17</v>
      </c>
      <c r="B2049" t="str">
        <f>"688625"</f>
        <v>688625</v>
      </c>
      <c r="C2049" t="s">
        <v>4422</v>
      </c>
      <c r="D2049" t="s">
        <v>386</v>
      </c>
      <c r="F2049">
        <v>831147997</v>
      </c>
      <c r="G2049">
        <v>614668242</v>
      </c>
      <c r="P2049">
        <v>63</v>
      </c>
      <c r="Q2049" t="s">
        <v>4423</v>
      </c>
    </row>
    <row r="2050" spans="1:17" x14ac:dyDescent="0.3">
      <c r="A2050" t="s">
        <v>17</v>
      </c>
      <c r="B2050" t="str">
        <f>"688626"</f>
        <v>688626</v>
      </c>
      <c r="C2050" t="s">
        <v>4424</v>
      </c>
      <c r="D2050" t="s">
        <v>122</v>
      </c>
      <c r="F2050">
        <v>368895724</v>
      </c>
      <c r="G2050">
        <v>332202777</v>
      </c>
      <c r="P2050">
        <v>82</v>
      </c>
      <c r="Q2050" t="s">
        <v>4425</v>
      </c>
    </row>
    <row r="2051" spans="1:17" x14ac:dyDescent="0.3">
      <c r="A2051" t="s">
        <v>17</v>
      </c>
      <c r="B2051" t="str">
        <f>"688628"</f>
        <v>688628</v>
      </c>
      <c r="C2051" t="s">
        <v>4426</v>
      </c>
      <c r="D2051" t="s">
        <v>2551</v>
      </c>
      <c r="F2051">
        <v>631990957</v>
      </c>
      <c r="G2051">
        <v>728057823</v>
      </c>
      <c r="H2051">
        <v>414354763</v>
      </c>
      <c r="P2051">
        <v>35</v>
      </c>
      <c r="Q2051" t="s">
        <v>4427</v>
      </c>
    </row>
    <row r="2052" spans="1:17" x14ac:dyDescent="0.3">
      <c r="A2052" t="s">
        <v>17</v>
      </c>
      <c r="B2052" t="str">
        <f>"688630"</f>
        <v>688630</v>
      </c>
      <c r="C2052" t="s">
        <v>4428</v>
      </c>
      <c r="D2052" t="s">
        <v>741</v>
      </c>
      <c r="F2052">
        <v>215620732</v>
      </c>
      <c r="G2052">
        <v>125570555</v>
      </c>
      <c r="P2052">
        <v>63</v>
      </c>
      <c r="Q2052" t="s">
        <v>4429</v>
      </c>
    </row>
    <row r="2053" spans="1:17" x14ac:dyDescent="0.3">
      <c r="A2053" t="s">
        <v>17</v>
      </c>
      <c r="B2053" t="str">
        <f>"688633"</f>
        <v>688633</v>
      </c>
      <c r="C2053" t="s">
        <v>4430</v>
      </c>
      <c r="D2053" t="s">
        <v>395</v>
      </c>
      <c r="F2053">
        <v>153263952</v>
      </c>
      <c r="G2053">
        <v>218351517</v>
      </c>
      <c r="P2053">
        <v>38</v>
      </c>
      <c r="Q2053" t="s">
        <v>4431</v>
      </c>
    </row>
    <row r="2054" spans="1:17" x14ac:dyDescent="0.3">
      <c r="A2054" t="s">
        <v>17</v>
      </c>
      <c r="B2054" t="str">
        <f>"688636"</f>
        <v>688636</v>
      </c>
      <c r="C2054" t="s">
        <v>4432</v>
      </c>
      <c r="D2054" t="s">
        <v>1136</v>
      </c>
      <c r="F2054">
        <v>181307222</v>
      </c>
      <c r="G2054">
        <v>126431775</v>
      </c>
      <c r="H2054">
        <v>105265323</v>
      </c>
      <c r="P2054">
        <v>32</v>
      </c>
      <c r="Q2054" t="s">
        <v>4433</v>
      </c>
    </row>
    <row r="2055" spans="1:17" x14ac:dyDescent="0.3">
      <c r="A2055" t="s">
        <v>17</v>
      </c>
      <c r="B2055" t="str">
        <f>"688639"</f>
        <v>688639</v>
      </c>
      <c r="C2055" t="s">
        <v>4434</v>
      </c>
      <c r="D2055" t="s">
        <v>677</v>
      </c>
      <c r="F2055">
        <v>497527190</v>
      </c>
      <c r="G2055">
        <v>276256751</v>
      </c>
      <c r="H2055">
        <v>313995460</v>
      </c>
      <c r="P2055">
        <v>58</v>
      </c>
      <c r="Q2055" t="s">
        <v>4435</v>
      </c>
    </row>
    <row r="2056" spans="1:17" x14ac:dyDescent="0.3">
      <c r="A2056" t="s">
        <v>17</v>
      </c>
      <c r="B2056" t="str">
        <f>"688655"</f>
        <v>688655</v>
      </c>
      <c r="C2056" t="s">
        <v>4436</v>
      </c>
      <c r="D2056" t="s">
        <v>425</v>
      </c>
      <c r="F2056">
        <v>372922913</v>
      </c>
      <c r="G2056">
        <v>255506857</v>
      </c>
      <c r="P2056">
        <v>21</v>
      </c>
      <c r="Q2056" t="s">
        <v>4437</v>
      </c>
    </row>
    <row r="2057" spans="1:17" x14ac:dyDescent="0.3">
      <c r="A2057" t="s">
        <v>17</v>
      </c>
      <c r="B2057" t="str">
        <f>"688656"</f>
        <v>688656</v>
      </c>
      <c r="C2057" t="s">
        <v>4438</v>
      </c>
      <c r="D2057" t="s">
        <v>1305</v>
      </c>
      <c r="F2057">
        <v>247419140</v>
      </c>
      <c r="G2057">
        <v>151600090</v>
      </c>
      <c r="H2057">
        <v>205304422</v>
      </c>
      <c r="P2057">
        <v>59</v>
      </c>
      <c r="Q2057" t="s">
        <v>4439</v>
      </c>
    </row>
    <row r="2058" spans="1:17" x14ac:dyDescent="0.3">
      <c r="A2058" t="s">
        <v>17</v>
      </c>
      <c r="B2058" t="str">
        <f>"688658"</f>
        <v>688658</v>
      </c>
      <c r="C2058" t="s">
        <v>4440</v>
      </c>
      <c r="D2058" t="s">
        <v>143</v>
      </c>
      <c r="F2058">
        <v>3660673359</v>
      </c>
      <c r="G2058">
        <v>3403575107</v>
      </c>
      <c r="H2058">
        <v>3275329413</v>
      </c>
      <c r="P2058">
        <v>75</v>
      </c>
      <c r="Q2058" t="s">
        <v>4441</v>
      </c>
    </row>
    <row r="2059" spans="1:17" x14ac:dyDescent="0.3">
      <c r="A2059" t="s">
        <v>17</v>
      </c>
      <c r="B2059" t="str">
        <f>"688659"</f>
        <v>688659</v>
      </c>
      <c r="C2059" t="s">
        <v>4442</v>
      </c>
      <c r="D2059" t="s">
        <v>386</v>
      </c>
      <c r="F2059">
        <v>325264448</v>
      </c>
      <c r="G2059">
        <v>294962976</v>
      </c>
      <c r="H2059">
        <v>279988393</v>
      </c>
      <c r="P2059">
        <v>40</v>
      </c>
      <c r="Q2059" t="s">
        <v>4443</v>
      </c>
    </row>
    <row r="2060" spans="1:17" x14ac:dyDescent="0.3">
      <c r="A2060" t="s">
        <v>17</v>
      </c>
      <c r="B2060" t="str">
        <f>"688660"</f>
        <v>688660</v>
      </c>
      <c r="C2060" t="s">
        <v>4444</v>
      </c>
      <c r="D2060" t="s">
        <v>895</v>
      </c>
      <c r="F2060">
        <v>13048552660</v>
      </c>
      <c r="G2060">
        <v>16438078756</v>
      </c>
      <c r="P2060">
        <v>54</v>
      </c>
      <c r="Q2060" t="s">
        <v>4445</v>
      </c>
    </row>
    <row r="2061" spans="1:17" x14ac:dyDescent="0.3">
      <c r="A2061" t="s">
        <v>17</v>
      </c>
      <c r="B2061" t="str">
        <f>"688661"</f>
        <v>688661</v>
      </c>
      <c r="C2061" t="s">
        <v>4446</v>
      </c>
      <c r="D2061" t="s">
        <v>313</v>
      </c>
      <c r="F2061">
        <v>242516306</v>
      </c>
      <c r="G2061">
        <v>132952971</v>
      </c>
      <c r="P2061">
        <v>64</v>
      </c>
      <c r="Q2061" t="s">
        <v>4447</v>
      </c>
    </row>
    <row r="2062" spans="1:17" x14ac:dyDescent="0.3">
      <c r="A2062" t="s">
        <v>17</v>
      </c>
      <c r="B2062" t="str">
        <f>"688662"</f>
        <v>688662</v>
      </c>
      <c r="C2062" t="s">
        <v>4448</v>
      </c>
      <c r="D2062" t="s">
        <v>651</v>
      </c>
      <c r="F2062">
        <v>429501260</v>
      </c>
      <c r="G2062">
        <v>360432184</v>
      </c>
      <c r="P2062">
        <v>23</v>
      </c>
      <c r="Q2062" t="s">
        <v>4449</v>
      </c>
    </row>
    <row r="2063" spans="1:17" x14ac:dyDescent="0.3">
      <c r="A2063" t="s">
        <v>17</v>
      </c>
      <c r="B2063" t="str">
        <f>"688663"</f>
        <v>688663</v>
      </c>
      <c r="C2063" t="s">
        <v>4450</v>
      </c>
      <c r="D2063" t="s">
        <v>657</v>
      </c>
      <c r="F2063">
        <v>349899935</v>
      </c>
      <c r="G2063">
        <v>306515974</v>
      </c>
      <c r="P2063">
        <v>32</v>
      </c>
      <c r="Q2063" t="s">
        <v>4451</v>
      </c>
    </row>
    <row r="2064" spans="1:17" x14ac:dyDescent="0.3">
      <c r="A2064" t="s">
        <v>17</v>
      </c>
      <c r="B2064" t="str">
        <f>"688665"</f>
        <v>688665</v>
      </c>
      <c r="C2064" t="s">
        <v>4452</v>
      </c>
      <c r="D2064" t="s">
        <v>2551</v>
      </c>
      <c r="F2064">
        <v>351752119</v>
      </c>
      <c r="G2064">
        <v>170301747</v>
      </c>
      <c r="H2064">
        <v>124968352</v>
      </c>
      <c r="P2064">
        <v>63</v>
      </c>
      <c r="Q2064" t="s">
        <v>4453</v>
      </c>
    </row>
    <row r="2065" spans="1:17" x14ac:dyDescent="0.3">
      <c r="A2065" t="s">
        <v>17</v>
      </c>
      <c r="B2065" t="str">
        <f>"688667"</f>
        <v>688667</v>
      </c>
      <c r="C2065" t="s">
        <v>4454</v>
      </c>
      <c r="D2065" t="s">
        <v>1415</v>
      </c>
      <c r="F2065">
        <v>318895540</v>
      </c>
      <c r="G2065">
        <v>248664385</v>
      </c>
      <c r="P2065">
        <v>66</v>
      </c>
      <c r="Q2065" t="s">
        <v>4455</v>
      </c>
    </row>
    <row r="2066" spans="1:17" x14ac:dyDescent="0.3">
      <c r="A2066" t="s">
        <v>17</v>
      </c>
      <c r="B2066" t="str">
        <f>"688668"</f>
        <v>688668</v>
      </c>
      <c r="C2066" t="s">
        <v>4456</v>
      </c>
      <c r="D2066" t="s">
        <v>1019</v>
      </c>
      <c r="F2066">
        <v>377919671</v>
      </c>
      <c r="G2066">
        <v>230895150</v>
      </c>
      <c r="H2066">
        <v>0</v>
      </c>
      <c r="P2066">
        <v>44</v>
      </c>
      <c r="Q2066" t="s">
        <v>4457</v>
      </c>
    </row>
    <row r="2067" spans="1:17" x14ac:dyDescent="0.3">
      <c r="A2067" t="s">
        <v>17</v>
      </c>
      <c r="B2067" t="str">
        <f>"688669"</f>
        <v>688669</v>
      </c>
      <c r="C2067" t="s">
        <v>4458</v>
      </c>
      <c r="D2067" t="s">
        <v>341</v>
      </c>
      <c r="F2067">
        <v>1502321381</v>
      </c>
      <c r="G2067">
        <v>1047823416</v>
      </c>
      <c r="H2067">
        <v>0</v>
      </c>
      <c r="P2067">
        <v>36</v>
      </c>
      <c r="Q2067" t="s">
        <v>4459</v>
      </c>
    </row>
    <row r="2068" spans="1:17" x14ac:dyDescent="0.3">
      <c r="A2068" t="s">
        <v>17</v>
      </c>
      <c r="B2068" t="str">
        <f>"688670"</f>
        <v>688670</v>
      </c>
      <c r="C2068" t="s">
        <v>4460</v>
      </c>
      <c r="D2068" t="s">
        <v>1499</v>
      </c>
      <c r="F2068">
        <v>318936328</v>
      </c>
      <c r="P2068">
        <v>19</v>
      </c>
      <c r="Q2068" t="s">
        <v>4461</v>
      </c>
    </row>
    <row r="2069" spans="1:17" x14ac:dyDescent="0.3">
      <c r="A2069" t="s">
        <v>17</v>
      </c>
      <c r="B2069" t="str">
        <f>"688676"</f>
        <v>688676</v>
      </c>
      <c r="C2069" t="s">
        <v>4462</v>
      </c>
      <c r="D2069" t="s">
        <v>210</v>
      </c>
      <c r="F2069">
        <v>1960429035</v>
      </c>
      <c r="G2069">
        <v>1325102920</v>
      </c>
      <c r="P2069">
        <v>42</v>
      </c>
      <c r="Q2069" t="s">
        <v>4463</v>
      </c>
    </row>
    <row r="2070" spans="1:17" x14ac:dyDescent="0.3">
      <c r="A2070" t="s">
        <v>17</v>
      </c>
      <c r="B2070" t="str">
        <f>"688677"</f>
        <v>688677</v>
      </c>
      <c r="C2070" t="s">
        <v>4464</v>
      </c>
      <c r="D2070" t="s">
        <v>122</v>
      </c>
      <c r="F2070">
        <v>202410723</v>
      </c>
      <c r="G2070">
        <v>190606700</v>
      </c>
      <c r="H2070">
        <v>0</v>
      </c>
      <c r="P2070">
        <v>94</v>
      </c>
      <c r="Q2070" t="s">
        <v>4465</v>
      </c>
    </row>
    <row r="2071" spans="1:17" x14ac:dyDescent="0.3">
      <c r="A2071" t="s">
        <v>17</v>
      </c>
      <c r="B2071" t="str">
        <f>"688678"</f>
        <v>688678</v>
      </c>
      <c r="C2071" t="s">
        <v>4466</v>
      </c>
      <c r="D2071" t="s">
        <v>313</v>
      </c>
      <c r="F2071">
        <v>441559821</v>
      </c>
      <c r="G2071">
        <v>384470790</v>
      </c>
      <c r="H2071">
        <v>235716960</v>
      </c>
      <c r="P2071">
        <v>29</v>
      </c>
      <c r="Q2071" t="s">
        <v>4467</v>
      </c>
    </row>
    <row r="2072" spans="1:17" x14ac:dyDescent="0.3">
      <c r="A2072" t="s">
        <v>17</v>
      </c>
      <c r="B2072" t="str">
        <f>"688679"</f>
        <v>688679</v>
      </c>
      <c r="C2072" t="s">
        <v>4468</v>
      </c>
      <c r="D2072" t="s">
        <v>499</v>
      </c>
      <c r="F2072">
        <v>486625436</v>
      </c>
      <c r="G2072">
        <v>559989343</v>
      </c>
      <c r="H2072">
        <v>0</v>
      </c>
      <c r="P2072">
        <v>31</v>
      </c>
      <c r="Q2072" t="s">
        <v>4469</v>
      </c>
    </row>
    <row r="2073" spans="1:17" x14ac:dyDescent="0.3">
      <c r="A2073" t="s">
        <v>17</v>
      </c>
      <c r="B2073" t="str">
        <f>"688680"</f>
        <v>688680</v>
      </c>
      <c r="C2073" t="s">
        <v>4470</v>
      </c>
      <c r="D2073" t="s">
        <v>478</v>
      </c>
      <c r="F2073">
        <v>986441758</v>
      </c>
      <c r="G2073">
        <v>587245155</v>
      </c>
      <c r="H2073">
        <v>360789005</v>
      </c>
      <c r="I2073">
        <v>347032851</v>
      </c>
      <c r="P2073">
        <v>79</v>
      </c>
      <c r="Q2073" t="s">
        <v>4471</v>
      </c>
    </row>
    <row r="2074" spans="1:17" x14ac:dyDescent="0.3">
      <c r="A2074" t="s">
        <v>17</v>
      </c>
      <c r="B2074" t="str">
        <f>"688681"</f>
        <v>688681</v>
      </c>
      <c r="C2074" t="s">
        <v>4472</v>
      </c>
      <c r="D2074" t="s">
        <v>610</v>
      </c>
      <c r="F2074">
        <v>189974107</v>
      </c>
      <c r="G2074">
        <v>172512398</v>
      </c>
      <c r="P2074">
        <v>31</v>
      </c>
      <c r="Q2074" t="s">
        <v>4473</v>
      </c>
    </row>
    <row r="2075" spans="1:17" x14ac:dyDescent="0.3">
      <c r="A2075" t="s">
        <v>17</v>
      </c>
      <c r="B2075" t="str">
        <f>"688682"</f>
        <v>688682</v>
      </c>
      <c r="C2075" t="s">
        <v>4474</v>
      </c>
      <c r="D2075" t="s">
        <v>1136</v>
      </c>
      <c r="F2075">
        <v>87702668</v>
      </c>
      <c r="G2075">
        <v>86634762</v>
      </c>
      <c r="H2075">
        <v>96885096</v>
      </c>
      <c r="P2075">
        <v>33</v>
      </c>
      <c r="Q2075" t="s">
        <v>4475</v>
      </c>
    </row>
    <row r="2076" spans="1:17" x14ac:dyDescent="0.3">
      <c r="A2076" t="s">
        <v>17</v>
      </c>
      <c r="B2076" t="str">
        <f>"688683"</f>
        <v>688683</v>
      </c>
      <c r="C2076" t="s">
        <v>4476</v>
      </c>
      <c r="D2076" t="s">
        <v>313</v>
      </c>
      <c r="F2076">
        <v>339445705</v>
      </c>
      <c r="P2076">
        <v>18</v>
      </c>
      <c r="Q2076" t="s">
        <v>4477</v>
      </c>
    </row>
    <row r="2077" spans="1:17" x14ac:dyDescent="0.3">
      <c r="A2077" t="s">
        <v>17</v>
      </c>
      <c r="B2077" t="str">
        <f>"688685"</f>
        <v>688685</v>
      </c>
      <c r="C2077" t="s">
        <v>4478</v>
      </c>
      <c r="D2077" t="s">
        <v>98</v>
      </c>
      <c r="F2077">
        <v>225305997</v>
      </c>
      <c r="G2077">
        <v>139293199</v>
      </c>
      <c r="P2077">
        <v>21</v>
      </c>
      <c r="Q2077" t="s">
        <v>4479</v>
      </c>
    </row>
    <row r="2078" spans="1:17" x14ac:dyDescent="0.3">
      <c r="A2078" t="s">
        <v>17</v>
      </c>
      <c r="B2078" t="str">
        <f>"688686"</f>
        <v>688686</v>
      </c>
      <c r="C2078" t="s">
        <v>4480</v>
      </c>
      <c r="D2078" t="s">
        <v>3450</v>
      </c>
      <c r="F2078">
        <v>568052869</v>
      </c>
      <c r="G2078">
        <v>300952715</v>
      </c>
      <c r="H2078">
        <v>0</v>
      </c>
      <c r="P2078">
        <v>117</v>
      </c>
      <c r="Q2078" t="s">
        <v>4481</v>
      </c>
    </row>
    <row r="2079" spans="1:17" x14ac:dyDescent="0.3">
      <c r="A2079" t="s">
        <v>17</v>
      </c>
      <c r="B2079" t="str">
        <f>"688687"</f>
        <v>688687</v>
      </c>
      <c r="C2079" t="s">
        <v>4482</v>
      </c>
      <c r="D2079" t="s">
        <v>1379</v>
      </c>
      <c r="F2079">
        <v>801370589</v>
      </c>
      <c r="G2079">
        <v>674993160</v>
      </c>
      <c r="H2079">
        <v>0</v>
      </c>
      <c r="P2079">
        <v>41</v>
      </c>
      <c r="Q2079" t="s">
        <v>4483</v>
      </c>
    </row>
    <row r="2080" spans="1:17" x14ac:dyDescent="0.3">
      <c r="A2080" t="s">
        <v>17</v>
      </c>
      <c r="B2080" t="str">
        <f>"688689"</f>
        <v>688689</v>
      </c>
      <c r="C2080" t="s">
        <v>4484</v>
      </c>
      <c r="D2080" t="s">
        <v>795</v>
      </c>
      <c r="F2080">
        <v>483778679</v>
      </c>
      <c r="G2080">
        <v>345249951</v>
      </c>
      <c r="H2080">
        <v>0</v>
      </c>
      <c r="P2080">
        <v>46</v>
      </c>
      <c r="Q2080" t="s">
        <v>4485</v>
      </c>
    </row>
    <row r="2081" spans="1:17" x14ac:dyDescent="0.3">
      <c r="A2081" t="s">
        <v>17</v>
      </c>
      <c r="B2081" t="str">
        <f>"688690"</f>
        <v>688690</v>
      </c>
      <c r="C2081" t="s">
        <v>4486</v>
      </c>
      <c r="D2081" t="s">
        <v>496</v>
      </c>
      <c r="F2081">
        <v>246954080</v>
      </c>
      <c r="G2081">
        <v>122484346</v>
      </c>
      <c r="P2081">
        <v>116</v>
      </c>
      <c r="Q2081" t="s">
        <v>4487</v>
      </c>
    </row>
    <row r="2082" spans="1:17" x14ac:dyDescent="0.3">
      <c r="A2082" t="s">
        <v>17</v>
      </c>
      <c r="B2082" t="str">
        <f>"688696"</f>
        <v>688696</v>
      </c>
      <c r="C2082" t="s">
        <v>4488</v>
      </c>
      <c r="D2082" t="s">
        <v>137</v>
      </c>
      <c r="F2082">
        <v>2920184061</v>
      </c>
      <c r="G2082">
        <v>2134765180</v>
      </c>
      <c r="P2082">
        <v>150</v>
      </c>
      <c r="Q2082" t="s">
        <v>4489</v>
      </c>
    </row>
    <row r="2083" spans="1:17" x14ac:dyDescent="0.3">
      <c r="A2083" t="s">
        <v>17</v>
      </c>
      <c r="B2083" t="str">
        <f>"688697"</f>
        <v>688697</v>
      </c>
      <c r="C2083" t="s">
        <v>4490</v>
      </c>
      <c r="D2083" t="s">
        <v>2312</v>
      </c>
      <c r="F2083">
        <v>1260539933</v>
      </c>
      <c r="G2083">
        <v>778570587</v>
      </c>
      <c r="P2083">
        <v>16</v>
      </c>
      <c r="Q2083" t="s">
        <v>4491</v>
      </c>
    </row>
    <row r="2084" spans="1:17" x14ac:dyDescent="0.3">
      <c r="A2084" t="s">
        <v>17</v>
      </c>
      <c r="B2084" t="str">
        <f>"688698"</f>
        <v>688698</v>
      </c>
      <c r="C2084" t="s">
        <v>4492</v>
      </c>
      <c r="D2084" t="s">
        <v>2423</v>
      </c>
      <c r="F2084">
        <v>273174915</v>
      </c>
      <c r="G2084">
        <v>208212589</v>
      </c>
      <c r="H2084">
        <v>0</v>
      </c>
      <c r="P2084">
        <v>74</v>
      </c>
      <c r="Q2084" t="s">
        <v>4493</v>
      </c>
    </row>
    <row r="2085" spans="1:17" x14ac:dyDescent="0.3">
      <c r="A2085" t="s">
        <v>17</v>
      </c>
      <c r="B2085" t="str">
        <f>"688699"</f>
        <v>688699</v>
      </c>
      <c r="C2085" t="s">
        <v>4494</v>
      </c>
      <c r="D2085" t="s">
        <v>401</v>
      </c>
      <c r="F2085">
        <v>1053758899</v>
      </c>
      <c r="G2085">
        <v>188486820</v>
      </c>
      <c r="H2085">
        <v>175760999</v>
      </c>
      <c r="P2085">
        <v>140</v>
      </c>
      <c r="Q2085" t="s">
        <v>4495</v>
      </c>
    </row>
    <row r="2086" spans="1:17" x14ac:dyDescent="0.3">
      <c r="A2086" t="s">
        <v>17</v>
      </c>
      <c r="B2086" t="str">
        <f>"688700"</f>
        <v>688700</v>
      </c>
      <c r="C2086" t="s">
        <v>4496</v>
      </c>
      <c r="D2086" t="s">
        <v>741</v>
      </c>
      <c r="F2086">
        <v>388051585</v>
      </c>
      <c r="G2086">
        <v>251330488</v>
      </c>
      <c r="P2086">
        <v>34</v>
      </c>
      <c r="Q2086" t="s">
        <v>4497</v>
      </c>
    </row>
    <row r="2087" spans="1:17" x14ac:dyDescent="0.3">
      <c r="A2087" t="s">
        <v>17</v>
      </c>
      <c r="B2087" t="str">
        <f>"688701"</f>
        <v>688701</v>
      </c>
      <c r="C2087" t="s">
        <v>4498</v>
      </c>
      <c r="D2087" t="s">
        <v>3548</v>
      </c>
      <c r="F2087">
        <v>182558308</v>
      </c>
      <c r="G2087">
        <v>182413018</v>
      </c>
      <c r="P2087">
        <v>19</v>
      </c>
      <c r="Q2087" t="s">
        <v>4499</v>
      </c>
    </row>
    <row r="2088" spans="1:17" x14ac:dyDescent="0.3">
      <c r="A2088" t="s">
        <v>17</v>
      </c>
      <c r="B2088" t="str">
        <f>"688707"</f>
        <v>688707</v>
      </c>
      <c r="C2088" t="s">
        <v>4500</v>
      </c>
      <c r="D2088" t="s">
        <v>1786</v>
      </c>
      <c r="F2088">
        <v>1299738318</v>
      </c>
      <c r="G2088">
        <v>379428008</v>
      </c>
      <c r="P2088">
        <v>31</v>
      </c>
      <c r="Q2088" t="s">
        <v>4501</v>
      </c>
    </row>
    <row r="2089" spans="1:17" x14ac:dyDescent="0.3">
      <c r="A2089" t="s">
        <v>17</v>
      </c>
      <c r="B2089" t="str">
        <f>"688711"</f>
        <v>688711</v>
      </c>
      <c r="C2089" t="s">
        <v>4502</v>
      </c>
      <c r="D2089" t="s">
        <v>795</v>
      </c>
      <c r="F2089">
        <v>175480359</v>
      </c>
      <c r="G2089">
        <v>213061334</v>
      </c>
      <c r="P2089">
        <v>38</v>
      </c>
      <c r="Q2089" t="s">
        <v>4503</v>
      </c>
    </row>
    <row r="2090" spans="1:17" x14ac:dyDescent="0.3">
      <c r="A2090" t="s">
        <v>17</v>
      </c>
      <c r="B2090" t="str">
        <f>"688718"</f>
        <v>688718</v>
      </c>
      <c r="C2090" t="s">
        <v>4504</v>
      </c>
      <c r="D2090" t="s">
        <v>324</v>
      </c>
      <c r="F2090">
        <v>278567946</v>
      </c>
      <c r="G2090">
        <v>226365888</v>
      </c>
      <c r="P2090">
        <v>20</v>
      </c>
      <c r="Q2090" t="s">
        <v>4505</v>
      </c>
    </row>
    <row r="2091" spans="1:17" x14ac:dyDescent="0.3">
      <c r="A2091" t="s">
        <v>17</v>
      </c>
      <c r="B2091" t="str">
        <f>"688722"</f>
        <v>688722</v>
      </c>
      <c r="C2091" t="s">
        <v>4506</v>
      </c>
      <c r="D2091" t="s">
        <v>146</v>
      </c>
      <c r="F2091">
        <v>239746901</v>
      </c>
      <c r="G2091">
        <v>185623878</v>
      </c>
      <c r="P2091">
        <v>13</v>
      </c>
      <c r="Q2091" t="s">
        <v>4507</v>
      </c>
    </row>
    <row r="2092" spans="1:17" x14ac:dyDescent="0.3">
      <c r="A2092" t="s">
        <v>17</v>
      </c>
      <c r="B2092" t="str">
        <f>"688728"</f>
        <v>688728</v>
      </c>
      <c r="C2092" t="s">
        <v>4508</v>
      </c>
      <c r="D2092" t="s">
        <v>461</v>
      </c>
      <c r="F2092">
        <v>5928153607</v>
      </c>
      <c r="G2092">
        <v>4283200100</v>
      </c>
      <c r="P2092">
        <v>58</v>
      </c>
      <c r="Q2092" t="s">
        <v>4509</v>
      </c>
    </row>
    <row r="2093" spans="1:17" x14ac:dyDescent="0.3">
      <c r="A2093" t="s">
        <v>17</v>
      </c>
      <c r="B2093" t="str">
        <f>"688733"</f>
        <v>688733</v>
      </c>
      <c r="C2093" t="s">
        <v>4510</v>
      </c>
      <c r="D2093" t="s">
        <v>1786</v>
      </c>
      <c r="F2093">
        <v>113681229</v>
      </c>
      <c r="G2093">
        <v>60510467</v>
      </c>
      <c r="P2093">
        <v>47</v>
      </c>
      <c r="Q2093" t="s">
        <v>4511</v>
      </c>
    </row>
    <row r="2094" spans="1:17" x14ac:dyDescent="0.3">
      <c r="A2094" t="s">
        <v>17</v>
      </c>
      <c r="B2094" t="str">
        <f>"688737"</f>
        <v>688737</v>
      </c>
      <c r="C2094" t="s">
        <v>4512</v>
      </c>
      <c r="D2094" t="s">
        <v>985</v>
      </c>
      <c r="F2094">
        <v>785519296</v>
      </c>
      <c r="G2094">
        <v>1226356557</v>
      </c>
      <c r="P2094">
        <v>15</v>
      </c>
      <c r="Q2094" t="s">
        <v>4513</v>
      </c>
    </row>
    <row r="2095" spans="1:17" x14ac:dyDescent="0.3">
      <c r="A2095" t="s">
        <v>17</v>
      </c>
      <c r="B2095" t="str">
        <f>"688739"</f>
        <v>688739</v>
      </c>
      <c r="C2095" t="s">
        <v>4514</v>
      </c>
      <c r="D2095" t="s">
        <v>1499</v>
      </c>
      <c r="F2095">
        <v>1106912891</v>
      </c>
      <c r="G2095">
        <v>1555920942</v>
      </c>
      <c r="P2095">
        <v>36</v>
      </c>
      <c r="Q2095" t="s">
        <v>4515</v>
      </c>
    </row>
    <row r="2096" spans="1:17" x14ac:dyDescent="0.3">
      <c r="A2096" t="s">
        <v>17</v>
      </c>
      <c r="B2096" t="str">
        <f>"688766"</f>
        <v>688766</v>
      </c>
      <c r="C2096" t="s">
        <v>4516</v>
      </c>
      <c r="D2096" t="s">
        <v>461</v>
      </c>
      <c r="F2096">
        <v>846857716</v>
      </c>
      <c r="G2096">
        <v>378026260</v>
      </c>
      <c r="P2096">
        <v>42</v>
      </c>
      <c r="Q2096" t="s">
        <v>4517</v>
      </c>
    </row>
    <row r="2097" spans="1:17" x14ac:dyDescent="0.3">
      <c r="A2097" t="s">
        <v>17</v>
      </c>
      <c r="B2097" t="str">
        <f>"688767"</f>
        <v>688767</v>
      </c>
      <c r="C2097" t="s">
        <v>4518</v>
      </c>
      <c r="D2097" t="s">
        <v>1305</v>
      </c>
      <c r="F2097">
        <v>1474750037</v>
      </c>
      <c r="G2097">
        <v>651883260</v>
      </c>
      <c r="P2097">
        <v>43</v>
      </c>
      <c r="Q2097" t="s">
        <v>4519</v>
      </c>
    </row>
    <row r="2098" spans="1:17" x14ac:dyDescent="0.3">
      <c r="A2098" t="s">
        <v>17</v>
      </c>
      <c r="B2098" t="str">
        <f>"688768"</f>
        <v>688768</v>
      </c>
      <c r="C2098" t="s">
        <v>4520</v>
      </c>
      <c r="D2098" t="s">
        <v>2551</v>
      </c>
      <c r="F2098">
        <v>233520789</v>
      </c>
      <c r="G2098">
        <v>120603249</v>
      </c>
      <c r="P2098">
        <v>30</v>
      </c>
      <c r="Q2098" t="s">
        <v>4521</v>
      </c>
    </row>
    <row r="2099" spans="1:17" x14ac:dyDescent="0.3">
      <c r="A2099" t="s">
        <v>17</v>
      </c>
      <c r="B2099" t="str">
        <f>"688772"</f>
        <v>688772</v>
      </c>
      <c r="C2099" t="s">
        <v>4522</v>
      </c>
      <c r="D2099" t="s">
        <v>359</v>
      </c>
      <c r="F2099">
        <v>7153188157</v>
      </c>
      <c r="G2099">
        <v>4057822195</v>
      </c>
      <c r="P2099">
        <v>33</v>
      </c>
      <c r="Q2099" t="s">
        <v>4523</v>
      </c>
    </row>
    <row r="2100" spans="1:17" x14ac:dyDescent="0.3">
      <c r="A2100" t="s">
        <v>17</v>
      </c>
      <c r="B2100" t="str">
        <f>"688776"</f>
        <v>688776</v>
      </c>
      <c r="C2100" t="s">
        <v>4524</v>
      </c>
      <c r="D2100" t="s">
        <v>1136</v>
      </c>
      <c r="F2100">
        <v>195251965</v>
      </c>
      <c r="G2100">
        <v>193425390</v>
      </c>
      <c r="P2100">
        <v>23</v>
      </c>
      <c r="Q2100" t="s">
        <v>4525</v>
      </c>
    </row>
    <row r="2101" spans="1:17" x14ac:dyDescent="0.3">
      <c r="A2101" t="s">
        <v>17</v>
      </c>
      <c r="B2101" t="str">
        <f>"688777"</f>
        <v>688777</v>
      </c>
      <c r="C2101" t="s">
        <v>4526</v>
      </c>
      <c r="D2101" t="s">
        <v>2423</v>
      </c>
      <c r="F2101">
        <v>2536932807</v>
      </c>
      <c r="G2101">
        <v>1777734254</v>
      </c>
      <c r="H2101">
        <v>1607548795</v>
      </c>
      <c r="P2101">
        <v>180</v>
      </c>
      <c r="Q2101" t="s">
        <v>4527</v>
      </c>
    </row>
    <row r="2102" spans="1:17" x14ac:dyDescent="0.3">
      <c r="A2102" t="s">
        <v>17</v>
      </c>
      <c r="B2102" t="str">
        <f>"688778"</f>
        <v>688778</v>
      </c>
      <c r="C2102" t="s">
        <v>4528</v>
      </c>
      <c r="D2102" t="s">
        <v>1786</v>
      </c>
      <c r="F2102">
        <v>3485925713</v>
      </c>
      <c r="G2102">
        <v>2092787793</v>
      </c>
      <c r="P2102">
        <v>44</v>
      </c>
      <c r="Q2102" t="s">
        <v>4529</v>
      </c>
    </row>
    <row r="2103" spans="1:17" x14ac:dyDescent="0.3">
      <c r="A2103" t="s">
        <v>17</v>
      </c>
      <c r="B2103" t="str">
        <f>"688779"</f>
        <v>688779</v>
      </c>
      <c r="C2103" t="s">
        <v>4530</v>
      </c>
      <c r="D2103" t="s">
        <v>1786</v>
      </c>
      <c r="F2103">
        <v>1241193328</v>
      </c>
      <c r="P2103">
        <v>53</v>
      </c>
      <c r="Q2103" t="s">
        <v>4531</v>
      </c>
    </row>
    <row r="2104" spans="1:17" x14ac:dyDescent="0.3">
      <c r="A2104" t="s">
        <v>17</v>
      </c>
      <c r="B2104" t="str">
        <f>"688786"</f>
        <v>688786</v>
      </c>
      <c r="C2104" t="s">
        <v>4532</v>
      </c>
      <c r="D2104" t="s">
        <v>581</v>
      </c>
      <c r="F2104">
        <v>239184798</v>
      </c>
      <c r="G2104">
        <v>103008343</v>
      </c>
      <c r="P2104">
        <v>31</v>
      </c>
      <c r="Q2104" t="s">
        <v>4533</v>
      </c>
    </row>
    <row r="2105" spans="1:17" x14ac:dyDescent="0.3">
      <c r="A2105" t="s">
        <v>17</v>
      </c>
      <c r="B2105" t="str">
        <f>"688787"</f>
        <v>688787</v>
      </c>
      <c r="C2105" t="s">
        <v>4534</v>
      </c>
      <c r="D2105" t="s">
        <v>316</v>
      </c>
      <c r="F2105">
        <v>125726825</v>
      </c>
      <c r="G2105">
        <v>174550431</v>
      </c>
      <c r="P2105">
        <v>32</v>
      </c>
      <c r="Q2105" t="s">
        <v>4535</v>
      </c>
    </row>
    <row r="2106" spans="1:17" x14ac:dyDescent="0.3">
      <c r="A2106" t="s">
        <v>17</v>
      </c>
      <c r="B2106" t="str">
        <f>"688788"</f>
        <v>688788</v>
      </c>
      <c r="C2106" t="s">
        <v>4536</v>
      </c>
      <c r="D2106" t="s">
        <v>1136</v>
      </c>
      <c r="F2106">
        <v>334772660</v>
      </c>
      <c r="G2106">
        <v>491432987</v>
      </c>
      <c r="H2106">
        <v>117656891</v>
      </c>
      <c r="P2106">
        <v>57</v>
      </c>
      <c r="Q2106" t="s">
        <v>4537</v>
      </c>
    </row>
    <row r="2107" spans="1:17" x14ac:dyDescent="0.3">
      <c r="A2107" t="s">
        <v>17</v>
      </c>
      <c r="B2107" t="str">
        <f>"688789"</f>
        <v>688789</v>
      </c>
      <c r="C2107" t="s">
        <v>4538</v>
      </c>
      <c r="D2107" t="s">
        <v>534</v>
      </c>
      <c r="F2107">
        <v>567282629</v>
      </c>
      <c r="G2107">
        <v>387075112</v>
      </c>
      <c r="P2107">
        <v>43</v>
      </c>
      <c r="Q2107" t="s">
        <v>4539</v>
      </c>
    </row>
    <row r="2108" spans="1:17" x14ac:dyDescent="0.3">
      <c r="A2108" t="s">
        <v>17</v>
      </c>
      <c r="B2108" t="str">
        <f>"688793"</f>
        <v>688793</v>
      </c>
      <c r="C2108" t="s">
        <v>4540</v>
      </c>
      <c r="D2108" t="s">
        <v>3337</v>
      </c>
      <c r="F2108">
        <v>892488418</v>
      </c>
      <c r="G2108">
        <v>557992704</v>
      </c>
      <c r="P2108">
        <v>48</v>
      </c>
      <c r="Q2108" t="s">
        <v>4541</v>
      </c>
    </row>
    <row r="2109" spans="1:17" x14ac:dyDescent="0.3">
      <c r="A2109" t="s">
        <v>17</v>
      </c>
      <c r="B2109" t="str">
        <f>"688798"</f>
        <v>688798</v>
      </c>
      <c r="C2109" t="s">
        <v>4542</v>
      </c>
      <c r="D2109" t="s">
        <v>401</v>
      </c>
      <c r="F2109">
        <v>1818998967</v>
      </c>
      <c r="G2109">
        <v>1046384318</v>
      </c>
      <c r="P2109">
        <v>67</v>
      </c>
      <c r="Q2109" t="s">
        <v>4543</v>
      </c>
    </row>
    <row r="2110" spans="1:17" x14ac:dyDescent="0.3">
      <c r="A2110" t="s">
        <v>17</v>
      </c>
      <c r="B2110" t="str">
        <f>"688799"</f>
        <v>688799</v>
      </c>
      <c r="C2110" t="s">
        <v>4544</v>
      </c>
      <c r="D2110" t="s">
        <v>143</v>
      </c>
      <c r="F2110">
        <v>822521279</v>
      </c>
      <c r="G2110">
        <v>583043497</v>
      </c>
      <c r="P2110">
        <v>35</v>
      </c>
      <c r="Q2110" t="s">
        <v>4545</v>
      </c>
    </row>
    <row r="2111" spans="1:17" x14ac:dyDescent="0.3">
      <c r="A2111" t="s">
        <v>17</v>
      </c>
      <c r="B2111" t="str">
        <f>"688800"</f>
        <v>688800</v>
      </c>
      <c r="C2111" t="s">
        <v>4546</v>
      </c>
      <c r="D2111" t="s">
        <v>651</v>
      </c>
      <c r="F2111">
        <v>587221840</v>
      </c>
      <c r="G2111">
        <v>442406949</v>
      </c>
      <c r="P2111">
        <v>51</v>
      </c>
      <c r="Q2111" t="s">
        <v>4547</v>
      </c>
    </row>
    <row r="2112" spans="1:17" x14ac:dyDescent="0.3">
      <c r="A2112" t="s">
        <v>17</v>
      </c>
      <c r="B2112" t="str">
        <f>"688819"</f>
        <v>688819</v>
      </c>
      <c r="C2112" t="s">
        <v>4548</v>
      </c>
      <c r="D2112" t="s">
        <v>555</v>
      </c>
      <c r="F2112">
        <v>29386843121</v>
      </c>
      <c r="G2112">
        <v>26057793932</v>
      </c>
      <c r="H2112">
        <v>0</v>
      </c>
      <c r="P2112">
        <v>159</v>
      </c>
      <c r="Q2112" t="s">
        <v>4549</v>
      </c>
    </row>
    <row r="2113" spans="1:17" x14ac:dyDescent="0.3">
      <c r="A2113" t="s">
        <v>17</v>
      </c>
      <c r="B2113" t="str">
        <f>"688981"</f>
        <v>688981</v>
      </c>
      <c r="C2113" t="s">
        <v>4550</v>
      </c>
      <c r="D2113" t="s">
        <v>4269</v>
      </c>
      <c r="F2113">
        <v>30524987000</v>
      </c>
      <c r="G2113">
        <v>23234346000</v>
      </c>
      <c r="H2113">
        <v>0</v>
      </c>
      <c r="P2113">
        <v>1041</v>
      </c>
      <c r="Q2113" t="s">
        <v>4551</v>
      </c>
    </row>
    <row r="2114" spans="1:17" x14ac:dyDescent="0.3">
      <c r="A2114" t="s">
        <v>17</v>
      </c>
      <c r="B2114" t="str">
        <f>"689009"</f>
        <v>689009</v>
      </c>
      <c r="C2114" t="s">
        <v>4552</v>
      </c>
      <c r="D2114" t="s">
        <v>233</v>
      </c>
      <c r="F2114">
        <v>7609716300</v>
      </c>
      <c r="G2114">
        <v>4256552901</v>
      </c>
      <c r="H2114">
        <v>4526652739</v>
      </c>
      <c r="P2114">
        <v>114</v>
      </c>
      <c r="Q2114" t="s">
        <v>4553</v>
      </c>
    </row>
    <row r="2115" spans="1:17" x14ac:dyDescent="0.3">
      <c r="A2115" t="s">
        <v>17</v>
      </c>
      <c r="B2115" t="str">
        <f>"900901"</f>
        <v>900901</v>
      </c>
      <c r="C2115" t="s">
        <v>4554</v>
      </c>
      <c r="G2115">
        <v>474445667.66350001</v>
      </c>
      <c r="H2115">
        <v>452715634.74699998</v>
      </c>
      <c r="I2115">
        <v>460163812.55849999</v>
      </c>
      <c r="J2115">
        <v>456323337.5054</v>
      </c>
      <c r="K2115">
        <v>354366054.01289999</v>
      </c>
      <c r="L2115">
        <v>112625791.707</v>
      </c>
      <c r="M2115">
        <v>129034665.5688</v>
      </c>
      <c r="N2115">
        <v>144956401.6354</v>
      </c>
      <c r="O2115">
        <v>106765542.4259</v>
      </c>
      <c r="P2115">
        <v>7</v>
      </c>
      <c r="Q2115" t="s">
        <v>4555</v>
      </c>
    </row>
    <row r="2116" spans="1:17" x14ac:dyDescent="0.3">
      <c r="A2116" t="s">
        <v>17</v>
      </c>
      <c r="B2116" t="str">
        <f>"900902"</f>
        <v>900902</v>
      </c>
      <c r="C2116" t="s">
        <v>4556</v>
      </c>
      <c r="G2116">
        <v>194746268.5627</v>
      </c>
      <c r="H2116">
        <v>50137901.594300002</v>
      </c>
      <c r="I2116">
        <v>53984320.102499999</v>
      </c>
      <c r="J2116">
        <v>86722411.414000005</v>
      </c>
      <c r="K2116">
        <v>333828223.98360002</v>
      </c>
      <c r="L2116">
        <v>68729981.520199999</v>
      </c>
      <c r="M2116">
        <v>32680697.612399999</v>
      </c>
      <c r="N2116">
        <v>43794303.1294</v>
      </c>
      <c r="O2116">
        <v>19060433.1281</v>
      </c>
      <c r="P2116">
        <v>10</v>
      </c>
      <c r="Q2116" t="s">
        <v>4557</v>
      </c>
    </row>
    <row r="2117" spans="1:17" x14ac:dyDescent="0.3">
      <c r="A2117" t="s">
        <v>17</v>
      </c>
      <c r="B2117" t="str">
        <f>"900903"</f>
        <v>900903</v>
      </c>
      <c r="C2117" t="s">
        <v>4558</v>
      </c>
      <c r="G2117">
        <v>303666387.52130002</v>
      </c>
      <c r="H2117">
        <v>316556035.28259999</v>
      </c>
      <c r="I2117">
        <v>350968796.06699997</v>
      </c>
      <c r="J2117">
        <v>266626915.5318</v>
      </c>
      <c r="K2117">
        <v>474425994.50700003</v>
      </c>
      <c r="L2117">
        <v>326645503.5844</v>
      </c>
      <c r="M2117">
        <v>377805839.17229998</v>
      </c>
      <c r="N2117">
        <v>418684439.48140001</v>
      </c>
      <c r="O2117">
        <v>342453974.99860001</v>
      </c>
      <c r="P2117">
        <v>32</v>
      </c>
      <c r="Q2117" t="s">
        <v>4559</v>
      </c>
    </row>
    <row r="2118" spans="1:17" x14ac:dyDescent="0.3">
      <c r="A2118" t="s">
        <v>17</v>
      </c>
      <c r="B2118" t="str">
        <f>"900904"</f>
        <v>900904</v>
      </c>
      <c r="C2118" t="s">
        <v>4560</v>
      </c>
      <c r="G2118">
        <v>184352140.32030001</v>
      </c>
      <c r="H2118">
        <v>193381240.18830001</v>
      </c>
      <c r="I2118">
        <v>197646891.9765</v>
      </c>
      <c r="J2118">
        <v>191892933.1054</v>
      </c>
      <c r="K2118">
        <v>170396334.1117</v>
      </c>
      <c r="L2118">
        <v>145813179.14019999</v>
      </c>
      <c r="M2118">
        <v>131503220.2404</v>
      </c>
      <c r="N2118">
        <v>92157247.219400004</v>
      </c>
      <c r="O2118">
        <v>14053415.1655</v>
      </c>
      <c r="P2118">
        <v>8</v>
      </c>
      <c r="Q2118" t="s">
        <v>4561</v>
      </c>
    </row>
    <row r="2119" spans="1:17" x14ac:dyDescent="0.3">
      <c r="A2119" t="s">
        <v>17</v>
      </c>
      <c r="B2119" t="str">
        <f>"900905"</f>
        <v>900905</v>
      </c>
      <c r="C2119" t="s">
        <v>4562</v>
      </c>
      <c r="G2119">
        <v>6296722974.9502001</v>
      </c>
      <c r="H2119">
        <v>6128694530.9092999</v>
      </c>
      <c r="I2119">
        <v>5699225791.5959997</v>
      </c>
      <c r="J2119">
        <v>5237060920.5607996</v>
      </c>
      <c r="K2119">
        <v>4517993332.6583004</v>
      </c>
      <c r="L2119">
        <v>4714263793.8968</v>
      </c>
      <c r="M2119">
        <v>4794736991.5458002</v>
      </c>
      <c r="N2119">
        <v>4983042623.8260002</v>
      </c>
      <c r="O2119">
        <v>3832154673.2546</v>
      </c>
      <c r="P2119">
        <v>473</v>
      </c>
      <c r="Q2119" t="s">
        <v>4563</v>
      </c>
    </row>
    <row r="2120" spans="1:17" x14ac:dyDescent="0.3">
      <c r="A2120" t="s">
        <v>17</v>
      </c>
      <c r="B2120" t="str">
        <f>"900906"</f>
        <v>900906</v>
      </c>
      <c r="C2120" t="s">
        <v>4564</v>
      </c>
      <c r="F2120">
        <v>148165059.48550001</v>
      </c>
      <c r="G2120">
        <v>100610018.7624</v>
      </c>
      <c r="H2120">
        <v>0</v>
      </c>
      <c r="I2120">
        <v>0</v>
      </c>
      <c r="J2120">
        <v>56622795.982600003</v>
      </c>
      <c r="K2120">
        <v>3677853.7618</v>
      </c>
      <c r="L2120">
        <v>15695599.119200001</v>
      </c>
      <c r="M2120">
        <v>15343999.7895</v>
      </c>
      <c r="N2120">
        <v>8727970.6402000003</v>
      </c>
      <c r="O2120">
        <v>8354590.4687999999</v>
      </c>
      <c r="P2120">
        <v>4</v>
      </c>
      <c r="Q2120" t="s">
        <v>4565</v>
      </c>
    </row>
    <row r="2121" spans="1:17" x14ac:dyDescent="0.3">
      <c r="A2121" t="s">
        <v>17</v>
      </c>
      <c r="B2121" t="str">
        <f>"900907"</f>
        <v>900907</v>
      </c>
      <c r="C2121" t="s">
        <v>4566</v>
      </c>
      <c r="G2121">
        <v>3712938.4286000002</v>
      </c>
      <c r="H2121">
        <v>192536567.21740001</v>
      </c>
      <c r="I2121">
        <v>247578660.3795</v>
      </c>
      <c r="J2121">
        <v>229974703.73879999</v>
      </c>
      <c r="K2121">
        <v>263762772.59549999</v>
      </c>
      <c r="L2121">
        <v>221005799.3858</v>
      </c>
      <c r="M2121">
        <v>100297117.7001</v>
      </c>
      <c r="N2121">
        <v>158951230.75</v>
      </c>
      <c r="O2121">
        <v>135883994.35600001</v>
      </c>
      <c r="P2121">
        <v>4</v>
      </c>
      <c r="Q2121" t="s">
        <v>4567</v>
      </c>
    </row>
    <row r="2122" spans="1:17" x14ac:dyDescent="0.3">
      <c r="A2122" t="s">
        <v>17</v>
      </c>
      <c r="B2122" t="str">
        <f>"900908"</f>
        <v>900908</v>
      </c>
      <c r="C2122" t="s">
        <v>4568</v>
      </c>
      <c r="F2122">
        <v>561348005.29289997</v>
      </c>
      <c r="G2122">
        <v>531960336.81950003</v>
      </c>
      <c r="H2122">
        <v>790864179.06439996</v>
      </c>
      <c r="I2122">
        <v>788560296.76349998</v>
      </c>
      <c r="J2122">
        <v>832339302.74300003</v>
      </c>
      <c r="K2122">
        <v>838411860.78340006</v>
      </c>
      <c r="L2122">
        <v>847107348.02980006</v>
      </c>
      <c r="M2122">
        <v>889457239.47689998</v>
      </c>
      <c r="N2122">
        <v>916638596.44879997</v>
      </c>
      <c r="O2122">
        <v>735371409.8678</v>
      </c>
      <c r="P2122">
        <v>50</v>
      </c>
      <c r="Q2122" t="s">
        <v>4569</v>
      </c>
    </row>
    <row r="2123" spans="1:17" x14ac:dyDescent="0.3">
      <c r="A2123" t="s">
        <v>17</v>
      </c>
      <c r="B2123" t="str">
        <f>"900909"</f>
        <v>900909</v>
      </c>
      <c r="C2123" t="s">
        <v>4570</v>
      </c>
      <c r="G2123">
        <v>3393064545.0128002</v>
      </c>
      <c r="H2123">
        <v>5168273840.3290997</v>
      </c>
      <c r="I2123">
        <v>5700343720.3304996</v>
      </c>
      <c r="J2123">
        <v>6308634263.1850004</v>
      </c>
      <c r="K2123">
        <v>4915057463.1472998</v>
      </c>
      <c r="L2123">
        <v>4658215343.0956001</v>
      </c>
      <c r="M2123">
        <v>1487798036.1387</v>
      </c>
      <c r="N2123">
        <v>1409238618.5899999</v>
      </c>
      <c r="O2123">
        <v>1392325651.8288</v>
      </c>
      <c r="P2123">
        <v>24</v>
      </c>
      <c r="Q2123" t="s">
        <v>4571</v>
      </c>
    </row>
    <row r="2124" spans="1:17" x14ac:dyDescent="0.3">
      <c r="A2124" t="s">
        <v>17</v>
      </c>
      <c r="B2124" t="str">
        <f>"900910"</f>
        <v>900910</v>
      </c>
      <c r="C2124" t="s">
        <v>4572</v>
      </c>
      <c r="G2124">
        <v>1061026244.4219</v>
      </c>
      <c r="H2124">
        <v>1036449767.3787</v>
      </c>
      <c r="I2124">
        <v>1083302636.4974999</v>
      </c>
      <c r="J2124">
        <v>1012747019.067</v>
      </c>
      <c r="K2124">
        <v>838184128.80599999</v>
      </c>
      <c r="L2124">
        <v>846970261.3944</v>
      </c>
      <c r="M2124">
        <v>808071964.37100005</v>
      </c>
      <c r="N2124">
        <v>832023711.85539997</v>
      </c>
      <c r="O2124">
        <v>837068472.56920004</v>
      </c>
      <c r="P2124">
        <v>13</v>
      </c>
      <c r="Q2124" t="s">
        <v>4573</v>
      </c>
    </row>
    <row r="2125" spans="1:17" x14ac:dyDescent="0.3">
      <c r="A2125" t="s">
        <v>17</v>
      </c>
      <c r="B2125" t="str">
        <f>"900911"</f>
        <v>900911</v>
      </c>
      <c r="C2125" t="s">
        <v>4574</v>
      </c>
      <c r="G2125">
        <v>945830434.66349995</v>
      </c>
      <c r="H2125">
        <v>296543598.67790002</v>
      </c>
      <c r="I2125">
        <v>227273089.81650001</v>
      </c>
      <c r="J2125">
        <v>295925570.98860002</v>
      </c>
      <c r="K2125">
        <v>258264510.89860001</v>
      </c>
      <c r="L2125">
        <v>190838074.88460001</v>
      </c>
      <c r="M2125">
        <v>203572894.64309999</v>
      </c>
      <c r="N2125">
        <v>159940815.1372</v>
      </c>
      <c r="O2125">
        <v>145319201.09349999</v>
      </c>
      <c r="P2125">
        <v>73</v>
      </c>
      <c r="Q2125" t="s">
        <v>4575</v>
      </c>
    </row>
    <row r="2126" spans="1:17" x14ac:dyDescent="0.3">
      <c r="A2126" t="s">
        <v>17</v>
      </c>
      <c r="B2126" t="str">
        <f>"900912"</f>
        <v>900912</v>
      </c>
      <c r="C2126" t="s">
        <v>4576</v>
      </c>
      <c r="G2126">
        <v>1062656771.9522001</v>
      </c>
      <c r="H2126">
        <v>786240615.85020006</v>
      </c>
      <c r="I2126">
        <v>758995828.46249998</v>
      </c>
      <c r="J2126">
        <v>1187121939.1733999</v>
      </c>
      <c r="K2126">
        <v>744769043.27520001</v>
      </c>
      <c r="L2126">
        <v>930587652.40869999</v>
      </c>
      <c r="M2126">
        <v>781261994.44620001</v>
      </c>
      <c r="N2126">
        <v>696506780.99660003</v>
      </c>
      <c r="O2126">
        <v>796507432.6552</v>
      </c>
      <c r="P2126">
        <v>18</v>
      </c>
      <c r="Q2126" t="s">
        <v>4577</v>
      </c>
    </row>
    <row r="2127" spans="1:17" x14ac:dyDescent="0.3">
      <c r="A2127" t="s">
        <v>17</v>
      </c>
      <c r="B2127" t="str">
        <f>"900913"</f>
        <v>900913</v>
      </c>
      <c r="C2127" t="s">
        <v>4578</v>
      </c>
      <c r="G2127">
        <v>863846005.79419994</v>
      </c>
      <c r="H2127">
        <v>1065390717.1154</v>
      </c>
      <c r="I2127">
        <v>976728178.74749994</v>
      </c>
      <c r="J2127">
        <v>817445363.65040004</v>
      </c>
      <c r="K2127">
        <v>711121583.72930002</v>
      </c>
      <c r="L2127">
        <v>827325666.06690001</v>
      </c>
      <c r="M2127">
        <v>611725364.71560001</v>
      </c>
      <c r="N2127">
        <v>0</v>
      </c>
      <c r="O2127">
        <v>1675943.3308999999</v>
      </c>
      <c r="P2127">
        <v>7</v>
      </c>
      <c r="Q2127" t="s">
        <v>4579</v>
      </c>
    </row>
    <row r="2128" spans="1:17" x14ac:dyDescent="0.3">
      <c r="A2128" t="s">
        <v>17</v>
      </c>
      <c r="B2128" t="str">
        <f>"900914"</f>
        <v>900914</v>
      </c>
      <c r="C2128" t="s">
        <v>4580</v>
      </c>
      <c r="G2128">
        <v>304586462.77249998</v>
      </c>
      <c r="H2128">
        <v>277444688.92760003</v>
      </c>
      <c r="I2128">
        <v>257064255.12</v>
      </c>
      <c r="J2128">
        <v>300787285.89359999</v>
      </c>
      <c r="K2128">
        <v>280415076.9533</v>
      </c>
      <c r="L2128">
        <v>268981196.87010002</v>
      </c>
      <c r="M2128">
        <v>282246876.1584</v>
      </c>
      <c r="N2128">
        <v>269410152.32279998</v>
      </c>
      <c r="O2128">
        <v>262660374.60210001</v>
      </c>
      <c r="P2128">
        <v>20</v>
      </c>
      <c r="Q2128" t="s">
        <v>4581</v>
      </c>
    </row>
    <row r="2129" spans="1:17" x14ac:dyDescent="0.3">
      <c r="A2129" t="s">
        <v>17</v>
      </c>
      <c r="B2129" t="str">
        <f>"900915"</f>
        <v>900915</v>
      </c>
      <c r="C2129" t="s">
        <v>4582</v>
      </c>
      <c r="G2129">
        <v>82490602.158700004</v>
      </c>
      <c r="H2129">
        <v>60609344.965499997</v>
      </c>
      <c r="I2129">
        <v>55386491.817000002</v>
      </c>
      <c r="J2129">
        <v>69722260.077800006</v>
      </c>
      <c r="K2129">
        <v>76444984.029100001</v>
      </c>
      <c r="L2129">
        <v>75393515.311399996</v>
      </c>
      <c r="M2129">
        <v>79005164.219999999</v>
      </c>
      <c r="N2129">
        <v>73370750.850199997</v>
      </c>
      <c r="O2129">
        <v>66361400.249700002</v>
      </c>
      <c r="P2129">
        <v>6</v>
      </c>
      <c r="Q2129" t="s">
        <v>4583</v>
      </c>
    </row>
    <row r="2130" spans="1:17" x14ac:dyDescent="0.3">
      <c r="A2130" t="s">
        <v>17</v>
      </c>
      <c r="B2130" t="str">
        <f>"900916"</f>
        <v>900916</v>
      </c>
      <c r="C2130" t="s">
        <v>4584</v>
      </c>
      <c r="G2130">
        <v>154826342.6494</v>
      </c>
      <c r="H2130">
        <v>116966440.2033</v>
      </c>
      <c r="I2130">
        <v>94360002.943499997</v>
      </c>
      <c r="J2130">
        <v>175884665.77020001</v>
      </c>
      <c r="K2130">
        <v>64971216.960000001</v>
      </c>
      <c r="L2130">
        <v>69581248.222200006</v>
      </c>
      <c r="M2130">
        <v>78302039.927399993</v>
      </c>
      <c r="N2130">
        <v>0</v>
      </c>
      <c r="O2130">
        <v>96425426.754999995</v>
      </c>
      <c r="P2130">
        <v>7</v>
      </c>
      <c r="Q2130" t="s">
        <v>4585</v>
      </c>
    </row>
    <row r="2131" spans="1:17" x14ac:dyDescent="0.3">
      <c r="A2131" t="s">
        <v>17</v>
      </c>
      <c r="B2131" t="str">
        <f>"900917"</f>
        <v>900917</v>
      </c>
      <c r="C2131" t="s">
        <v>4586</v>
      </c>
      <c r="G2131">
        <v>123417186.023</v>
      </c>
      <c r="H2131">
        <v>150157670.71509999</v>
      </c>
      <c r="I2131">
        <v>125517133.74150001</v>
      </c>
      <c r="J2131">
        <v>133730598.6882</v>
      </c>
      <c r="K2131">
        <v>122995164.17290001</v>
      </c>
      <c r="L2131">
        <v>139601033.42899999</v>
      </c>
      <c r="M2131">
        <v>152361169.02450001</v>
      </c>
      <c r="N2131">
        <v>167519601.2572</v>
      </c>
      <c r="O2131">
        <v>155552965.57390001</v>
      </c>
      <c r="P2131">
        <v>12</v>
      </c>
      <c r="Q2131" t="s">
        <v>4587</v>
      </c>
    </row>
    <row r="2132" spans="1:17" x14ac:dyDescent="0.3">
      <c r="A2132" t="s">
        <v>17</v>
      </c>
      <c r="B2132" t="str">
        <f>"900918"</f>
        <v>900918</v>
      </c>
      <c r="C2132" t="s">
        <v>4588</v>
      </c>
      <c r="F2132">
        <v>566000471.6013</v>
      </c>
      <c r="G2132">
        <v>451265327.17949998</v>
      </c>
      <c r="H2132">
        <v>506703667.30199999</v>
      </c>
      <c r="I2132">
        <v>440395238.55449998</v>
      </c>
      <c r="J2132">
        <v>386836264.94340003</v>
      </c>
      <c r="K2132">
        <v>379607686.23210001</v>
      </c>
      <c r="L2132">
        <v>370762320.2712</v>
      </c>
      <c r="M2132">
        <v>356945794.35390002</v>
      </c>
      <c r="N2132">
        <v>353502051.68660003</v>
      </c>
      <c r="O2132">
        <v>281028476.12519997</v>
      </c>
      <c r="P2132">
        <v>10</v>
      </c>
      <c r="Q2132" t="s">
        <v>4589</v>
      </c>
    </row>
    <row r="2133" spans="1:17" x14ac:dyDescent="0.3">
      <c r="A2133" t="s">
        <v>17</v>
      </c>
      <c r="B2133" t="str">
        <f>"900919"</f>
        <v>900919</v>
      </c>
      <c r="C2133" t="s">
        <v>4590</v>
      </c>
      <c r="G2133">
        <v>1266138.2866</v>
      </c>
      <c r="H2133">
        <v>3058578.5794000002</v>
      </c>
      <c r="I2133">
        <v>4133656.4550000001</v>
      </c>
      <c r="J2133">
        <v>3951074.6847999999</v>
      </c>
      <c r="K2133">
        <v>4616622.1486999998</v>
      </c>
      <c r="L2133">
        <v>34233867.839599997</v>
      </c>
      <c r="M2133">
        <v>27379977.3873</v>
      </c>
      <c r="N2133">
        <v>34647217.698399998</v>
      </c>
      <c r="O2133">
        <v>39301139.901100002</v>
      </c>
      <c r="P2133">
        <v>5</v>
      </c>
      <c r="Q2133" t="s">
        <v>4591</v>
      </c>
    </row>
    <row r="2134" spans="1:17" x14ac:dyDescent="0.3">
      <c r="A2134" t="s">
        <v>17</v>
      </c>
      <c r="B2134" t="str">
        <f>"900920"</f>
        <v>900920</v>
      </c>
      <c r="C2134" t="s">
        <v>4592</v>
      </c>
      <c r="G2134">
        <v>450945485.79579997</v>
      </c>
      <c r="H2134">
        <v>439829149.99839997</v>
      </c>
      <c r="I2134">
        <v>462140392.083</v>
      </c>
      <c r="J2134">
        <v>347695684.7938</v>
      </c>
      <c r="K2134">
        <v>273470499.26029998</v>
      </c>
      <c r="L2134">
        <v>312162633.51130003</v>
      </c>
      <c r="M2134">
        <v>403453353.71969998</v>
      </c>
      <c r="N2134">
        <v>294578355.79100001</v>
      </c>
      <c r="O2134">
        <v>412285462.39130002</v>
      </c>
      <c r="P2134">
        <v>12</v>
      </c>
      <c r="Q2134" t="s">
        <v>4593</v>
      </c>
    </row>
    <row r="2135" spans="1:17" x14ac:dyDescent="0.3">
      <c r="A2135" t="s">
        <v>17</v>
      </c>
      <c r="B2135" t="str">
        <f>"900921"</f>
        <v>900921</v>
      </c>
      <c r="C2135" t="s">
        <v>4594</v>
      </c>
      <c r="G2135">
        <v>100609672.2098</v>
      </c>
      <c r="H2135">
        <v>173133435.5438</v>
      </c>
      <c r="I2135">
        <v>179518812.285</v>
      </c>
      <c r="J2135">
        <v>148532179.3502</v>
      </c>
      <c r="K2135">
        <v>94211990.956100002</v>
      </c>
      <c r="L2135">
        <v>152428191.38690001</v>
      </c>
      <c r="M2135">
        <v>152684496.20249999</v>
      </c>
      <c r="N2135">
        <v>93854659.001200005</v>
      </c>
      <c r="O2135">
        <v>147154664.28929999</v>
      </c>
      <c r="P2135">
        <v>6</v>
      </c>
      <c r="Q2135" t="s">
        <v>4595</v>
      </c>
    </row>
    <row r="2136" spans="1:17" x14ac:dyDescent="0.3">
      <c r="A2136" t="s">
        <v>17</v>
      </c>
      <c r="B2136" t="str">
        <f>"900922"</f>
        <v>900922</v>
      </c>
      <c r="C2136" t="s">
        <v>4596</v>
      </c>
      <c r="G2136">
        <v>133898608.704</v>
      </c>
      <c r="H2136">
        <v>137297619.65180001</v>
      </c>
      <c r="I2136">
        <v>144183906.9585</v>
      </c>
      <c r="J2136">
        <v>141780510.7624</v>
      </c>
      <c r="K2136">
        <v>114924144.9419</v>
      </c>
      <c r="L2136">
        <v>129481555.08859999</v>
      </c>
      <c r="M2136">
        <v>161509544.73269999</v>
      </c>
      <c r="N2136">
        <v>197658737.62979999</v>
      </c>
      <c r="O2136">
        <v>289502400.5036</v>
      </c>
      <c r="P2136">
        <v>9</v>
      </c>
      <c r="Q2136" t="s">
        <v>4597</v>
      </c>
    </row>
    <row r="2137" spans="1:17" x14ac:dyDescent="0.3">
      <c r="A2137" t="s">
        <v>17</v>
      </c>
      <c r="B2137" t="str">
        <f>"900923"</f>
        <v>900923</v>
      </c>
      <c r="C2137" t="s">
        <v>4598</v>
      </c>
      <c r="G2137">
        <v>5658527106.2173996</v>
      </c>
      <c r="H2137">
        <v>5928557501.5340004</v>
      </c>
      <c r="I2137">
        <v>5958689223.4245005</v>
      </c>
      <c r="J2137">
        <v>6009966718.6498003</v>
      </c>
      <c r="K2137">
        <v>6153799317.7749996</v>
      </c>
      <c r="L2137">
        <v>6620050544.6218004</v>
      </c>
      <c r="M2137">
        <v>7126348723.3683004</v>
      </c>
      <c r="N2137">
        <v>7767880251.6952</v>
      </c>
      <c r="O2137">
        <v>6737553952.6750002</v>
      </c>
      <c r="P2137">
        <v>26</v>
      </c>
      <c r="Q2137" t="s">
        <v>4599</v>
      </c>
    </row>
    <row r="2138" spans="1:17" x14ac:dyDescent="0.3">
      <c r="A2138" t="s">
        <v>17</v>
      </c>
      <c r="B2138" t="str">
        <f>"900924"</f>
        <v>900924</v>
      </c>
      <c r="C2138" t="s">
        <v>4600</v>
      </c>
      <c r="G2138">
        <v>353358930.47500002</v>
      </c>
      <c r="H2138">
        <v>346447634.47860003</v>
      </c>
      <c r="I2138">
        <v>343977574.611</v>
      </c>
      <c r="J2138">
        <v>350188405.94639999</v>
      </c>
      <c r="K2138">
        <v>317495760.65619999</v>
      </c>
      <c r="L2138">
        <v>305677917.4163</v>
      </c>
      <c r="M2138">
        <v>260003502.29609999</v>
      </c>
      <c r="N2138">
        <v>242596916.08660001</v>
      </c>
      <c r="O2138">
        <v>222063026.47710001</v>
      </c>
      <c r="P2138">
        <v>11</v>
      </c>
      <c r="Q2138" t="s">
        <v>4601</v>
      </c>
    </row>
    <row r="2139" spans="1:17" x14ac:dyDescent="0.3">
      <c r="A2139" t="s">
        <v>17</v>
      </c>
      <c r="B2139" t="str">
        <f>"900925"</f>
        <v>900925</v>
      </c>
      <c r="C2139" t="s">
        <v>4602</v>
      </c>
      <c r="G2139">
        <v>2595986516.5774002</v>
      </c>
      <c r="H2139">
        <v>2348364233.8144002</v>
      </c>
      <c r="I2139">
        <v>2372555818.98</v>
      </c>
      <c r="J2139">
        <v>2449731455.6283998</v>
      </c>
      <c r="K2139">
        <v>2407314492.1406002</v>
      </c>
      <c r="L2139">
        <v>2641838402.8179002</v>
      </c>
      <c r="M2139">
        <v>3164026588.461</v>
      </c>
      <c r="N2139">
        <v>2933539382.6697998</v>
      </c>
      <c r="O2139">
        <v>2723228644.5601001</v>
      </c>
      <c r="P2139">
        <v>83</v>
      </c>
      <c r="Q2139" t="s">
        <v>4603</v>
      </c>
    </row>
    <row r="2140" spans="1:17" x14ac:dyDescent="0.3">
      <c r="A2140" t="s">
        <v>17</v>
      </c>
      <c r="B2140" t="str">
        <f>"900926"</f>
        <v>900926</v>
      </c>
      <c r="C2140" t="s">
        <v>4604</v>
      </c>
      <c r="G2140">
        <v>720861044.36300004</v>
      </c>
      <c r="H2140">
        <v>614170638.69029999</v>
      </c>
      <c r="I2140">
        <v>501950554.1085</v>
      </c>
      <c r="J2140">
        <v>509068869.48640001</v>
      </c>
      <c r="K2140">
        <v>420002259.9012</v>
      </c>
      <c r="L2140">
        <v>442309478.72539997</v>
      </c>
      <c r="M2140">
        <v>386152357.22369999</v>
      </c>
      <c r="N2140">
        <v>320522936.87540001</v>
      </c>
      <c r="O2140">
        <v>305221015.45429999</v>
      </c>
      <c r="P2140">
        <v>63</v>
      </c>
      <c r="Q2140" t="s">
        <v>4605</v>
      </c>
    </row>
    <row r="2141" spans="1:17" x14ac:dyDescent="0.3">
      <c r="A2141" t="s">
        <v>17</v>
      </c>
      <c r="B2141" t="str">
        <f>"900927"</f>
        <v>900927</v>
      </c>
      <c r="C2141" t="s">
        <v>4606</v>
      </c>
      <c r="G2141">
        <v>976642460.84379995</v>
      </c>
      <c r="H2141">
        <v>913698033.80159998</v>
      </c>
      <c r="I2141">
        <v>818527787.55149996</v>
      </c>
      <c r="J2141">
        <v>781068465.00279999</v>
      </c>
      <c r="K2141">
        <v>2464297296.1620002</v>
      </c>
      <c r="L2141">
        <v>8949699495.3794994</v>
      </c>
      <c r="M2141">
        <v>10682053970.2659</v>
      </c>
      <c r="N2141">
        <v>15018260206.395</v>
      </c>
      <c r="O2141">
        <v>13458236929.8948</v>
      </c>
      <c r="P2141">
        <v>5</v>
      </c>
      <c r="Q2141" t="s">
        <v>4607</v>
      </c>
    </row>
    <row r="2142" spans="1:17" x14ac:dyDescent="0.3">
      <c r="A2142" t="s">
        <v>17</v>
      </c>
      <c r="B2142" t="str">
        <f>"900928"</f>
        <v>900928</v>
      </c>
      <c r="C2142" t="s">
        <v>4608</v>
      </c>
      <c r="G2142">
        <v>483691345.3994</v>
      </c>
      <c r="H2142">
        <v>330403440.10909998</v>
      </c>
      <c r="I2142">
        <v>144465957.39899999</v>
      </c>
      <c r="J2142">
        <v>265866996.65580001</v>
      </c>
      <c r="K2142">
        <v>109019646.45020001</v>
      </c>
      <c r="L2142">
        <v>72848016.240999997</v>
      </c>
      <c r="M2142">
        <v>104283722.6478</v>
      </c>
      <c r="N2142">
        <v>106370142.7844</v>
      </c>
      <c r="O2142">
        <v>92276055.479800001</v>
      </c>
      <c r="P2142">
        <v>14</v>
      </c>
      <c r="Q2142" t="s">
        <v>4609</v>
      </c>
    </row>
    <row r="2143" spans="1:17" x14ac:dyDescent="0.3">
      <c r="A2143" t="s">
        <v>17</v>
      </c>
      <c r="B2143" t="str">
        <f>"900929"</f>
        <v>900929</v>
      </c>
      <c r="C2143" t="s">
        <v>4610</v>
      </c>
      <c r="F2143">
        <v>36741194.222999997</v>
      </c>
      <c r="G2143">
        <v>29927986.3882</v>
      </c>
      <c r="H2143">
        <v>144559572.21509999</v>
      </c>
      <c r="I2143">
        <v>165476381.0325</v>
      </c>
      <c r="J2143">
        <v>185343646.40079999</v>
      </c>
      <c r="K2143">
        <v>200630955.60080001</v>
      </c>
      <c r="L2143">
        <v>250670292.08649999</v>
      </c>
      <c r="M2143">
        <v>258899272.75440001</v>
      </c>
      <c r="N2143">
        <v>258519316.6674</v>
      </c>
      <c r="O2143">
        <v>248397370.16530001</v>
      </c>
      <c r="P2143">
        <v>11</v>
      </c>
      <c r="Q2143" t="s">
        <v>4611</v>
      </c>
    </row>
    <row r="2144" spans="1:17" x14ac:dyDescent="0.3">
      <c r="A2144" t="s">
        <v>17</v>
      </c>
      <c r="B2144" t="str">
        <f>"900930"</f>
        <v>900930</v>
      </c>
      <c r="C2144" t="s">
        <v>4612</v>
      </c>
      <c r="H2144">
        <v>38300672.301799998</v>
      </c>
      <c r="I2144">
        <v>35359908.046499997</v>
      </c>
      <c r="J2144">
        <v>79367326.943000004</v>
      </c>
      <c r="K2144">
        <v>92021844.178000003</v>
      </c>
      <c r="L2144">
        <v>129606698.8064</v>
      </c>
      <c r="M2144">
        <v>160968369.93329999</v>
      </c>
      <c r="N2144">
        <v>181501607.1205</v>
      </c>
      <c r="O2144">
        <v>151221271.34990001</v>
      </c>
      <c r="P2144">
        <v>1</v>
      </c>
      <c r="Q2144" t="s">
        <v>4613</v>
      </c>
    </row>
    <row r="2145" spans="1:17" x14ac:dyDescent="0.3">
      <c r="A2145" t="s">
        <v>17</v>
      </c>
      <c r="B2145" t="str">
        <f>"900931"</f>
        <v>900931</v>
      </c>
      <c r="C2145" t="s">
        <v>4614</v>
      </c>
      <c r="K2145">
        <v>3163063.3623000002</v>
      </c>
      <c r="L2145">
        <v>2283252.5389</v>
      </c>
      <c r="M2145">
        <v>4246571.0922999997</v>
      </c>
      <c r="N2145">
        <v>1516554.2189</v>
      </c>
      <c r="O2145">
        <v>1326899.7720999999</v>
      </c>
      <c r="P2145">
        <v>1</v>
      </c>
      <c r="Q2145" t="s">
        <v>4615</v>
      </c>
    </row>
    <row r="2146" spans="1:17" x14ac:dyDescent="0.3">
      <c r="A2146" t="s">
        <v>17</v>
      </c>
      <c r="B2146" t="str">
        <f>"900932"</f>
        <v>900932</v>
      </c>
      <c r="C2146" t="s">
        <v>4616</v>
      </c>
      <c r="G2146">
        <v>976579607.60979998</v>
      </c>
      <c r="H2146">
        <v>853130691.01310003</v>
      </c>
      <c r="I2146">
        <v>1341851727.1199999</v>
      </c>
      <c r="J2146">
        <v>611390625.13080001</v>
      </c>
      <c r="K2146">
        <v>1183050465.3388</v>
      </c>
      <c r="L2146">
        <v>1016717775.4877</v>
      </c>
      <c r="M2146">
        <v>621309963.65489995</v>
      </c>
      <c r="N2146">
        <v>595021911.28100002</v>
      </c>
      <c r="O2146">
        <v>843053603.44350004</v>
      </c>
      <c r="P2146">
        <v>138</v>
      </c>
      <c r="Q2146" t="s">
        <v>4617</v>
      </c>
    </row>
    <row r="2147" spans="1:17" x14ac:dyDescent="0.3">
      <c r="A2147" t="s">
        <v>17</v>
      </c>
      <c r="B2147" t="str">
        <f>"900933"</f>
        <v>900933</v>
      </c>
      <c r="C2147" t="s">
        <v>4618</v>
      </c>
      <c r="G2147">
        <v>3363353728.4334002</v>
      </c>
      <c r="H2147">
        <v>3616912123.1781998</v>
      </c>
      <c r="I2147">
        <v>3216060311.1314998</v>
      </c>
      <c r="J2147">
        <v>2408805836.7964001</v>
      </c>
      <c r="K2147">
        <v>1602891450.9779</v>
      </c>
      <c r="L2147">
        <v>1835586373.3206999</v>
      </c>
      <c r="M2147">
        <v>2209569127.8200998</v>
      </c>
      <c r="N2147">
        <v>1884408455.3757999</v>
      </c>
      <c r="O2147">
        <v>1601652997.7534001</v>
      </c>
      <c r="P2147">
        <v>142</v>
      </c>
      <c r="Q2147" t="s">
        <v>4619</v>
      </c>
    </row>
    <row r="2148" spans="1:17" x14ac:dyDescent="0.3">
      <c r="A2148" t="s">
        <v>17</v>
      </c>
      <c r="B2148" t="str">
        <f>"900934"</f>
        <v>900934</v>
      </c>
      <c r="C2148" t="s">
        <v>4620</v>
      </c>
      <c r="G2148">
        <v>1084178298.1702001</v>
      </c>
      <c r="H2148">
        <v>1618841322.1001</v>
      </c>
      <c r="I2148">
        <v>1691600517.7635</v>
      </c>
      <c r="J2148">
        <v>1555521423.7258</v>
      </c>
      <c r="K2148">
        <v>1156440817.0887001</v>
      </c>
      <c r="L2148">
        <v>634753089.69930005</v>
      </c>
      <c r="M2148">
        <v>350110800.153</v>
      </c>
      <c r="N2148">
        <v>309743640.18419999</v>
      </c>
      <c r="O2148">
        <v>277417385.97079998</v>
      </c>
      <c r="P2148">
        <v>47</v>
      </c>
      <c r="Q2148" t="s">
        <v>4621</v>
      </c>
    </row>
    <row r="2149" spans="1:17" x14ac:dyDescent="0.3">
      <c r="A2149" t="s">
        <v>17</v>
      </c>
      <c r="B2149" t="str">
        <f>"900935"</f>
        <v>900935</v>
      </c>
      <c r="C2149" t="s">
        <v>4622</v>
      </c>
      <c r="K2149">
        <v>45399402.565700002</v>
      </c>
      <c r="L2149">
        <v>46724388.179200001</v>
      </c>
      <c r="M2149">
        <v>47613081.777999997</v>
      </c>
      <c r="N2149">
        <v>47130436.390100002</v>
      </c>
      <c r="O2149">
        <v>57231402.675800003</v>
      </c>
      <c r="P2149">
        <v>1</v>
      </c>
      <c r="Q2149" t="s">
        <v>4623</v>
      </c>
    </row>
    <row r="2150" spans="1:17" x14ac:dyDescent="0.3">
      <c r="A2150" t="s">
        <v>17</v>
      </c>
      <c r="B2150" t="str">
        <f>"900936"</f>
        <v>900936</v>
      </c>
      <c r="C2150" t="s">
        <v>4624</v>
      </c>
      <c r="G2150">
        <v>1726609641.2757001</v>
      </c>
      <c r="H2150">
        <v>2754822525.0585999</v>
      </c>
      <c r="I2150">
        <v>3436988444.9505</v>
      </c>
      <c r="J2150">
        <v>2401728735.4260001</v>
      </c>
      <c r="K2150">
        <v>2284840371.8234</v>
      </c>
      <c r="L2150">
        <v>2098690277.4837999</v>
      </c>
      <c r="M2150">
        <v>2429411505.8597999</v>
      </c>
      <c r="N2150">
        <v>1889923050.3092</v>
      </c>
      <c r="O2150">
        <v>1839518052.1292</v>
      </c>
      <c r="P2150">
        <v>53</v>
      </c>
      <c r="Q2150" t="s">
        <v>4625</v>
      </c>
    </row>
    <row r="2151" spans="1:17" x14ac:dyDescent="0.3">
      <c r="A2151" t="s">
        <v>17</v>
      </c>
      <c r="B2151" t="str">
        <f>"900937"</f>
        <v>900937</v>
      </c>
      <c r="C2151" t="s">
        <v>4626</v>
      </c>
      <c r="G2151">
        <v>1382203569.0153999</v>
      </c>
      <c r="H2151">
        <v>1125468527.9795001</v>
      </c>
      <c r="I2151">
        <v>1040794094.7645</v>
      </c>
      <c r="J2151">
        <v>860276296.51839995</v>
      </c>
      <c r="K2151">
        <v>992080642.68599999</v>
      </c>
      <c r="L2151">
        <v>1148651239.1354001</v>
      </c>
      <c r="M2151">
        <v>1320507273.033</v>
      </c>
      <c r="N2151">
        <v>1685110189.1070001</v>
      </c>
      <c r="O2151">
        <v>1394671392.3180001</v>
      </c>
      <c r="P2151">
        <v>10</v>
      </c>
      <c r="Q2151" t="s">
        <v>4627</v>
      </c>
    </row>
    <row r="2152" spans="1:17" x14ac:dyDescent="0.3">
      <c r="A2152" t="s">
        <v>17</v>
      </c>
      <c r="B2152" t="str">
        <f>"900938"</f>
        <v>900938</v>
      </c>
      <c r="C2152" t="s">
        <v>4628</v>
      </c>
      <c r="G2152">
        <v>35322427276.639999</v>
      </c>
      <c r="H2152">
        <v>34585720555.5</v>
      </c>
      <c r="I2152">
        <v>34554265671</v>
      </c>
      <c r="J2152">
        <v>33966113097</v>
      </c>
      <c r="K2152">
        <v>241022280.03749999</v>
      </c>
      <c r="L2152">
        <v>34737420.532099999</v>
      </c>
      <c r="M2152">
        <v>36095539.1985</v>
      </c>
      <c r="N2152">
        <v>27963072.068799999</v>
      </c>
      <c r="O2152">
        <v>13859094.562100001</v>
      </c>
      <c r="P2152">
        <v>12</v>
      </c>
      <c r="Q2152" t="s">
        <v>4629</v>
      </c>
    </row>
    <row r="2153" spans="1:17" x14ac:dyDescent="0.3">
      <c r="A2153" t="s">
        <v>17</v>
      </c>
      <c r="B2153" t="str">
        <f>"900939"</f>
        <v>900939</v>
      </c>
      <c r="C2153" t="s">
        <v>4630</v>
      </c>
      <c r="F2153">
        <v>2254274.0734999999</v>
      </c>
      <c r="G2153">
        <v>2195891.4824000001</v>
      </c>
      <c r="H2153">
        <v>1152380.5027000001</v>
      </c>
      <c r="I2153">
        <v>1622206.4175</v>
      </c>
      <c r="J2153">
        <v>1521505.723</v>
      </c>
      <c r="K2153">
        <v>1228779.0175000001</v>
      </c>
      <c r="L2153">
        <v>1028569.7565</v>
      </c>
      <c r="M2153">
        <v>1206943.2045</v>
      </c>
      <c r="N2153">
        <v>1267281.2165999999</v>
      </c>
      <c r="O2153">
        <v>1311282.7897999999</v>
      </c>
      <c r="P2153">
        <v>7</v>
      </c>
      <c r="Q2153" t="s">
        <v>4631</v>
      </c>
    </row>
    <row r="2154" spans="1:17" x14ac:dyDescent="0.3">
      <c r="A2154" t="s">
        <v>17</v>
      </c>
      <c r="B2154" t="str">
        <f>"900940"</f>
        <v>900940</v>
      </c>
      <c r="C2154" t="s">
        <v>4632</v>
      </c>
      <c r="G2154">
        <v>1294003852.7965</v>
      </c>
      <c r="H2154">
        <v>1553194454.9967</v>
      </c>
      <c r="I2154">
        <v>1451392798.9200001</v>
      </c>
      <c r="J2154">
        <v>1577042054.9428</v>
      </c>
      <c r="K2154">
        <v>1310789149.9551001</v>
      </c>
      <c r="L2154">
        <v>692485039.97529995</v>
      </c>
      <c r="M2154">
        <v>778681396.17719996</v>
      </c>
      <c r="N2154">
        <v>315506773.21700001</v>
      </c>
      <c r="O2154">
        <v>238529313.74039999</v>
      </c>
      <c r="P2154">
        <v>15</v>
      </c>
      <c r="Q2154" t="s">
        <v>4633</v>
      </c>
    </row>
    <row r="2155" spans="1:17" x14ac:dyDescent="0.3">
      <c r="A2155" t="s">
        <v>17</v>
      </c>
      <c r="B2155" t="str">
        <f>"900941"</f>
        <v>900941</v>
      </c>
      <c r="C2155" t="s">
        <v>4634</v>
      </c>
      <c r="G2155">
        <v>252623642.02990001</v>
      </c>
      <c r="H2155">
        <v>231513530.8087</v>
      </c>
      <c r="I2155">
        <v>231346300.62450001</v>
      </c>
      <c r="J2155">
        <v>240674558.06459999</v>
      </c>
      <c r="K2155">
        <v>275440800.15009999</v>
      </c>
      <c r="L2155">
        <v>340264070.5607</v>
      </c>
      <c r="M2155">
        <v>329265243.66060001</v>
      </c>
      <c r="N2155">
        <v>359323481.42760003</v>
      </c>
      <c r="O2155">
        <v>270073303.87840003</v>
      </c>
      <c r="P2155">
        <v>8</v>
      </c>
      <c r="Q2155" t="s">
        <v>4635</v>
      </c>
    </row>
    <row r="2156" spans="1:17" x14ac:dyDescent="0.3">
      <c r="A2156" t="s">
        <v>17</v>
      </c>
      <c r="B2156" t="str">
        <f>"900942"</f>
        <v>900942</v>
      </c>
      <c r="C2156" t="s">
        <v>4636</v>
      </c>
      <c r="G2156">
        <v>68203985.273800001</v>
      </c>
      <c r="H2156">
        <v>179925740.1697</v>
      </c>
      <c r="I2156">
        <v>178040604.3075</v>
      </c>
      <c r="J2156">
        <v>205291870.31639999</v>
      </c>
      <c r="K2156">
        <v>180598860.44</v>
      </c>
      <c r="L2156">
        <v>179668771.93979999</v>
      </c>
      <c r="M2156">
        <v>159986366.5275</v>
      </c>
      <c r="N2156">
        <v>186782298.6582</v>
      </c>
      <c r="O2156">
        <v>209227204.40709999</v>
      </c>
      <c r="P2156">
        <v>55</v>
      </c>
      <c r="Q2156" t="s">
        <v>4637</v>
      </c>
    </row>
    <row r="2157" spans="1:17" x14ac:dyDescent="0.3">
      <c r="A2157" t="s">
        <v>17</v>
      </c>
      <c r="B2157" t="str">
        <f>"900943"</f>
        <v>900943</v>
      </c>
      <c r="C2157" t="s">
        <v>4638</v>
      </c>
      <c r="G2157">
        <v>86172853.659199998</v>
      </c>
      <c r="H2157">
        <v>84967750.727599993</v>
      </c>
      <c r="I2157">
        <v>88635388.232999995</v>
      </c>
      <c r="J2157">
        <v>104855278.627</v>
      </c>
      <c r="K2157">
        <v>98547919.508699998</v>
      </c>
      <c r="L2157">
        <v>105055853.00210001</v>
      </c>
      <c r="M2157">
        <v>109223184.267</v>
      </c>
      <c r="N2157">
        <v>111349307.454</v>
      </c>
      <c r="O2157">
        <v>99596598.090800002</v>
      </c>
      <c r="P2157">
        <v>3</v>
      </c>
      <c r="Q2157" t="s">
        <v>4639</v>
      </c>
    </row>
    <row r="2158" spans="1:17" x14ac:dyDescent="0.3">
      <c r="A2158" t="s">
        <v>17</v>
      </c>
      <c r="B2158" t="str">
        <f>"900945"</f>
        <v>900945</v>
      </c>
      <c r="C2158" t="s">
        <v>4640</v>
      </c>
      <c r="G2158">
        <v>2847968715.1999998</v>
      </c>
      <c r="H2158">
        <v>8333253881.1000004</v>
      </c>
      <c r="I2158">
        <v>8396346093</v>
      </c>
      <c r="J2158">
        <v>6993394009.1999998</v>
      </c>
      <c r="K2158">
        <v>5008402437.6000004</v>
      </c>
      <c r="L2158">
        <v>4879068480</v>
      </c>
      <c r="M2158">
        <v>4389746283.8999996</v>
      </c>
      <c r="N2158">
        <v>3850742243.5999999</v>
      </c>
      <c r="O2158">
        <v>3609003239.6999998</v>
      </c>
      <c r="P2158">
        <v>7</v>
      </c>
      <c r="Q2158" t="s">
        <v>4641</v>
      </c>
    </row>
    <row r="2159" spans="1:17" x14ac:dyDescent="0.3">
      <c r="A2159" t="s">
        <v>17</v>
      </c>
      <c r="B2159" t="str">
        <f>"900946"</f>
        <v>900946</v>
      </c>
      <c r="C2159" t="s">
        <v>4642</v>
      </c>
      <c r="G2159">
        <v>27672875.192499999</v>
      </c>
      <c r="H2159">
        <v>22370132.972100001</v>
      </c>
      <c r="I2159">
        <v>53802091.828500003</v>
      </c>
      <c r="J2159">
        <v>46220136.839400001</v>
      </c>
      <c r="K2159">
        <v>34038178.392899998</v>
      </c>
      <c r="L2159">
        <v>45926878.797799997</v>
      </c>
      <c r="M2159">
        <v>44370723.0141</v>
      </c>
      <c r="N2159">
        <v>46576740.421400003</v>
      </c>
      <c r="O2159">
        <v>111398465.3765</v>
      </c>
      <c r="P2159">
        <v>3</v>
      </c>
      <c r="Q2159" t="s">
        <v>4643</v>
      </c>
    </row>
    <row r="2160" spans="1:17" x14ac:dyDescent="0.3">
      <c r="A2160" t="s">
        <v>17</v>
      </c>
      <c r="B2160" t="str">
        <f>"900947"</f>
        <v>900947</v>
      </c>
      <c r="C2160" t="s">
        <v>4644</v>
      </c>
      <c r="G2160">
        <v>2279813447.6118002</v>
      </c>
      <c r="H2160">
        <v>2108179261.1601</v>
      </c>
      <c r="I2160">
        <v>2232222937.6364999</v>
      </c>
      <c r="J2160">
        <v>1869061775.2650001</v>
      </c>
      <c r="K2160">
        <v>2340230833.7143998</v>
      </c>
      <c r="L2160">
        <v>2014343413.2249999</v>
      </c>
      <c r="M2160">
        <v>2316804858.4562998</v>
      </c>
      <c r="N2160">
        <v>2275881329.6174002</v>
      </c>
      <c r="O2160">
        <v>2348441252.5886998</v>
      </c>
      <c r="P2160">
        <v>18</v>
      </c>
      <c r="Q2160" t="s">
        <v>4645</v>
      </c>
    </row>
    <row r="2161" spans="1:17" x14ac:dyDescent="0.3">
      <c r="A2161" t="s">
        <v>17</v>
      </c>
      <c r="B2161" t="str">
        <f>"900948"</f>
        <v>900948</v>
      </c>
      <c r="C2161" t="s">
        <v>4646</v>
      </c>
      <c r="F2161">
        <v>5881983114.0495005</v>
      </c>
      <c r="G2161">
        <v>4153684104.9491</v>
      </c>
      <c r="H2161">
        <v>4907693173.2013998</v>
      </c>
      <c r="I2161">
        <v>4744453908.1199999</v>
      </c>
      <c r="J2161">
        <v>4870754964.6129999</v>
      </c>
      <c r="K2161">
        <v>2834827119.0402999</v>
      </c>
      <c r="L2161">
        <v>2864575637.4377999</v>
      </c>
      <c r="M2161">
        <v>3747211603.2512999</v>
      </c>
      <c r="N2161">
        <v>3637194891.6073999</v>
      </c>
      <c r="O2161">
        <v>4816103034.2306995</v>
      </c>
      <c r="P2161">
        <v>225</v>
      </c>
      <c r="Q2161" t="s">
        <v>4647</v>
      </c>
    </row>
    <row r="2162" spans="1:17" x14ac:dyDescent="0.3">
      <c r="A2162" t="s">
        <v>17</v>
      </c>
      <c r="B2162" t="str">
        <f>"900949"</f>
        <v>900949</v>
      </c>
      <c r="C2162" t="s">
        <v>4648</v>
      </c>
      <c r="N2162">
        <v>1325812467.4001999</v>
      </c>
      <c r="O2162">
        <v>1090876830.3552001</v>
      </c>
      <c r="P2162">
        <v>2</v>
      </c>
      <c r="Q2162" t="s">
        <v>4649</v>
      </c>
    </row>
    <row r="2163" spans="1:17" x14ac:dyDescent="0.3">
      <c r="A2163" t="s">
        <v>17</v>
      </c>
      <c r="B2163" t="str">
        <f>"900950"</f>
        <v>900950</v>
      </c>
      <c r="C2163" t="s">
        <v>4650</v>
      </c>
      <c r="L2163">
        <v>1847529445.6965001</v>
      </c>
      <c r="M2163">
        <v>2001423109.1250999</v>
      </c>
      <c r="N2163">
        <v>1603890531.4022999</v>
      </c>
      <c r="O2163">
        <v>1562830851.9236</v>
      </c>
      <c r="P2163">
        <v>7</v>
      </c>
      <c r="Q2163" t="s">
        <v>4651</v>
      </c>
    </row>
    <row r="2164" spans="1:17" x14ac:dyDescent="0.3">
      <c r="A2164" t="s">
        <v>17</v>
      </c>
      <c r="B2164" t="str">
        <f>"900951"</f>
        <v>900951</v>
      </c>
      <c r="C2164" t="s">
        <v>4652</v>
      </c>
      <c r="H2164">
        <v>3574861.4822999998</v>
      </c>
      <c r="I2164">
        <v>41122529.830499999</v>
      </c>
      <c r="J2164">
        <v>81569310.912200004</v>
      </c>
      <c r="K2164">
        <v>74160761.877299994</v>
      </c>
      <c r="L2164">
        <v>83808689.156800002</v>
      </c>
      <c r="M2164">
        <v>92243667.058599994</v>
      </c>
      <c r="N2164">
        <v>98465683.902199998</v>
      </c>
      <c r="O2164">
        <v>173601536.2191</v>
      </c>
      <c r="P2164">
        <v>2</v>
      </c>
      <c r="Q2164" t="s">
        <v>4653</v>
      </c>
    </row>
    <row r="2165" spans="1:17" x14ac:dyDescent="0.3">
      <c r="A2165" t="s">
        <v>17</v>
      </c>
      <c r="B2165" t="str">
        <f>"900952"</f>
        <v>900952</v>
      </c>
      <c r="C2165" t="s">
        <v>4654</v>
      </c>
      <c r="G2165">
        <v>793389300.27390003</v>
      </c>
      <c r="H2165">
        <v>808348556.07669997</v>
      </c>
      <c r="I2165">
        <v>671146817.09549999</v>
      </c>
      <c r="J2165">
        <v>537986467.39300001</v>
      </c>
      <c r="K2165">
        <v>339073497.5018</v>
      </c>
      <c r="L2165">
        <v>295331841.19010001</v>
      </c>
      <c r="M2165">
        <v>277384773.3057</v>
      </c>
      <c r="N2165">
        <v>186915521.94620001</v>
      </c>
      <c r="O2165">
        <v>136275729.7396</v>
      </c>
      <c r="P2165">
        <v>8</v>
      </c>
      <c r="Q2165" t="s">
        <v>4655</v>
      </c>
    </row>
    <row r="2166" spans="1:17" x14ac:dyDescent="0.3">
      <c r="A2166" t="s">
        <v>17</v>
      </c>
      <c r="B2166" t="str">
        <f>"900953"</f>
        <v>900953</v>
      </c>
      <c r="C2166" t="s">
        <v>4656</v>
      </c>
      <c r="F2166">
        <v>349290619.19349998</v>
      </c>
      <c r="G2166">
        <v>419354016.07120001</v>
      </c>
      <c r="H2166">
        <v>366150331.50400001</v>
      </c>
      <c r="I2166">
        <v>440386775.54699999</v>
      </c>
      <c r="J2166">
        <v>522937047.1182</v>
      </c>
      <c r="K2166">
        <v>503889492.7712</v>
      </c>
      <c r="L2166">
        <v>593974400.96280003</v>
      </c>
      <c r="M2166">
        <v>701903188.17270005</v>
      </c>
      <c r="N2166">
        <v>743067307.07260001</v>
      </c>
      <c r="O2166">
        <v>653210174.75380003</v>
      </c>
      <c r="P2166">
        <v>6</v>
      </c>
      <c r="Q2166" t="s">
        <v>4657</v>
      </c>
    </row>
    <row r="2167" spans="1:17" x14ac:dyDescent="0.3">
      <c r="A2167" t="s">
        <v>17</v>
      </c>
      <c r="B2167" t="str">
        <f>"900955"</f>
        <v>900955</v>
      </c>
      <c r="C2167" t="s">
        <v>4658</v>
      </c>
      <c r="G2167">
        <v>735951.62820000004</v>
      </c>
      <c r="H2167">
        <v>379241.1998</v>
      </c>
      <c r="I2167">
        <v>336474.86099999998</v>
      </c>
      <c r="J2167">
        <v>3394235.0706000002</v>
      </c>
      <c r="K2167">
        <v>952522.01170000003</v>
      </c>
      <c r="L2167">
        <v>2262719.1301000002</v>
      </c>
      <c r="M2167">
        <v>12536471.232000001</v>
      </c>
      <c r="N2167">
        <v>8918405.0067999996</v>
      </c>
      <c r="O2167">
        <v>4327725.0799000002</v>
      </c>
      <c r="P2167">
        <v>4</v>
      </c>
      <c r="Q2167" t="s">
        <v>4659</v>
      </c>
    </row>
    <row r="2168" spans="1:17" x14ac:dyDescent="0.3">
      <c r="A2168" t="s">
        <v>17</v>
      </c>
      <c r="B2168" t="str">
        <f>"900956"</f>
        <v>900956</v>
      </c>
      <c r="C2168" t="s">
        <v>4660</v>
      </c>
      <c r="G2168">
        <v>468241387.98189998</v>
      </c>
      <c r="H2168">
        <v>450143826.88569999</v>
      </c>
      <c r="I2168">
        <v>427064117.37150002</v>
      </c>
      <c r="J2168">
        <v>404688233.22320002</v>
      </c>
      <c r="K2168">
        <v>380675591.63419998</v>
      </c>
      <c r="L2168">
        <v>463075707.25089997</v>
      </c>
      <c r="M2168">
        <v>567891991.83050001</v>
      </c>
      <c r="N2168">
        <v>626447296.59710002</v>
      </c>
      <c r="O2168">
        <v>608495033.38</v>
      </c>
      <c r="P2168">
        <v>10</v>
      </c>
      <c r="Q2168" t="s">
        <v>4661</v>
      </c>
    </row>
    <row r="2169" spans="1:17" x14ac:dyDescent="0.3">
      <c r="A2169" t="s">
        <v>17</v>
      </c>
      <c r="B2169" t="str">
        <f>"900957"</f>
        <v>900957</v>
      </c>
      <c r="C2169" t="s">
        <v>4662</v>
      </c>
      <c r="F2169">
        <v>5337540.2975000003</v>
      </c>
      <c r="G2169">
        <v>9770284.0458000004</v>
      </c>
      <c r="H2169">
        <v>6613171.2098000003</v>
      </c>
      <c r="I2169">
        <v>5398291.8210000005</v>
      </c>
      <c r="J2169">
        <v>2715547.0581999999</v>
      </c>
      <c r="K2169">
        <v>2361173.3843</v>
      </c>
      <c r="L2169">
        <v>824427.07490000001</v>
      </c>
      <c r="M2169">
        <v>216982.8</v>
      </c>
      <c r="N2169">
        <v>217174.4498</v>
      </c>
      <c r="O2169">
        <v>106627.8654</v>
      </c>
      <c r="P2169">
        <v>2</v>
      </c>
      <c r="Q2169" t="s">
        <v>4663</v>
      </c>
    </row>
    <row r="2170" spans="1:17" x14ac:dyDescent="0.3">
      <c r="A2170" t="s">
        <v>4664</v>
      </c>
      <c r="B2170" t="str">
        <f>"000001"</f>
        <v>000001</v>
      </c>
      <c r="C2170" t="s">
        <v>4665</v>
      </c>
      <c r="D2170" t="s">
        <v>19</v>
      </c>
      <c r="P2170">
        <v>6180</v>
      </c>
      <c r="Q2170" t="s">
        <v>4666</v>
      </c>
    </row>
    <row r="2171" spans="1:17" x14ac:dyDescent="0.3">
      <c r="A2171" t="s">
        <v>4664</v>
      </c>
      <c r="B2171" t="str">
        <f>"000002"</f>
        <v>000002</v>
      </c>
      <c r="C2171" t="s">
        <v>4667</v>
      </c>
      <c r="D2171" t="s">
        <v>104</v>
      </c>
      <c r="F2171">
        <v>348389989194</v>
      </c>
      <c r="G2171">
        <v>304532471869</v>
      </c>
      <c r="H2171">
        <v>302423765751</v>
      </c>
      <c r="I2171">
        <v>273935297510</v>
      </c>
      <c r="J2171">
        <v>245908395001</v>
      </c>
      <c r="K2171">
        <v>205615883485</v>
      </c>
      <c r="L2171">
        <v>123311974411</v>
      </c>
      <c r="M2171">
        <v>105442069710</v>
      </c>
      <c r="N2171">
        <v>105225239833</v>
      </c>
      <c r="O2171">
        <v>77182824768</v>
      </c>
      <c r="P2171">
        <v>12436</v>
      </c>
      <c r="Q2171" t="s">
        <v>4668</v>
      </c>
    </row>
    <row r="2172" spans="1:17" x14ac:dyDescent="0.3">
      <c r="A2172" t="s">
        <v>4664</v>
      </c>
      <c r="B2172" t="str">
        <f>"000004"</f>
        <v>000004</v>
      </c>
      <c r="C2172" t="s">
        <v>4669</v>
      </c>
      <c r="D2172" t="s">
        <v>1189</v>
      </c>
      <c r="F2172">
        <v>108234159</v>
      </c>
      <c r="G2172">
        <v>81962176</v>
      </c>
      <c r="H2172">
        <v>108111983</v>
      </c>
      <c r="I2172">
        <v>267207398</v>
      </c>
      <c r="J2172">
        <v>83333522</v>
      </c>
      <c r="K2172">
        <v>256250803</v>
      </c>
      <c r="L2172">
        <v>99904895</v>
      </c>
      <c r="M2172">
        <v>82224456</v>
      </c>
      <c r="N2172">
        <v>57902091</v>
      </c>
      <c r="O2172">
        <v>59768151</v>
      </c>
      <c r="P2172">
        <v>187</v>
      </c>
      <c r="Q2172" t="s">
        <v>4670</v>
      </c>
    </row>
    <row r="2173" spans="1:17" x14ac:dyDescent="0.3">
      <c r="A2173" t="s">
        <v>4664</v>
      </c>
      <c r="B2173" t="str">
        <f>"000005"</f>
        <v>000005</v>
      </c>
      <c r="C2173" t="s">
        <v>4671</v>
      </c>
      <c r="D2173" t="s">
        <v>3548</v>
      </c>
      <c r="F2173">
        <v>302776085</v>
      </c>
      <c r="G2173">
        <v>308488232</v>
      </c>
      <c r="H2173">
        <v>460934218</v>
      </c>
      <c r="I2173">
        <v>341661712</v>
      </c>
      <c r="J2173">
        <v>196642953</v>
      </c>
      <c r="K2173">
        <v>175581281</v>
      </c>
      <c r="L2173">
        <v>24608692</v>
      </c>
      <c r="M2173">
        <v>29765140</v>
      </c>
      <c r="N2173">
        <v>26478298</v>
      </c>
      <c r="O2173">
        <v>28985598</v>
      </c>
      <c r="P2173">
        <v>87</v>
      </c>
      <c r="Q2173" t="s">
        <v>4672</v>
      </c>
    </row>
    <row r="2174" spans="1:17" x14ac:dyDescent="0.3">
      <c r="A2174" t="s">
        <v>4664</v>
      </c>
      <c r="B2174" t="str">
        <f>"000006"</f>
        <v>000006</v>
      </c>
      <c r="C2174" t="s">
        <v>4673</v>
      </c>
      <c r="D2174" t="s">
        <v>104</v>
      </c>
      <c r="F2174">
        <v>2594664116</v>
      </c>
      <c r="G2174">
        <v>1491477850</v>
      </c>
      <c r="H2174">
        <v>3229573048</v>
      </c>
      <c r="I2174">
        <v>1759154188</v>
      </c>
      <c r="J2174">
        <v>2468387561</v>
      </c>
      <c r="K2174">
        <v>3316707985</v>
      </c>
      <c r="L2174">
        <v>1836151282</v>
      </c>
      <c r="M2174">
        <v>1929706575</v>
      </c>
      <c r="N2174">
        <v>1982602336</v>
      </c>
      <c r="O2174">
        <v>2885707175</v>
      </c>
      <c r="P2174">
        <v>424</v>
      </c>
      <c r="Q2174" t="s">
        <v>4674</v>
      </c>
    </row>
    <row r="2175" spans="1:17" x14ac:dyDescent="0.3">
      <c r="A2175" t="s">
        <v>4664</v>
      </c>
      <c r="B2175" t="str">
        <f>"000007"</f>
        <v>000007</v>
      </c>
      <c r="C2175" t="s">
        <v>4675</v>
      </c>
      <c r="D2175" t="s">
        <v>271</v>
      </c>
      <c r="F2175">
        <v>133031622</v>
      </c>
      <c r="G2175">
        <v>33991467</v>
      </c>
      <c r="H2175">
        <v>31813337</v>
      </c>
      <c r="I2175">
        <v>28800402</v>
      </c>
      <c r="J2175">
        <v>36400365</v>
      </c>
      <c r="K2175">
        <v>29428270</v>
      </c>
      <c r="L2175">
        <v>105331851</v>
      </c>
      <c r="M2175">
        <v>125059128</v>
      </c>
      <c r="N2175">
        <v>110838915</v>
      </c>
      <c r="O2175">
        <v>209331897</v>
      </c>
      <c r="P2175">
        <v>93</v>
      </c>
      <c r="Q2175" t="s">
        <v>4676</v>
      </c>
    </row>
    <row r="2176" spans="1:17" x14ac:dyDescent="0.3">
      <c r="A2176" t="s">
        <v>4664</v>
      </c>
      <c r="B2176" t="str">
        <f>"000008"</f>
        <v>000008</v>
      </c>
      <c r="C2176" t="s">
        <v>4677</v>
      </c>
      <c r="D2176" t="s">
        <v>1012</v>
      </c>
      <c r="F2176">
        <v>1634358860</v>
      </c>
      <c r="G2176">
        <v>1952131786</v>
      </c>
      <c r="H2176">
        <v>1684469841</v>
      </c>
      <c r="I2176">
        <v>1237562785</v>
      </c>
      <c r="J2176">
        <v>1030439928</v>
      </c>
      <c r="K2176">
        <v>925127472</v>
      </c>
      <c r="L2176">
        <v>629023241</v>
      </c>
      <c r="M2176">
        <v>227936593</v>
      </c>
      <c r="N2176">
        <v>237435716</v>
      </c>
      <c r="O2176">
        <v>7347492</v>
      </c>
      <c r="P2176">
        <v>301</v>
      </c>
      <c r="Q2176" t="s">
        <v>4678</v>
      </c>
    </row>
    <row r="2177" spans="1:17" x14ac:dyDescent="0.3">
      <c r="A2177" t="s">
        <v>4664</v>
      </c>
      <c r="B2177" t="str">
        <f>"000009"</f>
        <v>000009</v>
      </c>
      <c r="C2177" t="s">
        <v>4679</v>
      </c>
      <c r="D2177" t="s">
        <v>1786</v>
      </c>
      <c r="F2177">
        <v>9684743048</v>
      </c>
      <c r="G2177">
        <v>7171586721</v>
      </c>
      <c r="H2177">
        <v>8472433536</v>
      </c>
      <c r="I2177">
        <v>7315479558</v>
      </c>
      <c r="J2177">
        <v>5479198226</v>
      </c>
      <c r="K2177">
        <v>4429018541</v>
      </c>
      <c r="L2177">
        <v>3319904754</v>
      </c>
      <c r="M2177">
        <v>2867015498</v>
      </c>
      <c r="N2177">
        <v>2990081252</v>
      </c>
      <c r="O2177">
        <v>2969918356</v>
      </c>
      <c r="P2177">
        <v>468</v>
      </c>
      <c r="Q2177" t="s">
        <v>4680</v>
      </c>
    </row>
    <row r="2178" spans="1:17" x14ac:dyDescent="0.3">
      <c r="A2178" t="s">
        <v>4664</v>
      </c>
      <c r="B2178" t="str">
        <f>"000010"</f>
        <v>000010</v>
      </c>
      <c r="C2178" t="s">
        <v>4681</v>
      </c>
      <c r="D2178" t="s">
        <v>2408</v>
      </c>
      <c r="F2178">
        <v>589352640</v>
      </c>
      <c r="G2178">
        <v>492071719</v>
      </c>
      <c r="H2178">
        <v>791967790</v>
      </c>
      <c r="I2178">
        <v>399955046</v>
      </c>
      <c r="J2178">
        <v>1275520442</v>
      </c>
      <c r="K2178">
        <v>435332588</v>
      </c>
      <c r="L2178">
        <v>113446702</v>
      </c>
      <c r="M2178">
        <v>170259822</v>
      </c>
      <c r="N2178">
        <v>295517686</v>
      </c>
      <c r="O2178">
        <v>143599808</v>
      </c>
      <c r="P2178">
        <v>93</v>
      </c>
      <c r="Q2178" t="s">
        <v>4682</v>
      </c>
    </row>
    <row r="2179" spans="1:17" x14ac:dyDescent="0.3">
      <c r="A2179" t="s">
        <v>4664</v>
      </c>
      <c r="B2179" t="str">
        <f>"000011"</f>
        <v>000011</v>
      </c>
      <c r="C2179" t="s">
        <v>4683</v>
      </c>
      <c r="D2179" t="s">
        <v>104</v>
      </c>
      <c r="F2179">
        <v>4042420125</v>
      </c>
      <c r="G2179">
        <v>2899288770</v>
      </c>
      <c r="H2179">
        <v>3314246619</v>
      </c>
      <c r="I2179">
        <v>1295693554</v>
      </c>
      <c r="J2179">
        <v>1035129398</v>
      </c>
      <c r="K2179">
        <v>3273473246</v>
      </c>
      <c r="L2179">
        <v>924011913</v>
      </c>
      <c r="M2179">
        <v>848250185</v>
      </c>
      <c r="N2179">
        <v>893586012</v>
      </c>
      <c r="O2179">
        <v>1585210180</v>
      </c>
      <c r="P2179">
        <v>479</v>
      </c>
      <c r="Q2179" t="s">
        <v>4684</v>
      </c>
    </row>
    <row r="2180" spans="1:17" x14ac:dyDescent="0.3">
      <c r="A2180" t="s">
        <v>4664</v>
      </c>
      <c r="B2180" t="str">
        <f>"000012"</f>
        <v>000012</v>
      </c>
      <c r="C2180" t="s">
        <v>4685</v>
      </c>
      <c r="D2180" t="s">
        <v>666</v>
      </c>
      <c r="F2180">
        <v>11135251168</v>
      </c>
      <c r="G2180">
        <v>7925278113</v>
      </c>
      <c r="H2180">
        <v>8428098411</v>
      </c>
      <c r="I2180">
        <v>8874070807</v>
      </c>
      <c r="J2180">
        <v>8716345821</v>
      </c>
      <c r="K2180">
        <v>7467528727</v>
      </c>
      <c r="L2180">
        <v>5851005595</v>
      </c>
      <c r="M2180">
        <v>5825485483</v>
      </c>
      <c r="N2180">
        <v>6441452937</v>
      </c>
      <c r="O2180">
        <v>6214902734</v>
      </c>
      <c r="P2180">
        <v>409</v>
      </c>
      <c r="Q2180" t="s">
        <v>4686</v>
      </c>
    </row>
    <row r="2181" spans="1:17" x14ac:dyDescent="0.3">
      <c r="A2181" t="s">
        <v>4664</v>
      </c>
      <c r="B2181" t="str">
        <f>"000014"</f>
        <v>000014</v>
      </c>
      <c r="C2181" t="s">
        <v>4687</v>
      </c>
      <c r="D2181" t="s">
        <v>104</v>
      </c>
      <c r="F2181">
        <v>434214220</v>
      </c>
      <c r="G2181">
        <v>384784086</v>
      </c>
      <c r="H2181">
        <v>266558996</v>
      </c>
      <c r="I2181">
        <v>491047302</v>
      </c>
      <c r="J2181">
        <v>577492613</v>
      </c>
      <c r="K2181">
        <v>307464927</v>
      </c>
      <c r="L2181">
        <v>209393478</v>
      </c>
      <c r="M2181">
        <v>401182328</v>
      </c>
      <c r="N2181">
        <v>307781322</v>
      </c>
      <c r="O2181">
        <v>178778016</v>
      </c>
      <c r="P2181">
        <v>96</v>
      </c>
      <c r="Q2181" t="s">
        <v>4688</v>
      </c>
    </row>
    <row r="2182" spans="1:17" x14ac:dyDescent="0.3">
      <c r="A2182" t="s">
        <v>4664</v>
      </c>
      <c r="B2182" t="str">
        <f>"000015"</f>
        <v>000015</v>
      </c>
      <c r="C2182" t="s">
        <v>4689</v>
      </c>
      <c r="K2182">
        <v>402869730.72000003</v>
      </c>
      <c r="P2182">
        <v>13</v>
      </c>
      <c r="Q2182" t="s">
        <v>4690</v>
      </c>
    </row>
    <row r="2183" spans="1:17" x14ac:dyDescent="0.3">
      <c r="A2183" t="s">
        <v>4664</v>
      </c>
      <c r="B2183" t="str">
        <f>"000016"</f>
        <v>000016</v>
      </c>
      <c r="C2183" t="s">
        <v>4691</v>
      </c>
      <c r="D2183" t="s">
        <v>137</v>
      </c>
      <c r="F2183">
        <v>30451464764</v>
      </c>
      <c r="G2183">
        <v>29184784329</v>
      </c>
      <c r="H2183">
        <v>41460695428</v>
      </c>
      <c r="I2183">
        <v>24472986972</v>
      </c>
      <c r="J2183">
        <v>21955843069</v>
      </c>
      <c r="K2183">
        <v>15184869339</v>
      </c>
      <c r="L2183">
        <v>13985879580</v>
      </c>
      <c r="M2183">
        <v>12555098513</v>
      </c>
      <c r="N2183">
        <v>13942683102</v>
      </c>
      <c r="O2183">
        <v>12070485859</v>
      </c>
      <c r="P2183">
        <v>266</v>
      </c>
      <c r="Q2183" t="s">
        <v>4692</v>
      </c>
    </row>
    <row r="2184" spans="1:17" x14ac:dyDescent="0.3">
      <c r="A2184" t="s">
        <v>4664</v>
      </c>
      <c r="B2184" t="str">
        <f>"000017"</f>
        <v>000017</v>
      </c>
      <c r="C2184" t="s">
        <v>4693</v>
      </c>
      <c r="D2184" t="s">
        <v>233</v>
      </c>
      <c r="F2184">
        <v>77209162</v>
      </c>
      <c r="G2184">
        <v>47915952</v>
      </c>
      <c r="H2184">
        <v>21832549</v>
      </c>
      <c r="I2184">
        <v>27803003</v>
      </c>
      <c r="J2184">
        <v>36888522</v>
      </c>
      <c r="K2184">
        <v>51251395</v>
      </c>
      <c r="L2184">
        <v>71823070</v>
      </c>
      <c r="M2184">
        <v>81044842</v>
      </c>
      <c r="N2184">
        <v>114341106</v>
      </c>
      <c r="O2184">
        <v>143318698</v>
      </c>
      <c r="P2184">
        <v>64</v>
      </c>
      <c r="Q2184" t="s">
        <v>4694</v>
      </c>
    </row>
    <row r="2185" spans="1:17" x14ac:dyDescent="0.3">
      <c r="A2185" t="s">
        <v>4664</v>
      </c>
      <c r="B2185" t="str">
        <f>"000018"</f>
        <v>000018</v>
      </c>
      <c r="C2185" t="s">
        <v>4695</v>
      </c>
      <c r="H2185">
        <v>724692153</v>
      </c>
      <c r="I2185">
        <v>2813614673</v>
      </c>
      <c r="J2185">
        <v>3177253209</v>
      </c>
      <c r="K2185">
        <v>1566047153</v>
      </c>
      <c r="L2185">
        <v>1379577878</v>
      </c>
      <c r="M2185">
        <v>9532138</v>
      </c>
      <c r="N2185">
        <v>8629764</v>
      </c>
      <c r="O2185">
        <v>7324251</v>
      </c>
      <c r="P2185">
        <v>99</v>
      </c>
      <c r="Q2185" t="s">
        <v>4696</v>
      </c>
    </row>
    <row r="2186" spans="1:17" x14ac:dyDescent="0.3">
      <c r="A2186" t="s">
        <v>4664</v>
      </c>
      <c r="B2186" t="str">
        <f>"000019"</f>
        <v>000019</v>
      </c>
      <c r="C2186" t="s">
        <v>4697</v>
      </c>
      <c r="D2186" t="s">
        <v>306</v>
      </c>
      <c r="F2186">
        <v>7716898069</v>
      </c>
      <c r="G2186">
        <v>8045440377</v>
      </c>
      <c r="H2186">
        <v>7454641871</v>
      </c>
      <c r="I2186">
        <v>262252090</v>
      </c>
      <c r="J2186">
        <v>234683112</v>
      </c>
      <c r="K2186">
        <v>267971334</v>
      </c>
      <c r="L2186">
        <v>321784117</v>
      </c>
      <c r="M2186">
        <v>240202472</v>
      </c>
      <c r="N2186">
        <v>359526488</v>
      </c>
      <c r="O2186">
        <v>234554022</v>
      </c>
      <c r="P2186">
        <v>176</v>
      </c>
      <c r="Q2186" t="s">
        <v>4698</v>
      </c>
    </row>
    <row r="2187" spans="1:17" x14ac:dyDescent="0.3">
      <c r="A2187" t="s">
        <v>4664</v>
      </c>
      <c r="B2187" t="str">
        <f>"000020"</f>
        <v>000020</v>
      </c>
      <c r="C2187" t="s">
        <v>4699</v>
      </c>
      <c r="D2187" t="s">
        <v>1117</v>
      </c>
      <c r="F2187">
        <v>383981831</v>
      </c>
      <c r="G2187">
        <v>404327922</v>
      </c>
      <c r="H2187">
        <v>414860035</v>
      </c>
      <c r="I2187">
        <v>316333720</v>
      </c>
      <c r="J2187">
        <v>411585437</v>
      </c>
      <c r="K2187">
        <v>256769466</v>
      </c>
      <c r="L2187">
        <v>287471958</v>
      </c>
      <c r="M2187">
        <v>254875586</v>
      </c>
      <c r="N2187">
        <v>379887983</v>
      </c>
      <c r="O2187">
        <v>538698590</v>
      </c>
      <c r="P2187">
        <v>75</v>
      </c>
      <c r="Q2187" t="s">
        <v>4700</v>
      </c>
    </row>
    <row r="2188" spans="1:17" x14ac:dyDescent="0.3">
      <c r="A2188" t="s">
        <v>4664</v>
      </c>
      <c r="B2188" t="str">
        <f>"000021"</f>
        <v>000021</v>
      </c>
      <c r="C2188" t="s">
        <v>4701</v>
      </c>
      <c r="D2188" t="s">
        <v>313</v>
      </c>
      <c r="F2188">
        <v>10915516651</v>
      </c>
      <c r="G2188">
        <v>10915076057</v>
      </c>
      <c r="H2188">
        <v>9676553472</v>
      </c>
      <c r="I2188">
        <v>10759727884</v>
      </c>
      <c r="J2188">
        <v>9392662993</v>
      </c>
      <c r="K2188">
        <v>10557257838</v>
      </c>
      <c r="L2188">
        <v>9620974475</v>
      </c>
      <c r="M2188">
        <v>9577525697</v>
      </c>
      <c r="N2188">
        <v>9764105418</v>
      </c>
      <c r="O2188">
        <v>12052932920</v>
      </c>
      <c r="P2188">
        <v>442</v>
      </c>
      <c r="Q2188" t="s">
        <v>4702</v>
      </c>
    </row>
    <row r="2189" spans="1:17" x14ac:dyDescent="0.3">
      <c r="A2189" t="s">
        <v>4664</v>
      </c>
      <c r="B2189" t="str">
        <f>"000022"</f>
        <v>000022</v>
      </c>
      <c r="C2189" t="s">
        <v>4703</v>
      </c>
      <c r="I2189">
        <v>1597741056</v>
      </c>
      <c r="J2189">
        <v>1886755851</v>
      </c>
      <c r="K2189">
        <v>1403015694.3199999</v>
      </c>
      <c r="L2189">
        <v>1349697267.3599999</v>
      </c>
      <c r="M2189">
        <v>1318404334.8099999</v>
      </c>
      <c r="N2189">
        <v>1334327806</v>
      </c>
      <c r="O2189">
        <v>1298153414</v>
      </c>
      <c r="P2189">
        <v>83</v>
      </c>
      <c r="Q2189" t="s">
        <v>4704</v>
      </c>
    </row>
    <row r="2190" spans="1:17" x14ac:dyDescent="0.3">
      <c r="A2190" t="s">
        <v>4664</v>
      </c>
      <c r="B2190" t="str">
        <f>"000023"</f>
        <v>000023</v>
      </c>
      <c r="C2190" t="s">
        <v>4705</v>
      </c>
      <c r="D2190" t="s">
        <v>3071</v>
      </c>
      <c r="F2190">
        <v>811642234</v>
      </c>
      <c r="G2190">
        <v>864192165</v>
      </c>
      <c r="H2190">
        <v>996176878</v>
      </c>
      <c r="I2190">
        <v>945664087</v>
      </c>
      <c r="J2190">
        <v>869992748</v>
      </c>
      <c r="K2190">
        <v>663770052</v>
      </c>
      <c r="L2190">
        <v>595462366</v>
      </c>
      <c r="M2190">
        <v>615220253</v>
      </c>
      <c r="N2190">
        <v>626564646</v>
      </c>
      <c r="O2190">
        <v>456087655</v>
      </c>
      <c r="P2190">
        <v>78</v>
      </c>
      <c r="Q2190" t="s">
        <v>4706</v>
      </c>
    </row>
    <row r="2191" spans="1:17" x14ac:dyDescent="0.3">
      <c r="A2191" t="s">
        <v>4664</v>
      </c>
      <c r="B2191" t="str">
        <f>"000024"</f>
        <v>000024</v>
      </c>
      <c r="C2191" t="s">
        <v>4707</v>
      </c>
      <c r="L2191">
        <v>38455647263.040001</v>
      </c>
      <c r="M2191">
        <v>28427510441.709999</v>
      </c>
      <c r="N2191">
        <v>29826137629.509998</v>
      </c>
      <c r="O2191">
        <v>24589529890</v>
      </c>
      <c r="P2191">
        <v>36</v>
      </c>
      <c r="Q2191" t="s">
        <v>4708</v>
      </c>
    </row>
    <row r="2192" spans="1:17" x14ac:dyDescent="0.3">
      <c r="A2192" t="s">
        <v>4664</v>
      </c>
      <c r="B2192" t="str">
        <f>"000025"</f>
        <v>000025</v>
      </c>
      <c r="C2192" t="s">
        <v>4709</v>
      </c>
      <c r="D2192" t="s">
        <v>672</v>
      </c>
      <c r="F2192">
        <v>401051943</v>
      </c>
      <c r="G2192">
        <v>414449995</v>
      </c>
      <c r="H2192">
        <v>431307307</v>
      </c>
      <c r="I2192">
        <v>290734608</v>
      </c>
      <c r="J2192">
        <v>256675341</v>
      </c>
      <c r="K2192">
        <v>244037172</v>
      </c>
      <c r="L2192">
        <v>247996280</v>
      </c>
      <c r="M2192">
        <v>371669992</v>
      </c>
      <c r="N2192">
        <v>374617425</v>
      </c>
      <c r="O2192">
        <v>348535400</v>
      </c>
      <c r="P2192">
        <v>140</v>
      </c>
      <c r="Q2192" t="s">
        <v>4710</v>
      </c>
    </row>
    <row r="2193" spans="1:17" x14ac:dyDescent="0.3">
      <c r="A2193" t="s">
        <v>4664</v>
      </c>
      <c r="B2193" t="str">
        <f>"000026"</f>
        <v>000026</v>
      </c>
      <c r="C2193" t="s">
        <v>4711</v>
      </c>
      <c r="D2193" t="s">
        <v>1238</v>
      </c>
      <c r="F2193">
        <v>4500004849</v>
      </c>
      <c r="G2193">
        <v>3097232379</v>
      </c>
      <c r="H2193">
        <v>2957222328</v>
      </c>
      <c r="I2193">
        <v>2803068271</v>
      </c>
      <c r="J2193">
        <v>2792775081</v>
      </c>
      <c r="K2193">
        <v>2507629254</v>
      </c>
      <c r="L2193">
        <v>2710512976</v>
      </c>
      <c r="M2193">
        <v>2738548888</v>
      </c>
      <c r="N2193">
        <v>2525213281</v>
      </c>
      <c r="O2193">
        <v>2506889513</v>
      </c>
      <c r="P2193">
        <v>321</v>
      </c>
      <c r="Q2193" t="s">
        <v>4712</v>
      </c>
    </row>
    <row r="2194" spans="1:17" x14ac:dyDescent="0.3">
      <c r="A2194" t="s">
        <v>4664</v>
      </c>
      <c r="B2194" t="str">
        <f>"000027"</f>
        <v>000027</v>
      </c>
      <c r="C2194" t="s">
        <v>4713</v>
      </c>
      <c r="D2194" t="s">
        <v>41</v>
      </c>
      <c r="F2194">
        <v>20145935670</v>
      </c>
      <c r="G2194">
        <v>14515313644</v>
      </c>
      <c r="H2194">
        <v>15336004567</v>
      </c>
      <c r="I2194">
        <v>15765331531</v>
      </c>
      <c r="J2194">
        <v>10867122896</v>
      </c>
      <c r="K2194">
        <v>8928554533</v>
      </c>
      <c r="L2194">
        <v>9661398590</v>
      </c>
      <c r="M2194">
        <v>10670470000</v>
      </c>
      <c r="N2194">
        <v>10618589746</v>
      </c>
      <c r="O2194">
        <v>11503283267</v>
      </c>
      <c r="P2194">
        <v>509</v>
      </c>
      <c r="Q2194" t="s">
        <v>4714</v>
      </c>
    </row>
    <row r="2195" spans="1:17" x14ac:dyDescent="0.3">
      <c r="A2195" t="s">
        <v>4664</v>
      </c>
      <c r="B2195" t="str">
        <f>"000028"</f>
        <v>000028</v>
      </c>
      <c r="C2195" t="s">
        <v>4715</v>
      </c>
      <c r="D2195" t="s">
        <v>125</v>
      </c>
      <c r="F2195">
        <v>50434425085</v>
      </c>
      <c r="G2195">
        <v>42418077097</v>
      </c>
      <c r="H2195">
        <v>39464106244</v>
      </c>
      <c r="I2195">
        <v>33576126718</v>
      </c>
      <c r="J2195">
        <v>33680871791</v>
      </c>
      <c r="K2195">
        <v>21902637430</v>
      </c>
      <c r="L2195">
        <v>20633444698</v>
      </c>
      <c r="M2195">
        <v>17908007328</v>
      </c>
      <c r="N2195">
        <v>15759715499</v>
      </c>
      <c r="O2195">
        <v>12752376314</v>
      </c>
      <c r="P2195">
        <v>1098</v>
      </c>
      <c r="Q2195" t="s">
        <v>4716</v>
      </c>
    </row>
    <row r="2196" spans="1:17" x14ac:dyDescent="0.3">
      <c r="A2196" t="s">
        <v>4664</v>
      </c>
      <c r="B2196" t="str">
        <f>"000029"</f>
        <v>000029</v>
      </c>
      <c r="C2196" t="s">
        <v>4717</v>
      </c>
      <c r="D2196" t="s">
        <v>104</v>
      </c>
      <c r="F2196">
        <v>1193484545</v>
      </c>
      <c r="G2196">
        <v>1264810543</v>
      </c>
      <c r="H2196">
        <v>2212532294</v>
      </c>
      <c r="I2196">
        <v>1605041921</v>
      </c>
      <c r="J2196">
        <v>952036799</v>
      </c>
      <c r="K2196">
        <v>1697750778</v>
      </c>
      <c r="L2196">
        <v>2016735097</v>
      </c>
      <c r="M2196">
        <v>1467104638</v>
      </c>
      <c r="N2196">
        <v>1483769683</v>
      </c>
      <c r="O2196">
        <v>654720139</v>
      </c>
      <c r="P2196">
        <v>137</v>
      </c>
      <c r="Q2196" t="s">
        <v>4718</v>
      </c>
    </row>
    <row r="2197" spans="1:17" x14ac:dyDescent="0.3">
      <c r="A2197" t="s">
        <v>4664</v>
      </c>
      <c r="B2197" t="str">
        <f>"000030"</f>
        <v>000030</v>
      </c>
      <c r="C2197" t="s">
        <v>4719</v>
      </c>
      <c r="D2197" t="s">
        <v>348</v>
      </c>
      <c r="F2197">
        <v>7380403048</v>
      </c>
      <c r="G2197">
        <v>5367335422</v>
      </c>
      <c r="H2197">
        <v>4846065111</v>
      </c>
      <c r="I2197">
        <v>4975895421</v>
      </c>
      <c r="J2197">
        <v>3940966504</v>
      </c>
      <c r="K2197">
        <v>3482019793</v>
      </c>
      <c r="L2197">
        <v>3249547992</v>
      </c>
      <c r="M2197">
        <v>3546527961</v>
      </c>
      <c r="N2197">
        <v>2690372874</v>
      </c>
      <c r="O2197">
        <v>0</v>
      </c>
      <c r="P2197">
        <v>330</v>
      </c>
      <c r="Q2197" t="s">
        <v>4720</v>
      </c>
    </row>
    <row r="2198" spans="1:17" x14ac:dyDescent="0.3">
      <c r="A2198" t="s">
        <v>4664</v>
      </c>
      <c r="B2198" t="str">
        <f>"000031"</f>
        <v>000031</v>
      </c>
      <c r="C2198" t="s">
        <v>4721</v>
      </c>
      <c r="D2198" t="s">
        <v>30</v>
      </c>
      <c r="F2198">
        <v>30095824336</v>
      </c>
      <c r="G2198">
        <v>24909728798</v>
      </c>
      <c r="H2198">
        <v>26872819818</v>
      </c>
      <c r="I2198">
        <v>13118484675</v>
      </c>
      <c r="J2198">
        <v>12223413008</v>
      </c>
      <c r="K2198">
        <v>16109611129</v>
      </c>
      <c r="L2198">
        <v>10845170892</v>
      </c>
      <c r="M2198">
        <v>5426153769</v>
      </c>
      <c r="N2198">
        <v>7756495617</v>
      </c>
      <c r="O2198">
        <v>4898296081</v>
      </c>
      <c r="P2198">
        <v>327</v>
      </c>
      <c r="Q2198" t="s">
        <v>4722</v>
      </c>
    </row>
    <row r="2199" spans="1:17" x14ac:dyDescent="0.3">
      <c r="A2199" t="s">
        <v>4664</v>
      </c>
      <c r="B2199" t="str">
        <f>"000032"</f>
        <v>000032</v>
      </c>
      <c r="C2199" t="s">
        <v>4723</v>
      </c>
      <c r="D2199" t="s">
        <v>786</v>
      </c>
      <c r="F2199">
        <v>23878730913</v>
      </c>
      <c r="G2199">
        <v>816300573</v>
      </c>
      <c r="H2199">
        <v>954476939</v>
      </c>
      <c r="I2199">
        <v>1203416669</v>
      </c>
      <c r="J2199">
        <v>1282627460</v>
      </c>
      <c r="K2199">
        <v>1581538115</v>
      </c>
      <c r="L2199">
        <v>734363297</v>
      </c>
      <c r="M2199">
        <v>1000691716</v>
      </c>
      <c r="N2199">
        <v>1231892043</v>
      </c>
      <c r="O2199">
        <v>1032022585</v>
      </c>
      <c r="P2199">
        <v>121</v>
      </c>
      <c r="Q2199" t="s">
        <v>4724</v>
      </c>
    </row>
    <row r="2200" spans="1:17" x14ac:dyDescent="0.3">
      <c r="A2200" t="s">
        <v>4664</v>
      </c>
      <c r="B2200" t="str">
        <f>"000033"</f>
        <v>000033</v>
      </c>
      <c r="C2200" t="s">
        <v>4725</v>
      </c>
      <c r="K2200">
        <v>68886254.200000003</v>
      </c>
      <c r="L2200">
        <v>48263260.090000004</v>
      </c>
      <c r="M2200">
        <v>50431018.950000003</v>
      </c>
      <c r="N2200">
        <v>49085704.990000002</v>
      </c>
      <c r="O2200">
        <v>52051710.740000002</v>
      </c>
      <c r="P2200">
        <v>7</v>
      </c>
      <c r="Q2200" t="s">
        <v>4726</v>
      </c>
    </row>
    <row r="2201" spans="1:17" x14ac:dyDescent="0.3">
      <c r="A2201" t="s">
        <v>4664</v>
      </c>
      <c r="B2201" t="str">
        <f>"000034"</f>
        <v>000034</v>
      </c>
      <c r="C2201" t="s">
        <v>4727</v>
      </c>
      <c r="D2201" t="s">
        <v>316</v>
      </c>
      <c r="F2201">
        <v>94658111884</v>
      </c>
      <c r="G2201">
        <v>68172394036</v>
      </c>
      <c r="H2201">
        <v>71391565329</v>
      </c>
      <c r="I2201">
        <v>60887570121</v>
      </c>
      <c r="J2201">
        <v>46726110747</v>
      </c>
      <c r="K2201">
        <v>26735797747</v>
      </c>
      <c r="L2201">
        <v>323415201</v>
      </c>
      <c r="M2201">
        <v>376527261</v>
      </c>
      <c r="N2201">
        <v>366311778</v>
      </c>
      <c r="O2201">
        <v>350765428</v>
      </c>
      <c r="P2201">
        <v>412</v>
      </c>
      <c r="Q2201" t="s">
        <v>4728</v>
      </c>
    </row>
    <row r="2202" spans="1:17" x14ac:dyDescent="0.3">
      <c r="A2202" t="s">
        <v>4664</v>
      </c>
      <c r="B2202" t="str">
        <f>"000035"</f>
        <v>000035</v>
      </c>
      <c r="C2202" t="s">
        <v>4729</v>
      </c>
      <c r="D2202" t="s">
        <v>499</v>
      </c>
      <c r="F2202">
        <v>17285134581</v>
      </c>
      <c r="G2202">
        <v>16435712233</v>
      </c>
      <c r="H2202">
        <v>12953665262</v>
      </c>
      <c r="I2202">
        <v>872213298</v>
      </c>
      <c r="J2202">
        <v>761924971</v>
      </c>
      <c r="K2202">
        <v>427777041</v>
      </c>
      <c r="L2202">
        <v>321681709</v>
      </c>
      <c r="M2202">
        <v>184705633</v>
      </c>
      <c r="N2202">
        <v>1582445</v>
      </c>
      <c r="O2202">
        <v>3776900</v>
      </c>
      <c r="P2202">
        <v>198</v>
      </c>
      <c r="Q2202" t="s">
        <v>4730</v>
      </c>
    </row>
    <row r="2203" spans="1:17" x14ac:dyDescent="0.3">
      <c r="A2203" t="s">
        <v>4664</v>
      </c>
      <c r="B2203" t="str">
        <f>"000036"</f>
        <v>000036</v>
      </c>
      <c r="C2203" t="s">
        <v>4731</v>
      </c>
      <c r="D2203" t="s">
        <v>104</v>
      </c>
      <c r="F2203">
        <v>1377875724</v>
      </c>
      <c r="G2203">
        <v>1880077285</v>
      </c>
      <c r="H2203">
        <v>2993657539</v>
      </c>
      <c r="I2203">
        <v>3122178344</v>
      </c>
      <c r="J2203">
        <v>1197828274</v>
      </c>
      <c r="K2203">
        <v>3565499783</v>
      </c>
      <c r="L2203">
        <v>155937310</v>
      </c>
      <c r="M2203">
        <v>154143566</v>
      </c>
      <c r="N2203">
        <v>132912316</v>
      </c>
      <c r="O2203">
        <v>163726043</v>
      </c>
      <c r="P2203">
        <v>880</v>
      </c>
      <c r="Q2203" t="s">
        <v>4732</v>
      </c>
    </row>
    <row r="2204" spans="1:17" x14ac:dyDescent="0.3">
      <c r="A2204" t="s">
        <v>4664</v>
      </c>
      <c r="B2204" t="str">
        <f>"000037"</f>
        <v>000037</v>
      </c>
      <c r="C2204" t="s">
        <v>4733</v>
      </c>
      <c r="D2204" t="s">
        <v>351</v>
      </c>
      <c r="F2204">
        <v>675897196</v>
      </c>
      <c r="G2204">
        <v>854583681</v>
      </c>
      <c r="H2204">
        <v>848802604</v>
      </c>
      <c r="I2204">
        <v>1806639861</v>
      </c>
      <c r="J2204">
        <v>1691955407</v>
      </c>
      <c r="K2204">
        <v>1286867143</v>
      </c>
      <c r="L2204">
        <v>1123040372</v>
      </c>
      <c r="M2204">
        <v>1085104241</v>
      </c>
      <c r="N2204">
        <v>1054690247</v>
      </c>
      <c r="O2204">
        <v>1359541121</v>
      </c>
      <c r="P2204">
        <v>112</v>
      </c>
      <c r="Q2204" t="s">
        <v>4734</v>
      </c>
    </row>
    <row r="2205" spans="1:17" x14ac:dyDescent="0.3">
      <c r="A2205" t="s">
        <v>4664</v>
      </c>
      <c r="B2205" t="str">
        <f>"000038"</f>
        <v>000038</v>
      </c>
      <c r="C2205" t="s">
        <v>4735</v>
      </c>
      <c r="D2205" t="s">
        <v>110</v>
      </c>
      <c r="F2205">
        <v>3252619605</v>
      </c>
      <c r="G2205">
        <v>1160293322</v>
      </c>
      <c r="H2205">
        <v>1532966191</v>
      </c>
      <c r="I2205">
        <v>1934372481</v>
      </c>
      <c r="J2205">
        <v>914934041</v>
      </c>
      <c r="K2205">
        <v>722401787</v>
      </c>
      <c r="L2205">
        <v>147560726</v>
      </c>
      <c r="M2205">
        <v>127276082</v>
      </c>
      <c r="N2205">
        <v>118592107</v>
      </c>
      <c r="O2205">
        <v>189962108</v>
      </c>
      <c r="P2205">
        <v>113</v>
      </c>
      <c r="Q2205" t="s">
        <v>4736</v>
      </c>
    </row>
    <row r="2206" spans="1:17" x14ac:dyDescent="0.3">
      <c r="A2206" t="s">
        <v>4664</v>
      </c>
      <c r="B2206" t="str">
        <f>"000039"</f>
        <v>000039</v>
      </c>
      <c r="C2206" t="s">
        <v>4737</v>
      </c>
      <c r="D2206" t="s">
        <v>274</v>
      </c>
      <c r="F2206">
        <v>110674664000</v>
      </c>
      <c r="G2206">
        <v>64613344000</v>
      </c>
      <c r="H2206">
        <v>65692536000</v>
      </c>
      <c r="I2206">
        <v>70357373000</v>
      </c>
      <c r="J2206">
        <v>53963956000</v>
      </c>
      <c r="K2206">
        <v>41196382000</v>
      </c>
      <c r="L2206">
        <v>51003459000</v>
      </c>
      <c r="M2206">
        <v>46265273000</v>
      </c>
      <c r="N2206">
        <v>37193890000</v>
      </c>
      <c r="O2206">
        <v>42029179000</v>
      </c>
      <c r="P2206">
        <v>679</v>
      </c>
      <c r="Q2206" t="s">
        <v>4738</v>
      </c>
    </row>
    <row r="2207" spans="1:17" x14ac:dyDescent="0.3">
      <c r="A2207" t="s">
        <v>4664</v>
      </c>
      <c r="B2207" t="str">
        <f>"000040"</f>
        <v>000040</v>
      </c>
      <c r="C2207" t="s">
        <v>4739</v>
      </c>
      <c r="D2207" t="s">
        <v>86</v>
      </c>
      <c r="F2207">
        <v>2958154086</v>
      </c>
      <c r="G2207">
        <v>3054152239</v>
      </c>
      <c r="H2207">
        <v>6773657776</v>
      </c>
      <c r="I2207">
        <v>4376740465</v>
      </c>
      <c r="J2207">
        <v>5240549482</v>
      </c>
      <c r="K2207">
        <v>1509264582</v>
      </c>
      <c r="L2207">
        <v>1363082437</v>
      </c>
      <c r="M2207">
        <v>725514250</v>
      </c>
      <c r="N2207">
        <v>692007969</v>
      </c>
      <c r="O2207">
        <v>608612582</v>
      </c>
      <c r="P2207">
        <v>220</v>
      </c>
      <c r="Q2207" t="s">
        <v>4740</v>
      </c>
    </row>
    <row r="2208" spans="1:17" x14ac:dyDescent="0.3">
      <c r="A2208" t="s">
        <v>4664</v>
      </c>
      <c r="B2208" t="str">
        <f>"000042"</f>
        <v>000042</v>
      </c>
      <c r="C2208" t="s">
        <v>4741</v>
      </c>
      <c r="D2208" t="s">
        <v>104</v>
      </c>
      <c r="F2208">
        <v>6883286157</v>
      </c>
      <c r="G2208">
        <v>6157466142</v>
      </c>
      <c r="H2208">
        <v>5560420241</v>
      </c>
      <c r="I2208">
        <v>7635897986</v>
      </c>
      <c r="J2208">
        <v>6580575091</v>
      </c>
      <c r="K2208">
        <v>8540865339</v>
      </c>
      <c r="L2208">
        <v>3993259364</v>
      </c>
      <c r="M2208">
        <v>2957968081</v>
      </c>
      <c r="N2208">
        <v>1698526661</v>
      </c>
      <c r="O2208">
        <v>1724427070</v>
      </c>
      <c r="P2208">
        <v>121</v>
      </c>
      <c r="Q2208" t="s">
        <v>4742</v>
      </c>
    </row>
    <row r="2209" spans="1:17" x14ac:dyDescent="0.3">
      <c r="A2209" t="s">
        <v>4664</v>
      </c>
      <c r="B2209" t="str">
        <f>"000043"</f>
        <v>000043</v>
      </c>
      <c r="C2209" t="s">
        <v>4743</v>
      </c>
      <c r="H2209">
        <v>3575830824</v>
      </c>
      <c r="I2209">
        <v>3599997897</v>
      </c>
      <c r="J2209">
        <v>4206167134</v>
      </c>
      <c r="K2209">
        <v>5938540108</v>
      </c>
      <c r="L2209">
        <v>3884308024</v>
      </c>
      <c r="M2209">
        <v>3838822548</v>
      </c>
      <c r="N2209">
        <v>4432853496</v>
      </c>
      <c r="O2209">
        <v>3213702689</v>
      </c>
      <c r="P2209">
        <v>73</v>
      </c>
      <c r="Q2209" t="s">
        <v>4744</v>
      </c>
    </row>
    <row r="2210" spans="1:17" x14ac:dyDescent="0.3">
      <c r="A2210" t="s">
        <v>4664</v>
      </c>
      <c r="B2210" t="str">
        <f>"000045"</f>
        <v>000045</v>
      </c>
      <c r="C2210" t="s">
        <v>4745</v>
      </c>
      <c r="D2210" t="s">
        <v>1117</v>
      </c>
      <c r="F2210">
        <v>1666106505</v>
      </c>
      <c r="G2210">
        <v>1279089803</v>
      </c>
      <c r="H2210">
        <v>1731173950</v>
      </c>
      <c r="I2210">
        <v>974017262</v>
      </c>
      <c r="J2210">
        <v>1124801981</v>
      </c>
      <c r="K2210">
        <v>824006721</v>
      </c>
      <c r="L2210">
        <v>886932726</v>
      </c>
      <c r="M2210">
        <v>794212614</v>
      </c>
      <c r="N2210">
        <v>878605934</v>
      </c>
      <c r="O2210">
        <v>558524864</v>
      </c>
      <c r="P2210">
        <v>86</v>
      </c>
      <c r="Q2210" t="s">
        <v>4746</v>
      </c>
    </row>
    <row r="2211" spans="1:17" x14ac:dyDescent="0.3">
      <c r="A2211" t="s">
        <v>4664</v>
      </c>
      <c r="B2211" t="str">
        <f>"000046"</f>
        <v>000046</v>
      </c>
      <c r="C2211" t="s">
        <v>4747</v>
      </c>
      <c r="D2211" t="s">
        <v>104</v>
      </c>
      <c r="F2211">
        <v>3729619086</v>
      </c>
      <c r="G2211">
        <v>2300999891</v>
      </c>
      <c r="H2211">
        <v>5685223394</v>
      </c>
      <c r="I2211">
        <v>7040144596</v>
      </c>
      <c r="J2211">
        <v>2880887102</v>
      </c>
      <c r="K2211">
        <v>15604619955</v>
      </c>
      <c r="L2211">
        <v>8967564014</v>
      </c>
      <c r="M2211">
        <v>3454947599</v>
      </c>
      <c r="N2211">
        <v>3664136448</v>
      </c>
      <c r="O2211">
        <v>2102558956</v>
      </c>
      <c r="P2211">
        <v>210</v>
      </c>
      <c r="Q2211" t="s">
        <v>4748</v>
      </c>
    </row>
    <row r="2212" spans="1:17" x14ac:dyDescent="0.3">
      <c r="A2212" t="s">
        <v>4664</v>
      </c>
      <c r="B2212" t="str">
        <f>"000047"</f>
        <v>000047</v>
      </c>
      <c r="C2212" t="s">
        <v>4749</v>
      </c>
      <c r="K2212">
        <v>600000</v>
      </c>
      <c r="L2212">
        <v>0</v>
      </c>
      <c r="M2212">
        <v>0</v>
      </c>
      <c r="N2212">
        <v>0</v>
      </c>
      <c r="O2212">
        <v>0</v>
      </c>
      <c r="P2212">
        <v>6</v>
      </c>
      <c r="Q2212" t="s">
        <v>4750</v>
      </c>
    </row>
    <row r="2213" spans="1:17" x14ac:dyDescent="0.3">
      <c r="A2213" t="s">
        <v>4664</v>
      </c>
      <c r="B2213" t="str">
        <f>"000048"</f>
        <v>000048</v>
      </c>
      <c r="C2213" t="s">
        <v>4751</v>
      </c>
      <c r="D2213" t="s">
        <v>104</v>
      </c>
      <c r="F2213">
        <v>4926822092</v>
      </c>
      <c r="G2213">
        <v>4233113269</v>
      </c>
      <c r="H2213">
        <v>3204340616</v>
      </c>
      <c r="I2213">
        <v>3093361804</v>
      </c>
      <c r="J2213">
        <v>1363402636</v>
      </c>
      <c r="K2213">
        <v>1136375312</v>
      </c>
      <c r="L2213">
        <v>1664188673</v>
      </c>
      <c r="M2213">
        <v>1838524992</v>
      </c>
      <c r="N2213">
        <v>1156637013</v>
      </c>
      <c r="O2213">
        <v>1100582629</v>
      </c>
      <c r="P2213">
        <v>588</v>
      </c>
      <c r="Q2213" t="s">
        <v>4752</v>
      </c>
    </row>
    <row r="2214" spans="1:17" x14ac:dyDescent="0.3">
      <c r="A2214" t="s">
        <v>4664</v>
      </c>
      <c r="B2214" t="str">
        <f>"000049"</f>
        <v>000049</v>
      </c>
      <c r="C2214" t="s">
        <v>4753</v>
      </c>
      <c r="D2214" t="s">
        <v>359</v>
      </c>
      <c r="F2214">
        <v>13341031748</v>
      </c>
      <c r="G2214">
        <v>13083461494</v>
      </c>
      <c r="H2214">
        <v>12855284104</v>
      </c>
      <c r="I2214">
        <v>11241450146</v>
      </c>
      <c r="J2214">
        <v>8199495443</v>
      </c>
      <c r="K2214">
        <v>4805843567</v>
      </c>
      <c r="L2214">
        <v>6014582353</v>
      </c>
      <c r="M2214">
        <v>4408585039</v>
      </c>
      <c r="N2214">
        <v>2741066710</v>
      </c>
      <c r="O2214">
        <v>2346903144</v>
      </c>
      <c r="P2214">
        <v>41582</v>
      </c>
      <c r="Q2214" t="s">
        <v>4754</v>
      </c>
    </row>
    <row r="2215" spans="1:17" x14ac:dyDescent="0.3">
      <c r="A2215" t="s">
        <v>4664</v>
      </c>
      <c r="B2215" t="str">
        <f>"000050"</f>
        <v>000050</v>
      </c>
      <c r="C2215" t="s">
        <v>4755</v>
      </c>
      <c r="D2215" t="s">
        <v>1117</v>
      </c>
      <c r="F2215">
        <v>25031241043</v>
      </c>
      <c r="G2215">
        <v>24121014766</v>
      </c>
      <c r="H2215">
        <v>24733391721</v>
      </c>
      <c r="I2215">
        <v>22316153501</v>
      </c>
      <c r="J2215">
        <v>9449836660</v>
      </c>
      <c r="K2215">
        <v>9004790710</v>
      </c>
      <c r="L2215">
        <v>8922605547</v>
      </c>
      <c r="M2215">
        <v>8099944785</v>
      </c>
      <c r="N2215">
        <v>3677750907</v>
      </c>
      <c r="O2215">
        <v>3496116279</v>
      </c>
      <c r="P2215">
        <v>621</v>
      </c>
      <c r="Q2215" t="s">
        <v>4756</v>
      </c>
    </row>
    <row r="2216" spans="1:17" x14ac:dyDescent="0.3">
      <c r="A2216" t="s">
        <v>4664</v>
      </c>
      <c r="B2216" t="str">
        <f>"000055"</f>
        <v>000055</v>
      </c>
      <c r="C2216" t="s">
        <v>4757</v>
      </c>
      <c r="D2216" t="s">
        <v>722</v>
      </c>
      <c r="F2216">
        <v>2380701067</v>
      </c>
      <c r="G2216">
        <v>2079228727</v>
      </c>
      <c r="H2216">
        <v>1891062423</v>
      </c>
      <c r="I2216">
        <v>2207987022</v>
      </c>
      <c r="J2216">
        <v>2554904276</v>
      </c>
      <c r="K2216">
        <v>2626024154</v>
      </c>
      <c r="L2216">
        <v>1476173289</v>
      </c>
      <c r="M2216">
        <v>1168322724</v>
      </c>
      <c r="N2216">
        <v>1188588557</v>
      </c>
      <c r="O2216">
        <v>887361726</v>
      </c>
      <c r="P2216">
        <v>318</v>
      </c>
      <c r="Q2216" t="s">
        <v>4758</v>
      </c>
    </row>
    <row r="2217" spans="1:17" x14ac:dyDescent="0.3">
      <c r="A2217" t="s">
        <v>4664</v>
      </c>
      <c r="B2217" t="str">
        <f>"000056"</f>
        <v>000056</v>
      </c>
      <c r="C2217" t="s">
        <v>4759</v>
      </c>
      <c r="D2217" t="s">
        <v>2948</v>
      </c>
      <c r="F2217">
        <v>554084663</v>
      </c>
      <c r="G2217">
        <v>731029739</v>
      </c>
      <c r="H2217">
        <v>1137277705</v>
      </c>
      <c r="I2217">
        <v>913262347</v>
      </c>
      <c r="J2217">
        <v>425139575</v>
      </c>
      <c r="K2217">
        <v>233712454</v>
      </c>
      <c r="L2217">
        <v>175949923</v>
      </c>
      <c r="M2217">
        <v>40212429</v>
      </c>
      <c r="N2217">
        <v>20164167</v>
      </c>
      <c r="O2217">
        <v>50111974</v>
      </c>
      <c r="P2217">
        <v>100</v>
      </c>
      <c r="Q2217" t="s">
        <v>4760</v>
      </c>
    </row>
    <row r="2218" spans="1:17" x14ac:dyDescent="0.3">
      <c r="A2218" t="s">
        <v>4664</v>
      </c>
      <c r="B2218" t="str">
        <f>"000058"</f>
        <v>000058</v>
      </c>
      <c r="C2218" t="s">
        <v>4761</v>
      </c>
      <c r="D2218" t="s">
        <v>271</v>
      </c>
      <c r="F2218">
        <v>1320431640</v>
      </c>
      <c r="G2218">
        <v>1081704015</v>
      </c>
      <c r="H2218">
        <v>1055869379</v>
      </c>
      <c r="I2218">
        <v>1190798262</v>
      </c>
      <c r="J2218">
        <v>1314055894</v>
      </c>
      <c r="K2218">
        <v>620820445</v>
      </c>
      <c r="L2218">
        <v>1090057199</v>
      </c>
      <c r="M2218">
        <v>1415586836</v>
      </c>
      <c r="N2218">
        <v>513046855</v>
      </c>
      <c r="O2218">
        <v>347757997</v>
      </c>
      <c r="P2218">
        <v>142</v>
      </c>
      <c r="Q2218" t="s">
        <v>4762</v>
      </c>
    </row>
    <row r="2219" spans="1:17" x14ac:dyDescent="0.3">
      <c r="A2219" t="s">
        <v>4664</v>
      </c>
      <c r="B2219" t="str">
        <f>"000059"</f>
        <v>000059</v>
      </c>
      <c r="C2219" t="s">
        <v>4763</v>
      </c>
      <c r="D2219" t="s">
        <v>74</v>
      </c>
      <c r="F2219">
        <v>28648972632</v>
      </c>
      <c r="G2219">
        <v>23563353863</v>
      </c>
      <c r="H2219">
        <v>32263330695</v>
      </c>
      <c r="I2219">
        <v>28967314847</v>
      </c>
      <c r="J2219">
        <v>27419321044</v>
      </c>
      <c r="K2219">
        <v>23652411401</v>
      </c>
      <c r="L2219">
        <v>26313028209</v>
      </c>
      <c r="M2219">
        <v>31231052243</v>
      </c>
      <c r="N2219">
        <v>35951879611</v>
      </c>
      <c r="O2219">
        <v>28801249937</v>
      </c>
      <c r="P2219">
        <v>387</v>
      </c>
      <c r="Q2219" t="s">
        <v>4764</v>
      </c>
    </row>
    <row r="2220" spans="1:17" x14ac:dyDescent="0.3">
      <c r="A2220" t="s">
        <v>4664</v>
      </c>
      <c r="B2220" t="str">
        <f>"000060"</f>
        <v>000060</v>
      </c>
      <c r="C2220" t="s">
        <v>4765</v>
      </c>
      <c r="D2220" t="s">
        <v>744</v>
      </c>
      <c r="F2220">
        <v>33945656859</v>
      </c>
      <c r="G2220">
        <v>22892861103</v>
      </c>
      <c r="H2220">
        <v>17963357713</v>
      </c>
      <c r="I2220">
        <v>17613917021</v>
      </c>
      <c r="J2220">
        <v>15802271132</v>
      </c>
      <c r="K2220">
        <v>11833367362</v>
      </c>
      <c r="L2220">
        <v>12220064045</v>
      </c>
      <c r="M2220">
        <v>19383125039</v>
      </c>
      <c r="N2220">
        <v>9232473027</v>
      </c>
      <c r="O2220">
        <v>11634568724</v>
      </c>
      <c r="P2220">
        <v>373</v>
      </c>
      <c r="Q2220" t="s">
        <v>4766</v>
      </c>
    </row>
    <row r="2221" spans="1:17" x14ac:dyDescent="0.3">
      <c r="A2221" t="s">
        <v>4664</v>
      </c>
      <c r="B2221" t="str">
        <f>"000061"</f>
        <v>000061</v>
      </c>
      <c r="C2221" t="s">
        <v>4767</v>
      </c>
      <c r="D2221" t="s">
        <v>271</v>
      </c>
      <c r="F2221">
        <v>3296483119</v>
      </c>
      <c r="G2221">
        <v>2318241488</v>
      </c>
      <c r="H2221">
        <v>2395458119</v>
      </c>
      <c r="I2221">
        <v>2000151344</v>
      </c>
      <c r="J2221">
        <v>1647372658</v>
      </c>
      <c r="K2221">
        <v>1651527781</v>
      </c>
      <c r="L2221">
        <v>1491927707</v>
      </c>
      <c r="M2221">
        <v>1360569834</v>
      </c>
      <c r="N2221">
        <v>1414496123</v>
      </c>
      <c r="O2221">
        <v>1155158880</v>
      </c>
      <c r="P2221">
        <v>209</v>
      </c>
      <c r="Q2221" t="s">
        <v>4768</v>
      </c>
    </row>
    <row r="2222" spans="1:17" x14ac:dyDescent="0.3">
      <c r="A2222" t="s">
        <v>4664</v>
      </c>
      <c r="B2222" t="str">
        <f>"000062"</f>
        <v>000062</v>
      </c>
      <c r="C2222" t="s">
        <v>4769</v>
      </c>
      <c r="D2222" t="s">
        <v>651</v>
      </c>
      <c r="F2222">
        <v>16338755109</v>
      </c>
      <c r="G2222">
        <v>10129368869</v>
      </c>
      <c r="H2222">
        <v>9784378999</v>
      </c>
      <c r="I2222">
        <v>8191862491</v>
      </c>
      <c r="J2222">
        <v>5271101696</v>
      </c>
      <c r="K2222">
        <v>3708538081</v>
      </c>
      <c r="L2222">
        <v>776459966</v>
      </c>
      <c r="M2222">
        <v>1002882867</v>
      </c>
      <c r="N2222">
        <v>1626977814</v>
      </c>
      <c r="O2222">
        <v>1317310334</v>
      </c>
      <c r="P2222">
        <v>300</v>
      </c>
      <c r="Q2222" t="s">
        <v>4770</v>
      </c>
    </row>
    <row r="2223" spans="1:17" x14ac:dyDescent="0.3">
      <c r="A2223" t="s">
        <v>4664</v>
      </c>
      <c r="B2223" t="str">
        <f>"000063"</f>
        <v>000063</v>
      </c>
      <c r="C2223" t="s">
        <v>4771</v>
      </c>
      <c r="D2223" t="s">
        <v>1019</v>
      </c>
      <c r="F2223">
        <v>86268184000</v>
      </c>
      <c r="G2223">
        <v>81782253000</v>
      </c>
      <c r="H2223">
        <v>67508954000</v>
      </c>
      <c r="I2223">
        <v>66923382000</v>
      </c>
      <c r="J2223">
        <v>81909396000</v>
      </c>
      <c r="K2223">
        <v>86671142000</v>
      </c>
      <c r="L2223">
        <v>72777233000</v>
      </c>
      <c r="M2223">
        <v>64442477000</v>
      </c>
      <c r="N2223">
        <v>58901866000</v>
      </c>
      <c r="O2223">
        <v>61384281000</v>
      </c>
      <c r="P2223">
        <v>3203</v>
      </c>
      <c r="Q2223" t="s">
        <v>4772</v>
      </c>
    </row>
    <row r="2224" spans="1:17" x14ac:dyDescent="0.3">
      <c r="A2224" t="s">
        <v>4664</v>
      </c>
      <c r="B2224" t="str">
        <f>"000065"</f>
        <v>000065</v>
      </c>
      <c r="C2224" t="s">
        <v>4773</v>
      </c>
      <c r="D2224" t="s">
        <v>1887</v>
      </c>
      <c r="F2224">
        <v>7120000151</v>
      </c>
      <c r="G2224">
        <v>5195418504</v>
      </c>
      <c r="H2224">
        <v>5305127265</v>
      </c>
      <c r="I2224">
        <v>4960011508</v>
      </c>
      <c r="J2224">
        <v>7217948290</v>
      </c>
      <c r="K2224">
        <v>2993428653</v>
      </c>
      <c r="L2224">
        <v>1370137922</v>
      </c>
      <c r="M2224">
        <v>1725306995</v>
      </c>
      <c r="N2224">
        <v>1630970029</v>
      </c>
      <c r="O2224">
        <v>970872838</v>
      </c>
      <c r="P2224">
        <v>394</v>
      </c>
      <c r="Q2224" t="s">
        <v>4774</v>
      </c>
    </row>
    <row r="2225" spans="1:17" x14ac:dyDescent="0.3">
      <c r="A2225" t="s">
        <v>4664</v>
      </c>
      <c r="B2225" t="str">
        <f>"000066"</f>
        <v>000066</v>
      </c>
      <c r="C2225" t="s">
        <v>4775</v>
      </c>
      <c r="D2225" t="s">
        <v>236</v>
      </c>
      <c r="F2225">
        <v>13012133280</v>
      </c>
      <c r="G2225">
        <v>8061151412</v>
      </c>
      <c r="H2225">
        <v>6035164836</v>
      </c>
      <c r="I2225">
        <v>6487378041</v>
      </c>
      <c r="J2225">
        <v>6000173668</v>
      </c>
      <c r="K2225">
        <v>48336399207</v>
      </c>
      <c r="L2225">
        <v>55006199990</v>
      </c>
      <c r="M2225">
        <v>55576579108</v>
      </c>
      <c r="N2225">
        <v>56842138215</v>
      </c>
      <c r="O2225">
        <v>53743365416</v>
      </c>
      <c r="P2225">
        <v>712</v>
      </c>
      <c r="Q2225" t="s">
        <v>4776</v>
      </c>
    </row>
    <row r="2226" spans="1:17" x14ac:dyDescent="0.3">
      <c r="A2226" t="s">
        <v>4664</v>
      </c>
      <c r="B2226" t="str">
        <f>"000068"</f>
        <v>000068</v>
      </c>
      <c r="C2226" t="s">
        <v>4777</v>
      </c>
      <c r="D2226" t="s">
        <v>3548</v>
      </c>
      <c r="F2226">
        <v>548090433</v>
      </c>
      <c r="G2226">
        <v>182546158</v>
      </c>
      <c r="H2226">
        <v>124072900</v>
      </c>
      <c r="I2226">
        <v>149110935</v>
      </c>
      <c r="J2226">
        <v>124038762</v>
      </c>
      <c r="K2226">
        <v>113584723</v>
      </c>
      <c r="L2226">
        <v>20523596</v>
      </c>
      <c r="M2226">
        <v>168109822</v>
      </c>
      <c r="N2226">
        <v>182119730</v>
      </c>
      <c r="O2226">
        <v>0</v>
      </c>
      <c r="P2226">
        <v>144</v>
      </c>
      <c r="Q2226" t="s">
        <v>4778</v>
      </c>
    </row>
    <row r="2227" spans="1:17" x14ac:dyDescent="0.3">
      <c r="A2227" t="s">
        <v>4664</v>
      </c>
      <c r="B2227" t="str">
        <f>"000069"</f>
        <v>000069</v>
      </c>
      <c r="C2227" t="s">
        <v>4779</v>
      </c>
      <c r="D2227" t="s">
        <v>30</v>
      </c>
      <c r="F2227">
        <v>72804760133</v>
      </c>
      <c r="G2227">
        <v>66082515639</v>
      </c>
      <c r="H2227">
        <v>59928727584</v>
      </c>
      <c r="I2227">
        <v>36152146197</v>
      </c>
      <c r="J2227">
        <v>36768154966</v>
      </c>
      <c r="K2227">
        <v>34621047147</v>
      </c>
      <c r="L2227">
        <v>25785303273</v>
      </c>
      <c r="M2227">
        <v>17874677412</v>
      </c>
      <c r="N2227">
        <v>23077423346</v>
      </c>
      <c r="O2227">
        <v>17628279083</v>
      </c>
      <c r="P2227">
        <v>3953</v>
      </c>
      <c r="Q2227" t="s">
        <v>4780</v>
      </c>
    </row>
    <row r="2228" spans="1:17" x14ac:dyDescent="0.3">
      <c r="A2228" t="s">
        <v>4664</v>
      </c>
      <c r="B2228" t="str">
        <f>"000070"</f>
        <v>000070</v>
      </c>
      <c r="C2228" t="s">
        <v>4781</v>
      </c>
      <c r="D2228" t="s">
        <v>250</v>
      </c>
      <c r="F2228">
        <v>1956705039</v>
      </c>
      <c r="G2228">
        <v>2463019898</v>
      </c>
      <c r="H2228">
        <v>3441512668</v>
      </c>
      <c r="I2228">
        <v>3641315715</v>
      </c>
      <c r="J2228">
        <v>3037964630</v>
      </c>
      <c r="K2228">
        <v>3012051994</v>
      </c>
      <c r="L2228">
        <v>1686195808</v>
      </c>
      <c r="M2228">
        <v>1191639099</v>
      </c>
      <c r="N2228">
        <v>1035244794</v>
      </c>
      <c r="O2228">
        <v>1204905724</v>
      </c>
      <c r="P2228">
        <v>334</v>
      </c>
      <c r="Q2228" t="s">
        <v>4782</v>
      </c>
    </row>
    <row r="2229" spans="1:17" x14ac:dyDescent="0.3">
      <c r="A2229" t="s">
        <v>4664</v>
      </c>
      <c r="B2229" t="str">
        <f>"000078"</f>
        <v>000078</v>
      </c>
      <c r="C2229" t="s">
        <v>4783</v>
      </c>
      <c r="D2229" t="s">
        <v>125</v>
      </c>
      <c r="F2229">
        <v>32992074999</v>
      </c>
      <c r="G2229">
        <v>29123020509</v>
      </c>
      <c r="H2229">
        <v>32193798241</v>
      </c>
      <c r="I2229">
        <v>26366309256</v>
      </c>
      <c r="J2229">
        <v>16454786079</v>
      </c>
      <c r="K2229">
        <v>8613363599</v>
      </c>
      <c r="L2229">
        <v>7188158398</v>
      </c>
      <c r="M2229">
        <v>6584931816</v>
      </c>
      <c r="N2229">
        <v>5475819737</v>
      </c>
      <c r="O2229">
        <v>5108577476</v>
      </c>
      <c r="P2229">
        <v>291</v>
      </c>
      <c r="Q2229" t="s">
        <v>4784</v>
      </c>
    </row>
    <row r="2230" spans="1:17" x14ac:dyDescent="0.3">
      <c r="A2230" t="s">
        <v>4664</v>
      </c>
      <c r="B2230" t="str">
        <f>"000088"</f>
        <v>000088</v>
      </c>
      <c r="C2230" t="s">
        <v>4785</v>
      </c>
      <c r="D2230" t="s">
        <v>51</v>
      </c>
      <c r="F2230">
        <v>500710471</v>
      </c>
      <c r="G2230">
        <v>406945986</v>
      </c>
      <c r="H2230">
        <v>482485428</v>
      </c>
      <c r="I2230">
        <v>305961247</v>
      </c>
      <c r="J2230">
        <v>263198268</v>
      </c>
      <c r="K2230">
        <v>211232197</v>
      </c>
      <c r="L2230">
        <v>488992616</v>
      </c>
      <c r="M2230">
        <v>224910226</v>
      </c>
      <c r="N2230">
        <v>231917992</v>
      </c>
      <c r="O2230">
        <v>253202993</v>
      </c>
      <c r="P2230">
        <v>170</v>
      </c>
      <c r="Q2230" t="s">
        <v>4786</v>
      </c>
    </row>
    <row r="2231" spans="1:17" x14ac:dyDescent="0.3">
      <c r="A2231" t="s">
        <v>4664</v>
      </c>
      <c r="B2231" t="str">
        <f>"000089"</f>
        <v>000089</v>
      </c>
      <c r="C2231" t="s">
        <v>4787</v>
      </c>
      <c r="D2231" t="s">
        <v>22</v>
      </c>
      <c r="F2231">
        <v>2363046031</v>
      </c>
      <c r="G2231">
        <v>2119518791</v>
      </c>
      <c r="H2231">
        <v>2694644198</v>
      </c>
      <c r="I2231">
        <v>2578334943</v>
      </c>
      <c r="J2231">
        <v>2422402385</v>
      </c>
      <c r="K2231">
        <v>2124103291</v>
      </c>
      <c r="L2231">
        <v>2170692917</v>
      </c>
      <c r="M2231">
        <v>2042675079</v>
      </c>
      <c r="N2231">
        <v>1795055582</v>
      </c>
      <c r="O2231">
        <v>1567308288</v>
      </c>
      <c r="P2231">
        <v>665</v>
      </c>
      <c r="Q2231" t="s">
        <v>4788</v>
      </c>
    </row>
    <row r="2232" spans="1:17" x14ac:dyDescent="0.3">
      <c r="A2232" t="s">
        <v>4664</v>
      </c>
      <c r="B2232" t="str">
        <f>"000090"</f>
        <v>000090</v>
      </c>
      <c r="C2232" t="s">
        <v>4789</v>
      </c>
      <c r="D2232" t="s">
        <v>104</v>
      </c>
      <c r="F2232">
        <v>18280349119</v>
      </c>
      <c r="G2232">
        <v>8308051850</v>
      </c>
      <c r="H2232">
        <v>13062155703</v>
      </c>
      <c r="I2232">
        <v>7052581137</v>
      </c>
      <c r="J2232">
        <v>6436226080</v>
      </c>
      <c r="K2232">
        <v>3732899421</v>
      </c>
      <c r="L2232">
        <v>3443772216</v>
      </c>
      <c r="M2232">
        <v>3726743214</v>
      </c>
      <c r="N2232">
        <v>3513052815</v>
      </c>
      <c r="O2232">
        <v>2475461139</v>
      </c>
      <c r="P2232">
        <v>424</v>
      </c>
      <c r="Q2232" t="s">
        <v>4790</v>
      </c>
    </row>
    <row r="2233" spans="1:17" x14ac:dyDescent="0.3">
      <c r="A2233" t="s">
        <v>4664</v>
      </c>
      <c r="B2233" t="str">
        <f>"000096"</f>
        <v>000096</v>
      </c>
      <c r="C2233" t="s">
        <v>4791</v>
      </c>
      <c r="D2233" t="s">
        <v>584</v>
      </c>
      <c r="F2233">
        <v>1280818839</v>
      </c>
      <c r="G2233">
        <v>1042150694</v>
      </c>
      <c r="H2233">
        <v>1371847266</v>
      </c>
      <c r="I2233">
        <v>1458351155</v>
      </c>
      <c r="J2233">
        <v>1000118340</v>
      </c>
      <c r="K2233">
        <v>778875287</v>
      </c>
      <c r="L2233">
        <v>924977690</v>
      </c>
      <c r="M2233">
        <v>861982817</v>
      </c>
      <c r="N2233">
        <v>770184879</v>
      </c>
      <c r="O2233">
        <v>928217317</v>
      </c>
      <c r="P2233">
        <v>86</v>
      </c>
      <c r="Q2233" t="s">
        <v>4792</v>
      </c>
    </row>
    <row r="2234" spans="1:17" x14ac:dyDescent="0.3">
      <c r="A2234" t="s">
        <v>4664</v>
      </c>
      <c r="B2234" t="str">
        <f>"000099"</f>
        <v>000099</v>
      </c>
      <c r="C2234" t="s">
        <v>4793</v>
      </c>
      <c r="D2234" t="s">
        <v>77</v>
      </c>
      <c r="F2234">
        <v>1295955845</v>
      </c>
      <c r="G2234">
        <v>1801360048</v>
      </c>
      <c r="H2234">
        <v>2413368506</v>
      </c>
      <c r="I2234">
        <v>1059909752</v>
      </c>
      <c r="J2234">
        <v>863038834</v>
      </c>
      <c r="K2234">
        <v>716551909</v>
      </c>
      <c r="L2234">
        <v>670890416</v>
      </c>
      <c r="M2234">
        <v>895386725</v>
      </c>
      <c r="N2234">
        <v>858300802</v>
      </c>
      <c r="O2234">
        <v>738120090</v>
      </c>
      <c r="P2234">
        <v>166</v>
      </c>
      <c r="Q2234" t="s">
        <v>4794</v>
      </c>
    </row>
    <row r="2235" spans="1:17" x14ac:dyDescent="0.3">
      <c r="A2235" t="s">
        <v>4664</v>
      </c>
      <c r="B2235" t="str">
        <f>"000100"</f>
        <v>000100</v>
      </c>
      <c r="C2235" t="s">
        <v>4795</v>
      </c>
      <c r="D2235" t="s">
        <v>1117</v>
      </c>
      <c r="F2235">
        <v>102830329814</v>
      </c>
      <c r="G2235">
        <v>50348052437</v>
      </c>
      <c r="H2235">
        <v>62445844833</v>
      </c>
      <c r="I2235">
        <v>87478829334</v>
      </c>
      <c r="J2235">
        <v>83933875964</v>
      </c>
      <c r="K2235">
        <v>81294587127</v>
      </c>
      <c r="L2235">
        <v>77024886824</v>
      </c>
      <c r="M2235">
        <v>72196187489</v>
      </c>
      <c r="N2235">
        <v>66670110477</v>
      </c>
      <c r="O2235">
        <v>54337070466</v>
      </c>
      <c r="P2235">
        <v>2194</v>
      </c>
      <c r="Q2235" t="s">
        <v>4796</v>
      </c>
    </row>
    <row r="2236" spans="1:17" x14ac:dyDescent="0.3">
      <c r="A2236" t="s">
        <v>4664</v>
      </c>
      <c r="B2236" t="str">
        <f>"000150"</f>
        <v>000150</v>
      </c>
      <c r="C2236" t="s">
        <v>4797</v>
      </c>
      <c r="D2236" t="s">
        <v>1147</v>
      </c>
      <c r="F2236">
        <v>960160326</v>
      </c>
      <c r="G2236">
        <v>1107282706</v>
      </c>
      <c r="H2236">
        <v>1288067170</v>
      </c>
      <c r="I2236">
        <v>1454970105</v>
      </c>
      <c r="J2236">
        <v>813845724</v>
      </c>
      <c r="K2236">
        <v>708554719</v>
      </c>
      <c r="L2236">
        <v>740828743</v>
      </c>
      <c r="M2236">
        <v>124622021</v>
      </c>
      <c r="N2236">
        <v>395756444</v>
      </c>
      <c r="O2236">
        <v>141651335</v>
      </c>
      <c r="P2236">
        <v>184</v>
      </c>
      <c r="Q2236" t="s">
        <v>4798</v>
      </c>
    </row>
    <row r="2237" spans="1:17" x14ac:dyDescent="0.3">
      <c r="A2237" t="s">
        <v>4664</v>
      </c>
      <c r="B2237" t="str">
        <f>"000151"</f>
        <v>000151</v>
      </c>
      <c r="C2237" t="s">
        <v>4799</v>
      </c>
      <c r="D2237" t="s">
        <v>131</v>
      </c>
      <c r="F2237">
        <v>497159900</v>
      </c>
      <c r="G2237">
        <v>797510032</v>
      </c>
      <c r="H2237">
        <v>400211615</v>
      </c>
      <c r="I2237">
        <v>682116086</v>
      </c>
      <c r="J2237">
        <v>1569269780</v>
      </c>
      <c r="K2237">
        <v>315308388</v>
      </c>
      <c r="L2237">
        <v>326794569</v>
      </c>
      <c r="M2237">
        <v>1482161968</v>
      </c>
      <c r="N2237">
        <v>1620079943</v>
      </c>
      <c r="O2237">
        <v>1691854358</v>
      </c>
      <c r="P2237">
        <v>95</v>
      </c>
      <c r="Q2237" t="s">
        <v>4800</v>
      </c>
    </row>
    <row r="2238" spans="1:17" x14ac:dyDescent="0.3">
      <c r="A2238" t="s">
        <v>4664</v>
      </c>
      <c r="B2238" t="str">
        <f>"000153"</f>
        <v>000153</v>
      </c>
      <c r="C2238" t="s">
        <v>4801</v>
      </c>
      <c r="D2238" t="s">
        <v>143</v>
      </c>
      <c r="F2238">
        <v>2932497103</v>
      </c>
      <c r="G2238">
        <v>2703135816</v>
      </c>
      <c r="H2238">
        <v>2709209523</v>
      </c>
      <c r="I2238">
        <v>2503767988</v>
      </c>
      <c r="J2238">
        <v>1948697423</v>
      </c>
      <c r="K2238">
        <v>1485258369</v>
      </c>
      <c r="L2238">
        <v>1357568500</v>
      </c>
      <c r="M2238">
        <v>1398467331</v>
      </c>
      <c r="N2238">
        <v>1236005627</v>
      </c>
      <c r="O2238">
        <v>1522912010</v>
      </c>
      <c r="P2238">
        <v>118</v>
      </c>
      <c r="Q2238" t="s">
        <v>4802</v>
      </c>
    </row>
    <row r="2239" spans="1:17" x14ac:dyDescent="0.3">
      <c r="A2239" t="s">
        <v>4664</v>
      </c>
      <c r="B2239" t="str">
        <f>"000155"</f>
        <v>000155</v>
      </c>
      <c r="C2239" t="s">
        <v>4803</v>
      </c>
      <c r="D2239" t="s">
        <v>383</v>
      </c>
      <c r="F2239">
        <v>2136707627</v>
      </c>
      <c r="G2239">
        <v>1390879421</v>
      </c>
      <c r="H2239">
        <v>1760215514</v>
      </c>
      <c r="I2239">
        <v>3404639150</v>
      </c>
      <c r="J2239">
        <v>4149233528</v>
      </c>
      <c r="K2239">
        <v>570296268</v>
      </c>
      <c r="L2239">
        <v>240615242</v>
      </c>
      <c r="M2239">
        <v>929026087</v>
      </c>
      <c r="N2239">
        <v>1184800922</v>
      </c>
      <c r="O2239">
        <v>1621621946</v>
      </c>
      <c r="P2239">
        <v>309</v>
      </c>
      <c r="Q2239" t="s">
        <v>4804</v>
      </c>
    </row>
    <row r="2240" spans="1:17" x14ac:dyDescent="0.3">
      <c r="A2240" t="s">
        <v>4664</v>
      </c>
      <c r="B2240" t="str">
        <f>"000156"</f>
        <v>000156</v>
      </c>
      <c r="C2240" t="s">
        <v>4805</v>
      </c>
      <c r="D2240" t="s">
        <v>95</v>
      </c>
      <c r="F2240">
        <v>5646109676</v>
      </c>
      <c r="G2240">
        <v>2695507162</v>
      </c>
      <c r="H2240">
        <v>2367669487</v>
      </c>
      <c r="I2240">
        <v>2234640020</v>
      </c>
      <c r="J2240">
        <v>2135981928</v>
      </c>
      <c r="K2240">
        <v>2085973329</v>
      </c>
      <c r="L2240">
        <v>1875091007</v>
      </c>
      <c r="M2240">
        <v>1839334041</v>
      </c>
      <c r="N2240">
        <v>1354674379</v>
      </c>
      <c r="O2240">
        <v>1092576922</v>
      </c>
      <c r="P2240">
        <v>309</v>
      </c>
      <c r="Q2240" t="s">
        <v>4806</v>
      </c>
    </row>
    <row r="2241" spans="1:17" x14ac:dyDescent="0.3">
      <c r="A2241" t="s">
        <v>4664</v>
      </c>
      <c r="B2241" t="str">
        <f>"000157"</f>
        <v>000157</v>
      </c>
      <c r="C2241" t="s">
        <v>4807</v>
      </c>
      <c r="D2241" t="s">
        <v>83</v>
      </c>
      <c r="F2241">
        <v>50821434643</v>
      </c>
      <c r="G2241">
        <v>38482501368</v>
      </c>
      <c r="H2241">
        <v>30588753481</v>
      </c>
      <c r="I2241">
        <v>22024317564</v>
      </c>
      <c r="J2241">
        <v>16763959619</v>
      </c>
      <c r="K2241">
        <v>12618779947</v>
      </c>
      <c r="L2241">
        <v>15273321698</v>
      </c>
      <c r="M2241">
        <v>23848952842</v>
      </c>
      <c r="N2241">
        <v>31128283254</v>
      </c>
      <c r="O2241">
        <v>35640775411</v>
      </c>
      <c r="P2241">
        <v>1683</v>
      </c>
      <c r="Q2241" t="s">
        <v>4808</v>
      </c>
    </row>
    <row r="2242" spans="1:17" x14ac:dyDescent="0.3">
      <c r="A2242" t="s">
        <v>4664</v>
      </c>
      <c r="B2242" t="str">
        <f>"000158"</f>
        <v>000158</v>
      </c>
      <c r="C2242" t="s">
        <v>4809</v>
      </c>
      <c r="D2242" t="s">
        <v>316</v>
      </c>
      <c r="F2242">
        <v>7774399510</v>
      </c>
      <c r="G2242">
        <v>6233417853</v>
      </c>
      <c r="H2242">
        <v>7570584967</v>
      </c>
      <c r="I2242">
        <v>6616550011</v>
      </c>
      <c r="J2242">
        <v>6991156640</v>
      </c>
      <c r="K2242">
        <v>7303601233</v>
      </c>
      <c r="L2242">
        <v>6438585529</v>
      </c>
      <c r="M2242">
        <v>4511434119</v>
      </c>
      <c r="N2242">
        <v>4963580625</v>
      </c>
      <c r="O2242">
        <v>2927994383</v>
      </c>
      <c r="P2242">
        <v>295</v>
      </c>
      <c r="Q2242" t="s">
        <v>4810</v>
      </c>
    </row>
    <row r="2243" spans="1:17" x14ac:dyDescent="0.3">
      <c r="A2243" t="s">
        <v>4664</v>
      </c>
      <c r="B2243" t="str">
        <f>"000159"</f>
        <v>000159</v>
      </c>
      <c r="C2243" t="s">
        <v>4811</v>
      </c>
      <c r="D2243" t="s">
        <v>584</v>
      </c>
      <c r="F2243">
        <v>745473102</v>
      </c>
      <c r="G2243">
        <v>399780167</v>
      </c>
      <c r="H2243">
        <v>385975308</v>
      </c>
      <c r="I2243">
        <v>410148068</v>
      </c>
      <c r="J2243">
        <v>320420952</v>
      </c>
      <c r="K2243">
        <v>382384292</v>
      </c>
      <c r="L2243">
        <v>510994734</v>
      </c>
      <c r="M2243">
        <v>1057558263</v>
      </c>
      <c r="N2243">
        <v>744231207</v>
      </c>
      <c r="O2243">
        <v>1281998660</v>
      </c>
      <c r="P2243">
        <v>100</v>
      </c>
      <c r="Q2243" t="s">
        <v>4812</v>
      </c>
    </row>
    <row r="2244" spans="1:17" x14ac:dyDescent="0.3">
      <c r="A2244" t="s">
        <v>4664</v>
      </c>
      <c r="B2244" t="str">
        <f>"000166"</f>
        <v>000166</v>
      </c>
      <c r="C2244" t="s">
        <v>4813</v>
      </c>
      <c r="D2244" t="s">
        <v>80</v>
      </c>
      <c r="P2244">
        <v>2819</v>
      </c>
      <c r="Q2244" t="s">
        <v>4814</v>
      </c>
    </row>
    <row r="2245" spans="1:17" x14ac:dyDescent="0.3">
      <c r="A2245" t="s">
        <v>4664</v>
      </c>
      <c r="B2245" t="str">
        <f>"000301"</f>
        <v>000301</v>
      </c>
      <c r="C2245" t="s">
        <v>4815</v>
      </c>
      <c r="D2245" t="s">
        <v>74</v>
      </c>
      <c r="F2245">
        <v>27612948440</v>
      </c>
      <c r="G2245">
        <v>16525173794</v>
      </c>
      <c r="H2245">
        <v>20773888285</v>
      </c>
      <c r="I2245">
        <v>16295702971</v>
      </c>
      <c r="J2245">
        <v>999825122</v>
      </c>
      <c r="K2245">
        <v>621421528</v>
      </c>
      <c r="L2245">
        <v>517781000</v>
      </c>
      <c r="M2245">
        <v>560876494</v>
      </c>
      <c r="N2245">
        <v>714818818</v>
      </c>
      <c r="O2245">
        <v>918048570</v>
      </c>
      <c r="P2245">
        <v>397</v>
      </c>
      <c r="Q2245" t="s">
        <v>4816</v>
      </c>
    </row>
    <row r="2246" spans="1:17" x14ac:dyDescent="0.3">
      <c r="A2246" t="s">
        <v>4664</v>
      </c>
      <c r="B2246" t="str">
        <f>"000333"</f>
        <v>000333</v>
      </c>
      <c r="C2246" t="s">
        <v>4817</v>
      </c>
      <c r="D2246" t="s">
        <v>1723</v>
      </c>
      <c r="F2246">
        <v>227937641000</v>
      </c>
      <c r="G2246">
        <v>182997506000</v>
      </c>
      <c r="H2246">
        <v>187113896000</v>
      </c>
      <c r="I2246">
        <v>160376963000</v>
      </c>
      <c r="J2246">
        <v>148783253000</v>
      </c>
      <c r="K2246">
        <v>112216632000</v>
      </c>
      <c r="L2246">
        <v>92229531230</v>
      </c>
      <c r="M2246">
        <v>78057006280</v>
      </c>
      <c r="N2246">
        <v>63042320830</v>
      </c>
      <c r="O2246">
        <v>57740374350</v>
      </c>
      <c r="P2246">
        <v>25066</v>
      </c>
      <c r="Q2246" t="s">
        <v>4818</v>
      </c>
    </row>
    <row r="2247" spans="1:17" x14ac:dyDescent="0.3">
      <c r="A2247" t="s">
        <v>4664</v>
      </c>
      <c r="B2247" t="str">
        <f>"000338"</f>
        <v>000338</v>
      </c>
      <c r="C2247" t="s">
        <v>4819</v>
      </c>
      <c r="D2247" t="s">
        <v>348</v>
      </c>
      <c r="F2247">
        <v>136574020210</v>
      </c>
      <c r="G2247">
        <v>108929251801</v>
      </c>
      <c r="H2247">
        <v>103365771889</v>
      </c>
      <c r="I2247">
        <v>98478414768</v>
      </c>
      <c r="J2247">
        <v>84835825578</v>
      </c>
      <c r="K2247">
        <v>49884502305</v>
      </c>
      <c r="L2247">
        <v>52566789097</v>
      </c>
      <c r="M2247">
        <v>42428811860</v>
      </c>
      <c r="N2247">
        <v>24683885765</v>
      </c>
      <c r="O2247">
        <v>26133972552</v>
      </c>
      <c r="P2247">
        <v>3423</v>
      </c>
      <c r="Q2247" t="s">
        <v>4820</v>
      </c>
    </row>
    <row r="2248" spans="1:17" x14ac:dyDescent="0.3">
      <c r="A2248" t="s">
        <v>4664</v>
      </c>
      <c r="B2248" t="str">
        <f>"000400"</f>
        <v>000400</v>
      </c>
      <c r="C2248" t="s">
        <v>4821</v>
      </c>
      <c r="D2248" t="s">
        <v>610</v>
      </c>
      <c r="F2248">
        <v>6670994810</v>
      </c>
      <c r="G2248">
        <v>5750869771</v>
      </c>
      <c r="H2248">
        <v>5812572127</v>
      </c>
      <c r="I2248">
        <v>4423966296</v>
      </c>
      <c r="J2248">
        <v>5127737596</v>
      </c>
      <c r="K2248">
        <v>4440613280</v>
      </c>
      <c r="L2248">
        <v>3854934100</v>
      </c>
      <c r="M2248">
        <v>4261725731</v>
      </c>
      <c r="N2248">
        <v>3854799230</v>
      </c>
      <c r="O2248">
        <v>3468341594</v>
      </c>
      <c r="P2248">
        <v>688</v>
      </c>
      <c r="Q2248" t="s">
        <v>4822</v>
      </c>
    </row>
    <row r="2249" spans="1:17" x14ac:dyDescent="0.3">
      <c r="A2249" t="s">
        <v>4664</v>
      </c>
      <c r="B2249" t="str">
        <f>"000401"</f>
        <v>000401</v>
      </c>
      <c r="C2249" t="s">
        <v>4823</v>
      </c>
      <c r="D2249" t="s">
        <v>731</v>
      </c>
      <c r="F2249">
        <v>25879154269</v>
      </c>
      <c r="G2249">
        <v>22912431058</v>
      </c>
      <c r="H2249">
        <v>20605612533</v>
      </c>
      <c r="I2249">
        <v>15294639766</v>
      </c>
      <c r="J2249">
        <v>8212154794</v>
      </c>
      <c r="K2249">
        <v>7685048371</v>
      </c>
      <c r="L2249">
        <v>6629862896</v>
      </c>
      <c r="M2249">
        <v>8322064856</v>
      </c>
      <c r="N2249">
        <v>8264309784</v>
      </c>
      <c r="O2249">
        <v>8932708936</v>
      </c>
      <c r="P2249">
        <v>826</v>
      </c>
      <c r="Q2249" t="s">
        <v>4824</v>
      </c>
    </row>
    <row r="2250" spans="1:17" x14ac:dyDescent="0.3">
      <c r="A2250" t="s">
        <v>4664</v>
      </c>
      <c r="B2250" t="str">
        <f>"000402"</f>
        <v>000402</v>
      </c>
      <c r="C2250" t="s">
        <v>4825</v>
      </c>
      <c r="D2250" t="s">
        <v>30</v>
      </c>
      <c r="F2250">
        <v>18390639944</v>
      </c>
      <c r="G2250">
        <v>13625915411</v>
      </c>
      <c r="H2250">
        <v>22248406287</v>
      </c>
      <c r="I2250">
        <v>13284899952</v>
      </c>
      <c r="J2250">
        <v>14677369285</v>
      </c>
      <c r="K2250">
        <v>19815028148</v>
      </c>
      <c r="L2250">
        <v>11264087993</v>
      </c>
      <c r="M2250">
        <v>12689015454</v>
      </c>
      <c r="N2250">
        <v>12989662369</v>
      </c>
      <c r="O2250">
        <v>9248249925</v>
      </c>
      <c r="P2250">
        <v>974</v>
      </c>
      <c r="Q2250" t="s">
        <v>4826</v>
      </c>
    </row>
    <row r="2251" spans="1:17" x14ac:dyDescent="0.3">
      <c r="A2251" t="s">
        <v>4664</v>
      </c>
      <c r="B2251" t="str">
        <f>"000403"</f>
        <v>000403</v>
      </c>
      <c r="C2251" t="s">
        <v>4827</v>
      </c>
      <c r="D2251" t="s">
        <v>378</v>
      </c>
      <c r="F2251">
        <v>1216942595</v>
      </c>
      <c r="G2251">
        <v>730451792</v>
      </c>
      <c r="H2251">
        <v>630275339</v>
      </c>
      <c r="I2251">
        <v>556007209</v>
      </c>
      <c r="J2251">
        <v>416929632</v>
      </c>
      <c r="K2251">
        <v>422600298</v>
      </c>
      <c r="L2251">
        <v>382597614</v>
      </c>
      <c r="M2251">
        <v>300415132</v>
      </c>
      <c r="N2251">
        <v>385016652</v>
      </c>
      <c r="O2251">
        <v>387218941</v>
      </c>
      <c r="P2251">
        <v>294</v>
      </c>
      <c r="Q2251" t="s">
        <v>4828</v>
      </c>
    </row>
    <row r="2252" spans="1:17" x14ac:dyDescent="0.3">
      <c r="A2252" t="s">
        <v>4664</v>
      </c>
      <c r="B2252" t="str">
        <f>"000404"</f>
        <v>000404</v>
      </c>
      <c r="C2252" t="s">
        <v>4829</v>
      </c>
      <c r="D2252" t="s">
        <v>1253</v>
      </c>
      <c r="F2252">
        <v>7992442166</v>
      </c>
      <c r="G2252">
        <v>6165639467</v>
      </c>
      <c r="H2252">
        <v>6396344685</v>
      </c>
      <c r="I2252">
        <v>5351750491</v>
      </c>
      <c r="J2252">
        <v>4512149800</v>
      </c>
      <c r="K2252">
        <v>4227908738</v>
      </c>
      <c r="L2252">
        <v>4683001260</v>
      </c>
      <c r="M2252">
        <v>4666146520</v>
      </c>
      <c r="N2252">
        <v>4169056969</v>
      </c>
      <c r="O2252">
        <v>3558087042</v>
      </c>
      <c r="P2252">
        <v>113</v>
      </c>
      <c r="Q2252" t="s">
        <v>4830</v>
      </c>
    </row>
    <row r="2253" spans="1:17" x14ac:dyDescent="0.3">
      <c r="A2253" t="s">
        <v>4664</v>
      </c>
      <c r="B2253" t="str">
        <f>"000407"</f>
        <v>000407</v>
      </c>
      <c r="C2253" t="s">
        <v>4831</v>
      </c>
      <c r="D2253" t="s">
        <v>749</v>
      </c>
      <c r="F2253">
        <v>3658415665</v>
      </c>
      <c r="G2253">
        <v>3071971590</v>
      </c>
      <c r="H2253">
        <v>4346685746</v>
      </c>
      <c r="I2253">
        <v>3681150841</v>
      </c>
      <c r="J2253">
        <v>2969444157</v>
      </c>
      <c r="K2253">
        <v>1860565729</v>
      </c>
      <c r="L2253">
        <v>2089309797</v>
      </c>
      <c r="M2253">
        <v>2247410460</v>
      </c>
      <c r="N2253">
        <v>1927453974</v>
      </c>
      <c r="O2253">
        <v>1866045224</v>
      </c>
      <c r="P2253">
        <v>113</v>
      </c>
      <c r="Q2253" t="s">
        <v>4832</v>
      </c>
    </row>
    <row r="2254" spans="1:17" x14ac:dyDescent="0.3">
      <c r="A2254" t="s">
        <v>4664</v>
      </c>
      <c r="B2254" t="str">
        <f>"000408"</f>
        <v>000408</v>
      </c>
      <c r="C2254" t="s">
        <v>4833</v>
      </c>
      <c r="D2254" t="s">
        <v>3431</v>
      </c>
      <c r="F2254">
        <v>2059503220</v>
      </c>
      <c r="G2254">
        <v>977748539</v>
      </c>
      <c r="H2254">
        <v>914085879</v>
      </c>
      <c r="I2254">
        <v>2091879875</v>
      </c>
      <c r="J2254">
        <v>988962293</v>
      </c>
      <c r="K2254">
        <v>1362959164</v>
      </c>
      <c r="L2254">
        <v>133577696</v>
      </c>
      <c r="M2254">
        <v>15037373</v>
      </c>
      <c r="N2254">
        <v>56419869</v>
      </c>
      <c r="O2254">
        <v>9000000</v>
      </c>
      <c r="P2254">
        <v>188</v>
      </c>
      <c r="Q2254" t="s">
        <v>4834</v>
      </c>
    </row>
    <row r="2255" spans="1:17" x14ac:dyDescent="0.3">
      <c r="A2255" t="s">
        <v>4664</v>
      </c>
      <c r="B2255" t="str">
        <f>"000409"</f>
        <v>000409</v>
      </c>
      <c r="C2255" t="s">
        <v>4835</v>
      </c>
      <c r="D2255" t="s">
        <v>110</v>
      </c>
      <c r="F2255">
        <v>180932450</v>
      </c>
      <c r="G2255">
        <v>1801303303</v>
      </c>
      <c r="H2255">
        <v>1737198554</v>
      </c>
      <c r="I2255">
        <v>1016457760</v>
      </c>
      <c r="J2255">
        <v>1378224237</v>
      </c>
      <c r="K2255">
        <v>1796276874</v>
      </c>
      <c r="L2255">
        <v>465185400</v>
      </c>
      <c r="M2255">
        <v>188485410</v>
      </c>
      <c r="N2255">
        <v>152142876</v>
      </c>
      <c r="O2255">
        <v>100055854</v>
      </c>
      <c r="P2255">
        <v>75</v>
      </c>
      <c r="Q2255" t="s">
        <v>4836</v>
      </c>
    </row>
    <row r="2256" spans="1:17" x14ac:dyDescent="0.3">
      <c r="A2256" t="s">
        <v>4664</v>
      </c>
      <c r="B2256" t="str">
        <f>"000410"</f>
        <v>000410</v>
      </c>
      <c r="C2256" t="s">
        <v>4837</v>
      </c>
      <c r="D2256" t="s">
        <v>2312</v>
      </c>
      <c r="F2256">
        <v>536794162</v>
      </c>
      <c r="G2256">
        <v>304737491</v>
      </c>
      <c r="H2256">
        <v>1079094331</v>
      </c>
      <c r="I2256">
        <v>3065904570</v>
      </c>
      <c r="J2256">
        <v>2615012227</v>
      </c>
      <c r="K2256">
        <v>2963294347</v>
      </c>
      <c r="L2256">
        <v>2967602532</v>
      </c>
      <c r="M2256">
        <v>3314227634</v>
      </c>
      <c r="N2256">
        <v>3300658202</v>
      </c>
      <c r="O2256">
        <v>4341298258</v>
      </c>
      <c r="P2256">
        <v>101</v>
      </c>
      <c r="Q2256" t="s">
        <v>4838</v>
      </c>
    </row>
    <row r="2257" spans="1:17" x14ac:dyDescent="0.3">
      <c r="A2257" t="s">
        <v>4664</v>
      </c>
      <c r="B2257" t="str">
        <f>"000411"</f>
        <v>000411</v>
      </c>
      <c r="C2257" t="s">
        <v>4839</v>
      </c>
      <c r="D2257" t="s">
        <v>125</v>
      </c>
      <c r="F2257">
        <v>19203342834</v>
      </c>
      <c r="G2257">
        <v>17968956099</v>
      </c>
      <c r="H2257">
        <v>17871651950</v>
      </c>
      <c r="I2257">
        <v>15933856930</v>
      </c>
      <c r="J2257">
        <v>14042972512</v>
      </c>
      <c r="K2257">
        <v>12520221473</v>
      </c>
      <c r="L2257">
        <v>11388812121</v>
      </c>
      <c r="M2257">
        <v>10996715696</v>
      </c>
      <c r="N2257">
        <v>9632135589</v>
      </c>
      <c r="O2257">
        <v>8290987450</v>
      </c>
      <c r="P2257">
        <v>236</v>
      </c>
      <c r="Q2257" t="s">
        <v>4840</v>
      </c>
    </row>
    <row r="2258" spans="1:17" x14ac:dyDescent="0.3">
      <c r="A2258" t="s">
        <v>4664</v>
      </c>
      <c r="B2258" t="str">
        <f>"000413"</f>
        <v>000413</v>
      </c>
      <c r="C2258" t="s">
        <v>4841</v>
      </c>
      <c r="D2258" t="s">
        <v>1117</v>
      </c>
      <c r="F2258">
        <v>6046558100</v>
      </c>
      <c r="G2258">
        <v>5822817293</v>
      </c>
      <c r="H2258">
        <v>16313795682</v>
      </c>
      <c r="I2258">
        <v>15776552567</v>
      </c>
      <c r="J2258">
        <v>7913961378</v>
      </c>
      <c r="K2258">
        <v>4942989806</v>
      </c>
      <c r="L2258">
        <v>2186019945</v>
      </c>
      <c r="M2258">
        <v>339652687</v>
      </c>
      <c r="N2258">
        <v>146689137</v>
      </c>
      <c r="O2258">
        <v>282744345</v>
      </c>
      <c r="P2258">
        <v>525</v>
      </c>
      <c r="Q2258" t="s">
        <v>4842</v>
      </c>
    </row>
    <row r="2259" spans="1:17" x14ac:dyDescent="0.3">
      <c r="A2259" t="s">
        <v>4664</v>
      </c>
      <c r="B2259" t="str">
        <f>"000415"</f>
        <v>000415</v>
      </c>
      <c r="C2259" t="s">
        <v>4843</v>
      </c>
      <c r="D2259" t="s">
        <v>336</v>
      </c>
      <c r="F2259">
        <v>11881396000</v>
      </c>
      <c r="G2259">
        <v>11525351000</v>
      </c>
      <c r="H2259">
        <v>16654311000</v>
      </c>
      <c r="I2259">
        <v>19480084000</v>
      </c>
      <c r="J2259">
        <v>18550096000</v>
      </c>
      <c r="K2259">
        <v>18475061000</v>
      </c>
      <c r="L2259">
        <v>7152599000</v>
      </c>
      <c r="M2259">
        <v>5265153000</v>
      </c>
      <c r="N2259">
        <v>907161453</v>
      </c>
      <c r="O2259">
        <v>0</v>
      </c>
      <c r="P2259">
        <v>256</v>
      </c>
      <c r="Q2259" t="s">
        <v>4844</v>
      </c>
    </row>
    <row r="2260" spans="1:17" x14ac:dyDescent="0.3">
      <c r="A2260" t="s">
        <v>4664</v>
      </c>
      <c r="B2260" t="str">
        <f>"000416"</f>
        <v>000416</v>
      </c>
      <c r="C2260" t="s">
        <v>4845</v>
      </c>
      <c r="D2260" t="s">
        <v>140</v>
      </c>
      <c r="F2260">
        <v>7363179</v>
      </c>
      <c r="G2260">
        <v>4639025</v>
      </c>
      <c r="H2260">
        <v>6422089</v>
      </c>
      <c r="I2260">
        <v>7956861</v>
      </c>
      <c r="J2260">
        <v>5347878</v>
      </c>
      <c r="K2260">
        <v>132152017</v>
      </c>
      <c r="L2260">
        <v>77189446</v>
      </c>
      <c r="M2260">
        <v>386146787</v>
      </c>
      <c r="N2260">
        <v>421681678</v>
      </c>
      <c r="O2260">
        <v>412311454</v>
      </c>
      <c r="P2260">
        <v>119</v>
      </c>
      <c r="Q2260" t="s">
        <v>4846</v>
      </c>
    </row>
    <row r="2261" spans="1:17" x14ac:dyDescent="0.3">
      <c r="A2261" t="s">
        <v>4664</v>
      </c>
      <c r="B2261" t="str">
        <f>"000417"</f>
        <v>000417</v>
      </c>
      <c r="C2261" t="s">
        <v>4847</v>
      </c>
      <c r="D2261" t="s">
        <v>633</v>
      </c>
      <c r="F2261">
        <v>9127987377</v>
      </c>
      <c r="G2261">
        <v>7967487091</v>
      </c>
      <c r="H2261">
        <v>9550188485</v>
      </c>
      <c r="I2261">
        <v>9633032589</v>
      </c>
      <c r="J2261">
        <v>9350723122</v>
      </c>
      <c r="K2261">
        <v>8920160562</v>
      </c>
      <c r="L2261">
        <v>9154968725</v>
      </c>
      <c r="M2261">
        <v>9392706341</v>
      </c>
      <c r="N2261">
        <v>9566031912</v>
      </c>
      <c r="O2261">
        <v>8270363204</v>
      </c>
      <c r="P2261">
        <v>145</v>
      </c>
      <c r="Q2261" t="s">
        <v>4848</v>
      </c>
    </row>
    <row r="2262" spans="1:17" x14ac:dyDescent="0.3">
      <c r="A2262" t="s">
        <v>4664</v>
      </c>
      <c r="B2262" t="str">
        <f>"000418"</f>
        <v>000418</v>
      </c>
      <c r="C2262" t="s">
        <v>4849</v>
      </c>
      <c r="I2262">
        <v>13119826376</v>
      </c>
      <c r="J2262">
        <v>11502461367</v>
      </c>
      <c r="K2262">
        <v>10031334899.280001</v>
      </c>
      <c r="L2262">
        <v>8539671109.04</v>
      </c>
      <c r="M2262">
        <v>5854769921.8599997</v>
      </c>
      <c r="N2262">
        <v>5442525374.2399998</v>
      </c>
      <c r="O2262">
        <v>4726491546.6300001</v>
      </c>
      <c r="P2262">
        <v>653</v>
      </c>
      <c r="Q2262" t="s">
        <v>4850</v>
      </c>
    </row>
    <row r="2263" spans="1:17" x14ac:dyDescent="0.3">
      <c r="A2263" t="s">
        <v>4664</v>
      </c>
      <c r="B2263" t="str">
        <f>"000419"</f>
        <v>000419</v>
      </c>
      <c r="C2263" t="s">
        <v>4851</v>
      </c>
      <c r="D2263" t="s">
        <v>1404</v>
      </c>
      <c r="F2263">
        <v>2192385026</v>
      </c>
      <c r="G2263">
        <v>2166747589</v>
      </c>
      <c r="H2263">
        <v>2847635615</v>
      </c>
      <c r="I2263">
        <v>3188494613</v>
      </c>
      <c r="J2263">
        <v>3306542319</v>
      </c>
      <c r="K2263">
        <v>3120405356</v>
      </c>
      <c r="L2263">
        <v>3590469797</v>
      </c>
      <c r="M2263">
        <v>3605912611</v>
      </c>
      <c r="N2263">
        <v>3586360483</v>
      </c>
      <c r="O2263">
        <v>3204959221</v>
      </c>
      <c r="P2263">
        <v>115</v>
      </c>
      <c r="Q2263" t="s">
        <v>4852</v>
      </c>
    </row>
    <row r="2264" spans="1:17" x14ac:dyDescent="0.3">
      <c r="A2264" t="s">
        <v>4664</v>
      </c>
      <c r="B2264" t="str">
        <f>"000420"</f>
        <v>000420</v>
      </c>
      <c r="C2264" t="s">
        <v>4853</v>
      </c>
      <c r="D2264" t="s">
        <v>888</v>
      </c>
      <c r="F2264">
        <v>1693194645</v>
      </c>
      <c r="G2264">
        <v>1063762200</v>
      </c>
      <c r="H2264">
        <v>1085807541</v>
      </c>
      <c r="I2264">
        <v>1015288205</v>
      </c>
      <c r="J2264">
        <v>770160193</v>
      </c>
      <c r="K2264">
        <v>441988730</v>
      </c>
      <c r="L2264">
        <v>377284721</v>
      </c>
      <c r="M2264">
        <v>472135157</v>
      </c>
      <c r="N2264">
        <v>754906938</v>
      </c>
      <c r="O2264">
        <v>654737971</v>
      </c>
      <c r="P2264">
        <v>101</v>
      </c>
      <c r="Q2264" t="s">
        <v>4854</v>
      </c>
    </row>
    <row r="2265" spans="1:17" x14ac:dyDescent="0.3">
      <c r="A2265" t="s">
        <v>4664</v>
      </c>
      <c r="B2265" t="str">
        <f>"000421"</f>
        <v>000421</v>
      </c>
      <c r="C2265" t="s">
        <v>4855</v>
      </c>
      <c r="D2265" t="s">
        <v>749</v>
      </c>
      <c r="F2265">
        <v>3840744253</v>
      </c>
      <c r="G2265">
        <v>2495974398</v>
      </c>
      <c r="H2265">
        <v>2856406972</v>
      </c>
      <c r="I2265">
        <v>3763039175</v>
      </c>
      <c r="J2265">
        <v>4366130948</v>
      </c>
      <c r="K2265">
        <v>3055054239</v>
      </c>
      <c r="L2265">
        <v>3153608068</v>
      </c>
      <c r="M2265">
        <v>1141551748</v>
      </c>
      <c r="N2265">
        <v>1211466991</v>
      </c>
      <c r="O2265">
        <v>1321833782</v>
      </c>
      <c r="P2265">
        <v>159</v>
      </c>
      <c r="Q2265" t="s">
        <v>4856</v>
      </c>
    </row>
    <row r="2266" spans="1:17" x14ac:dyDescent="0.3">
      <c r="A2266" t="s">
        <v>4664</v>
      </c>
      <c r="B2266" t="str">
        <f>"000422"</f>
        <v>000422</v>
      </c>
      <c r="C2266" t="s">
        <v>4857</v>
      </c>
      <c r="D2266" t="s">
        <v>175</v>
      </c>
      <c r="F2266">
        <v>14801921474</v>
      </c>
      <c r="G2266">
        <v>9581088164</v>
      </c>
      <c r="H2266">
        <v>11443118606</v>
      </c>
      <c r="I2266">
        <v>10599604286</v>
      </c>
      <c r="J2266">
        <v>11684965079</v>
      </c>
      <c r="K2266">
        <v>14824909898</v>
      </c>
      <c r="L2266">
        <v>16184464961</v>
      </c>
      <c r="M2266">
        <v>15265967935</v>
      </c>
      <c r="N2266">
        <v>14949591065</v>
      </c>
      <c r="O2266">
        <v>15497937599</v>
      </c>
      <c r="P2266">
        <v>257</v>
      </c>
      <c r="Q2266" t="s">
        <v>4858</v>
      </c>
    </row>
    <row r="2267" spans="1:17" x14ac:dyDescent="0.3">
      <c r="A2267" t="s">
        <v>4664</v>
      </c>
      <c r="B2267" t="str">
        <f>"000423"</f>
        <v>000423</v>
      </c>
      <c r="C2267" t="s">
        <v>4859</v>
      </c>
      <c r="D2267" t="s">
        <v>188</v>
      </c>
      <c r="F2267">
        <v>3813160732</v>
      </c>
      <c r="G2267">
        <v>2041503560</v>
      </c>
      <c r="H2267">
        <v>2392298395</v>
      </c>
      <c r="I2267">
        <v>3720753936</v>
      </c>
      <c r="J2267">
        <v>4050964389</v>
      </c>
      <c r="K2267">
        <v>3208583009</v>
      </c>
      <c r="L2267">
        <v>3462414450</v>
      </c>
      <c r="M2267">
        <v>2537549617</v>
      </c>
      <c r="N2267">
        <v>2696003367</v>
      </c>
      <c r="O2267">
        <v>1703999571</v>
      </c>
      <c r="P2267">
        <v>24620</v>
      </c>
      <c r="Q2267" t="s">
        <v>4860</v>
      </c>
    </row>
    <row r="2268" spans="1:17" x14ac:dyDescent="0.3">
      <c r="A2268" t="s">
        <v>4664</v>
      </c>
      <c r="B2268" t="str">
        <f>"000425"</f>
        <v>000425</v>
      </c>
      <c r="C2268" t="s">
        <v>4861</v>
      </c>
      <c r="D2268" t="s">
        <v>83</v>
      </c>
      <c r="F2268">
        <v>72171536758</v>
      </c>
      <c r="G2268">
        <v>50785098314</v>
      </c>
      <c r="H2268">
        <v>39833441292</v>
      </c>
      <c r="I2268">
        <v>34390478716</v>
      </c>
      <c r="J2268">
        <v>23396303192</v>
      </c>
      <c r="K2268">
        <v>13774990809</v>
      </c>
      <c r="L2268">
        <v>11851088236</v>
      </c>
      <c r="M2268">
        <v>17353561100</v>
      </c>
      <c r="N2268">
        <v>19004799432</v>
      </c>
      <c r="O2268">
        <v>20088894151</v>
      </c>
      <c r="P2268">
        <v>961</v>
      </c>
      <c r="Q2268" t="s">
        <v>4862</v>
      </c>
    </row>
    <row r="2269" spans="1:17" x14ac:dyDescent="0.3">
      <c r="A2269" t="s">
        <v>4664</v>
      </c>
      <c r="B2269" t="str">
        <f>"000426"</f>
        <v>000426</v>
      </c>
      <c r="C2269" t="s">
        <v>4863</v>
      </c>
      <c r="D2269" t="s">
        <v>744</v>
      </c>
      <c r="F2269">
        <v>1760193640</v>
      </c>
      <c r="G2269">
        <v>707021204</v>
      </c>
      <c r="H2269">
        <v>696888738</v>
      </c>
      <c r="I2269">
        <v>2169188680</v>
      </c>
      <c r="J2269">
        <v>1567487688</v>
      </c>
      <c r="K2269">
        <v>324635777</v>
      </c>
      <c r="L2269">
        <v>488172562</v>
      </c>
      <c r="M2269">
        <v>688424453</v>
      </c>
      <c r="N2269">
        <v>614591335</v>
      </c>
      <c r="O2269">
        <v>704477430</v>
      </c>
      <c r="P2269">
        <v>202</v>
      </c>
      <c r="Q2269" t="s">
        <v>4864</v>
      </c>
    </row>
    <row r="2270" spans="1:17" x14ac:dyDescent="0.3">
      <c r="A2270" t="s">
        <v>4664</v>
      </c>
      <c r="B2270" t="str">
        <f>"000428"</f>
        <v>000428</v>
      </c>
      <c r="C2270" t="s">
        <v>4865</v>
      </c>
      <c r="D2270" t="s">
        <v>590</v>
      </c>
      <c r="F2270">
        <v>453465451</v>
      </c>
      <c r="G2270">
        <v>322152842</v>
      </c>
      <c r="H2270">
        <v>872215026</v>
      </c>
      <c r="I2270">
        <v>734276767</v>
      </c>
      <c r="J2270">
        <v>644739854</v>
      </c>
      <c r="K2270">
        <v>702264097</v>
      </c>
      <c r="L2270">
        <v>782430544</v>
      </c>
      <c r="M2270">
        <v>893129885</v>
      </c>
      <c r="N2270">
        <v>1432705332</v>
      </c>
      <c r="O2270">
        <v>1051155101</v>
      </c>
      <c r="P2270">
        <v>104</v>
      </c>
      <c r="Q2270" t="s">
        <v>4866</v>
      </c>
    </row>
    <row r="2271" spans="1:17" x14ac:dyDescent="0.3">
      <c r="A2271" t="s">
        <v>4664</v>
      </c>
      <c r="B2271" t="str">
        <f>"000429"</f>
        <v>000429</v>
      </c>
      <c r="C2271" t="s">
        <v>4867</v>
      </c>
      <c r="D2271" t="s">
        <v>44</v>
      </c>
      <c r="F2271">
        <v>4022720838</v>
      </c>
      <c r="G2271">
        <v>1414313149</v>
      </c>
      <c r="H2271">
        <v>2344383754</v>
      </c>
      <c r="I2271">
        <v>2430071550</v>
      </c>
      <c r="J2271">
        <v>2269246331</v>
      </c>
      <c r="K2271">
        <v>2090706476</v>
      </c>
      <c r="L2271">
        <v>1069506486</v>
      </c>
      <c r="M2271">
        <v>1044010247</v>
      </c>
      <c r="N2271">
        <v>940248482</v>
      </c>
      <c r="O2271">
        <v>790555585</v>
      </c>
      <c r="P2271">
        <v>1026</v>
      </c>
      <c r="Q2271" t="s">
        <v>4868</v>
      </c>
    </row>
    <row r="2272" spans="1:17" x14ac:dyDescent="0.3">
      <c r="A2272" t="s">
        <v>4664</v>
      </c>
      <c r="B2272" t="str">
        <f>"000430"</f>
        <v>000430</v>
      </c>
      <c r="C2272" t="s">
        <v>4869</v>
      </c>
      <c r="D2272" t="s">
        <v>119</v>
      </c>
      <c r="F2272">
        <v>173980001</v>
      </c>
      <c r="G2272">
        <v>94938610</v>
      </c>
      <c r="H2272">
        <v>332827558</v>
      </c>
      <c r="I2272">
        <v>377295681</v>
      </c>
      <c r="J2272">
        <v>433734192</v>
      </c>
      <c r="K2272">
        <v>470738817</v>
      </c>
      <c r="L2272">
        <v>503221926</v>
      </c>
      <c r="M2272">
        <v>349443947</v>
      </c>
      <c r="N2272">
        <v>365393087</v>
      </c>
      <c r="O2272">
        <v>475144651</v>
      </c>
      <c r="P2272">
        <v>109</v>
      </c>
      <c r="Q2272" t="s">
        <v>4870</v>
      </c>
    </row>
    <row r="2273" spans="1:17" x14ac:dyDescent="0.3">
      <c r="A2273" t="s">
        <v>4664</v>
      </c>
      <c r="B2273" t="str">
        <f>"000488"</f>
        <v>000488</v>
      </c>
      <c r="C2273" t="s">
        <v>4871</v>
      </c>
      <c r="D2273" t="s">
        <v>694</v>
      </c>
      <c r="F2273">
        <v>28957487987</v>
      </c>
      <c r="G2273">
        <v>24709035873</v>
      </c>
      <c r="H2273">
        <v>24694452197</v>
      </c>
      <c r="I2273">
        <v>22826321615</v>
      </c>
      <c r="J2273">
        <v>20682008390</v>
      </c>
      <c r="K2273">
        <v>16060904509</v>
      </c>
      <c r="L2273">
        <v>15190399779</v>
      </c>
      <c r="M2273">
        <v>14904943601</v>
      </c>
      <c r="N2273">
        <v>17933539107</v>
      </c>
      <c r="O2273">
        <v>14135299123</v>
      </c>
      <c r="P2273">
        <v>1270</v>
      </c>
      <c r="Q2273" t="s">
        <v>4872</v>
      </c>
    </row>
    <row r="2274" spans="1:17" x14ac:dyDescent="0.3">
      <c r="A2274" t="s">
        <v>4664</v>
      </c>
      <c r="B2274" t="str">
        <f>"000498"</f>
        <v>000498</v>
      </c>
      <c r="C2274" t="s">
        <v>4873</v>
      </c>
      <c r="D2274" t="s">
        <v>101</v>
      </c>
      <c r="F2274">
        <v>24195100622</v>
      </c>
      <c r="G2274">
        <v>14420331487</v>
      </c>
      <c r="H2274">
        <v>13129902002</v>
      </c>
      <c r="I2274">
        <v>9603084858</v>
      </c>
      <c r="J2274">
        <v>8076033056</v>
      </c>
      <c r="K2274">
        <v>4734513610</v>
      </c>
      <c r="L2274">
        <v>3941769023</v>
      </c>
      <c r="M2274">
        <v>4441888675</v>
      </c>
      <c r="N2274">
        <v>3001709708</v>
      </c>
      <c r="O2274">
        <v>0</v>
      </c>
      <c r="P2274">
        <v>276</v>
      </c>
      <c r="Q2274" t="s">
        <v>4874</v>
      </c>
    </row>
    <row r="2275" spans="1:17" x14ac:dyDescent="0.3">
      <c r="A2275" t="s">
        <v>4664</v>
      </c>
      <c r="B2275" t="str">
        <f>"000501"</f>
        <v>000501</v>
      </c>
      <c r="C2275" t="s">
        <v>4875</v>
      </c>
      <c r="D2275" t="s">
        <v>633</v>
      </c>
      <c r="F2275">
        <v>14492087236</v>
      </c>
      <c r="G2275">
        <v>11001591026</v>
      </c>
      <c r="H2275">
        <v>15986285951</v>
      </c>
      <c r="I2275">
        <v>16869979491</v>
      </c>
      <c r="J2275">
        <v>15777821518</v>
      </c>
      <c r="K2275">
        <v>15275688676</v>
      </c>
      <c r="L2275">
        <v>15729898007</v>
      </c>
      <c r="M2275">
        <v>15373436064</v>
      </c>
      <c r="N2275">
        <v>13951126326</v>
      </c>
      <c r="O2275">
        <v>12350166750</v>
      </c>
      <c r="P2275">
        <v>6225</v>
      </c>
      <c r="Q2275" t="s">
        <v>4876</v>
      </c>
    </row>
    <row r="2276" spans="1:17" x14ac:dyDescent="0.3">
      <c r="A2276" t="s">
        <v>4664</v>
      </c>
      <c r="B2276" t="str">
        <f>"000502"</f>
        <v>000502</v>
      </c>
      <c r="C2276" t="s">
        <v>4877</v>
      </c>
      <c r="D2276" t="s">
        <v>2948</v>
      </c>
      <c r="F2276">
        <v>80765333</v>
      </c>
      <c r="G2276">
        <v>10999101</v>
      </c>
      <c r="H2276">
        <v>9747471</v>
      </c>
      <c r="I2276">
        <v>10925715</v>
      </c>
      <c r="J2276">
        <v>14689499</v>
      </c>
      <c r="K2276">
        <v>14260405</v>
      </c>
      <c r="L2276">
        <v>18062099</v>
      </c>
      <c r="M2276">
        <v>27495857</v>
      </c>
      <c r="N2276">
        <v>19484885</v>
      </c>
      <c r="O2276">
        <v>26050538</v>
      </c>
      <c r="P2276">
        <v>85</v>
      </c>
      <c r="Q2276" t="s">
        <v>4878</v>
      </c>
    </row>
    <row r="2277" spans="1:17" x14ac:dyDescent="0.3">
      <c r="A2277" t="s">
        <v>4664</v>
      </c>
      <c r="B2277" t="str">
        <f>"000503"</f>
        <v>000503</v>
      </c>
      <c r="C2277" t="s">
        <v>4879</v>
      </c>
      <c r="D2277" t="s">
        <v>945</v>
      </c>
      <c r="F2277">
        <v>107828934</v>
      </c>
      <c r="G2277">
        <v>73200183</v>
      </c>
      <c r="H2277">
        <v>45569728</v>
      </c>
      <c r="I2277">
        <v>37937013</v>
      </c>
      <c r="J2277">
        <v>113155026</v>
      </c>
      <c r="K2277">
        <v>154851691</v>
      </c>
      <c r="L2277">
        <v>117378807</v>
      </c>
      <c r="M2277">
        <v>107953233</v>
      </c>
      <c r="N2277">
        <v>105336927</v>
      </c>
      <c r="O2277">
        <v>122371464</v>
      </c>
      <c r="P2277">
        <v>174</v>
      </c>
      <c r="Q2277" t="s">
        <v>4880</v>
      </c>
    </row>
    <row r="2278" spans="1:17" x14ac:dyDescent="0.3">
      <c r="A2278" t="s">
        <v>4664</v>
      </c>
      <c r="B2278" t="str">
        <f>"000504"</f>
        <v>000504</v>
      </c>
      <c r="C2278" t="s">
        <v>4881</v>
      </c>
      <c r="D2278" t="s">
        <v>4182</v>
      </c>
      <c r="F2278">
        <v>135455168</v>
      </c>
      <c r="G2278">
        <v>71440563</v>
      </c>
      <c r="H2278">
        <v>108282509</v>
      </c>
      <c r="I2278">
        <v>80478899</v>
      </c>
      <c r="J2278">
        <v>52680838</v>
      </c>
      <c r="K2278">
        <v>14119354</v>
      </c>
      <c r="L2278">
        <v>10170529</v>
      </c>
      <c r="M2278">
        <v>16168510</v>
      </c>
      <c r="N2278">
        <v>30020056</v>
      </c>
      <c r="O2278">
        <v>47524061</v>
      </c>
      <c r="P2278">
        <v>85</v>
      </c>
      <c r="Q2278" t="s">
        <v>4882</v>
      </c>
    </row>
    <row r="2279" spans="1:17" x14ac:dyDescent="0.3">
      <c r="A2279" t="s">
        <v>4664</v>
      </c>
      <c r="B2279" t="str">
        <f>"000505"</f>
        <v>000505</v>
      </c>
      <c r="C2279" t="s">
        <v>4883</v>
      </c>
      <c r="D2279" t="s">
        <v>306</v>
      </c>
      <c r="F2279">
        <v>9485114407</v>
      </c>
      <c r="G2279">
        <v>6130501669</v>
      </c>
      <c r="H2279">
        <v>5561175595</v>
      </c>
      <c r="I2279">
        <v>6089990408</v>
      </c>
      <c r="J2279">
        <v>5822570435</v>
      </c>
      <c r="K2279">
        <v>664761771</v>
      </c>
      <c r="L2279">
        <v>464057197</v>
      </c>
      <c r="M2279">
        <v>168677691</v>
      </c>
      <c r="N2279">
        <v>150363105</v>
      </c>
      <c r="O2279">
        <v>134531558</v>
      </c>
      <c r="P2279">
        <v>193</v>
      </c>
      <c r="Q2279" t="s">
        <v>4884</v>
      </c>
    </row>
    <row r="2280" spans="1:17" x14ac:dyDescent="0.3">
      <c r="A2280" t="s">
        <v>4664</v>
      </c>
      <c r="B2280" t="str">
        <f>"000506"</f>
        <v>000506</v>
      </c>
      <c r="C2280" t="s">
        <v>4885</v>
      </c>
      <c r="D2280" t="s">
        <v>104</v>
      </c>
      <c r="F2280">
        <v>353228008</v>
      </c>
      <c r="G2280">
        <v>517940857</v>
      </c>
      <c r="H2280">
        <v>283305648</v>
      </c>
      <c r="I2280">
        <v>357904066</v>
      </c>
      <c r="J2280">
        <v>400296696</v>
      </c>
      <c r="K2280">
        <v>544403420</v>
      </c>
      <c r="L2280">
        <v>677295713</v>
      </c>
      <c r="M2280">
        <v>385198332</v>
      </c>
      <c r="N2280">
        <v>183348193</v>
      </c>
      <c r="O2280">
        <v>645070385</v>
      </c>
      <c r="P2280">
        <v>85</v>
      </c>
      <c r="Q2280" t="s">
        <v>4886</v>
      </c>
    </row>
    <row r="2281" spans="1:17" x14ac:dyDescent="0.3">
      <c r="A2281" t="s">
        <v>4664</v>
      </c>
      <c r="B2281" t="str">
        <f>"000507"</f>
        <v>000507</v>
      </c>
      <c r="C2281" t="s">
        <v>4887</v>
      </c>
      <c r="D2281" t="s">
        <v>51</v>
      </c>
      <c r="F2281">
        <v>4251102358</v>
      </c>
      <c r="G2281">
        <v>2401006613</v>
      </c>
      <c r="H2281">
        <v>2625870818</v>
      </c>
      <c r="I2281">
        <v>1919264932</v>
      </c>
      <c r="J2281">
        <v>1373671969</v>
      </c>
      <c r="K2281">
        <v>1471046735</v>
      </c>
      <c r="L2281">
        <v>1898417209</v>
      </c>
      <c r="M2281">
        <v>1615150430</v>
      </c>
      <c r="N2281">
        <v>955969478</v>
      </c>
      <c r="O2281">
        <v>438906071</v>
      </c>
      <c r="P2281">
        <v>185</v>
      </c>
      <c r="Q2281" t="s">
        <v>4888</v>
      </c>
    </row>
    <row r="2282" spans="1:17" x14ac:dyDescent="0.3">
      <c r="A2282" t="s">
        <v>4664</v>
      </c>
      <c r="B2282" t="str">
        <f>"000509"</f>
        <v>000509</v>
      </c>
      <c r="C2282" t="s">
        <v>4889</v>
      </c>
      <c r="D2282" t="s">
        <v>1147</v>
      </c>
      <c r="F2282">
        <v>35127181</v>
      </c>
      <c r="G2282">
        <v>38721712</v>
      </c>
      <c r="H2282">
        <v>48809479</v>
      </c>
      <c r="I2282">
        <v>1425346286</v>
      </c>
      <c r="J2282">
        <v>1780949710</v>
      </c>
      <c r="K2282">
        <v>92542343</v>
      </c>
      <c r="L2282">
        <v>138450299</v>
      </c>
      <c r="M2282">
        <v>121529863</v>
      </c>
      <c r="N2282">
        <v>190971874</v>
      </c>
      <c r="O2282">
        <v>200431945</v>
      </c>
      <c r="P2282">
        <v>84</v>
      </c>
      <c r="Q2282" t="s">
        <v>4890</v>
      </c>
    </row>
    <row r="2283" spans="1:17" x14ac:dyDescent="0.3">
      <c r="A2283" t="s">
        <v>4664</v>
      </c>
      <c r="B2283" t="str">
        <f>"000510"</f>
        <v>000510</v>
      </c>
      <c r="C2283" t="s">
        <v>4891</v>
      </c>
      <c r="D2283" t="s">
        <v>175</v>
      </c>
      <c r="F2283">
        <v>2553014654</v>
      </c>
      <c r="G2283">
        <v>1861826266</v>
      </c>
      <c r="H2283">
        <v>2009716222</v>
      </c>
      <c r="I2283">
        <v>1876941263</v>
      </c>
      <c r="J2283">
        <v>1462016913</v>
      </c>
      <c r="K2283">
        <v>1210394745</v>
      </c>
      <c r="L2283">
        <v>1484568426</v>
      </c>
      <c r="M2283">
        <v>1837497922</v>
      </c>
      <c r="N2283">
        <v>1690956256</v>
      </c>
      <c r="O2283">
        <v>2119000858</v>
      </c>
      <c r="P2283">
        <v>128</v>
      </c>
      <c r="Q2283" t="s">
        <v>4892</v>
      </c>
    </row>
    <row r="2284" spans="1:17" x14ac:dyDescent="0.3">
      <c r="A2284" t="s">
        <v>4664</v>
      </c>
      <c r="B2284" t="str">
        <f>"000511"</f>
        <v>000511</v>
      </c>
      <c r="C2284" t="s">
        <v>4893</v>
      </c>
      <c r="J2284">
        <v>1103051811</v>
      </c>
      <c r="K2284">
        <v>683893730.14999998</v>
      </c>
      <c r="L2284">
        <v>1169598237.6099999</v>
      </c>
      <c r="M2284">
        <v>1146539952</v>
      </c>
      <c r="N2284">
        <v>437761598</v>
      </c>
      <c r="O2284">
        <v>507984639.06999999</v>
      </c>
      <c r="P2284">
        <v>14</v>
      </c>
      <c r="Q2284" t="s">
        <v>4894</v>
      </c>
    </row>
    <row r="2285" spans="1:17" x14ac:dyDescent="0.3">
      <c r="A2285" t="s">
        <v>4664</v>
      </c>
      <c r="B2285" t="str">
        <f>"000513"</f>
        <v>000513</v>
      </c>
      <c r="C2285" t="s">
        <v>4895</v>
      </c>
      <c r="D2285" t="s">
        <v>143</v>
      </c>
      <c r="F2285">
        <v>9394025667</v>
      </c>
      <c r="G2285">
        <v>7750638806</v>
      </c>
      <c r="H2285">
        <v>7440688556</v>
      </c>
      <c r="I2285">
        <v>7313299853</v>
      </c>
      <c r="J2285">
        <v>6610044609</v>
      </c>
      <c r="K2285">
        <v>5573415046</v>
      </c>
      <c r="L2285">
        <v>4770213220</v>
      </c>
      <c r="M2285">
        <v>4158995073</v>
      </c>
      <c r="N2285">
        <v>3227364227</v>
      </c>
      <c r="O2285">
        <v>2979324387</v>
      </c>
      <c r="P2285">
        <v>1622</v>
      </c>
      <c r="Q2285" t="s">
        <v>4896</v>
      </c>
    </row>
    <row r="2286" spans="1:17" x14ac:dyDescent="0.3">
      <c r="A2286" t="s">
        <v>4664</v>
      </c>
      <c r="B2286" t="str">
        <f>"000514"</f>
        <v>000514</v>
      </c>
      <c r="C2286" t="s">
        <v>4897</v>
      </c>
      <c r="D2286" t="s">
        <v>104</v>
      </c>
      <c r="F2286">
        <v>1207869771</v>
      </c>
      <c r="G2286">
        <v>379663929</v>
      </c>
      <c r="H2286">
        <v>579270970</v>
      </c>
      <c r="I2286">
        <v>799330589</v>
      </c>
      <c r="J2286">
        <v>872012645</v>
      </c>
      <c r="K2286">
        <v>570335871</v>
      </c>
      <c r="L2286">
        <v>565460019</v>
      </c>
      <c r="M2286">
        <v>859053292</v>
      </c>
      <c r="N2286">
        <v>999908010</v>
      </c>
      <c r="O2286">
        <v>963345026</v>
      </c>
      <c r="P2286">
        <v>113</v>
      </c>
      <c r="Q2286" t="s">
        <v>4898</v>
      </c>
    </row>
    <row r="2287" spans="1:17" x14ac:dyDescent="0.3">
      <c r="A2287" t="s">
        <v>4664</v>
      </c>
      <c r="B2287" t="str">
        <f>"000516"</f>
        <v>000516</v>
      </c>
      <c r="C2287" t="s">
        <v>4899</v>
      </c>
      <c r="D2287" t="s">
        <v>1147</v>
      </c>
      <c r="F2287">
        <v>1881088921</v>
      </c>
      <c r="G2287">
        <v>991338133</v>
      </c>
      <c r="H2287">
        <v>669166591</v>
      </c>
      <c r="I2287">
        <v>1971514270</v>
      </c>
      <c r="J2287">
        <v>3232480736</v>
      </c>
      <c r="K2287">
        <v>3090264553</v>
      </c>
      <c r="L2287">
        <v>3126211610</v>
      </c>
      <c r="M2287">
        <v>3029137872</v>
      </c>
      <c r="N2287">
        <v>2779058942</v>
      </c>
      <c r="O2287">
        <v>2983996387</v>
      </c>
      <c r="P2287">
        <v>405</v>
      </c>
      <c r="Q2287" t="s">
        <v>4900</v>
      </c>
    </row>
    <row r="2288" spans="1:17" x14ac:dyDescent="0.3">
      <c r="A2288" t="s">
        <v>4664</v>
      </c>
      <c r="B2288" t="str">
        <f>"000517"</f>
        <v>000517</v>
      </c>
      <c r="C2288" t="s">
        <v>4901</v>
      </c>
      <c r="D2288" t="s">
        <v>104</v>
      </c>
      <c r="F2288">
        <v>21928522184</v>
      </c>
      <c r="G2288">
        <v>14810111893</v>
      </c>
      <c r="H2288">
        <v>11464076997</v>
      </c>
      <c r="I2288">
        <v>8286870459</v>
      </c>
      <c r="J2288">
        <v>3888723850</v>
      </c>
      <c r="K2288">
        <v>2458361010</v>
      </c>
      <c r="L2288">
        <v>1405067869</v>
      </c>
      <c r="M2288">
        <v>756374186</v>
      </c>
      <c r="N2288">
        <v>2496146179</v>
      </c>
      <c r="O2288">
        <v>3715863759</v>
      </c>
      <c r="P2288">
        <v>312</v>
      </c>
      <c r="Q2288" t="s">
        <v>4902</v>
      </c>
    </row>
    <row r="2289" spans="1:17" x14ac:dyDescent="0.3">
      <c r="A2289" t="s">
        <v>4664</v>
      </c>
      <c r="B2289" t="str">
        <f>"000518"</f>
        <v>000518</v>
      </c>
      <c r="C2289" t="s">
        <v>4903</v>
      </c>
      <c r="D2289" t="s">
        <v>1379</v>
      </c>
      <c r="F2289">
        <v>249811208</v>
      </c>
      <c r="G2289">
        <v>360765999</v>
      </c>
      <c r="H2289">
        <v>268650177</v>
      </c>
      <c r="I2289">
        <v>301371143</v>
      </c>
      <c r="J2289">
        <v>279365020</v>
      </c>
      <c r="K2289">
        <v>225350874</v>
      </c>
      <c r="L2289">
        <v>156188057</v>
      </c>
      <c r="M2289">
        <v>170420964</v>
      </c>
      <c r="N2289">
        <v>188461345</v>
      </c>
      <c r="O2289">
        <v>196163702</v>
      </c>
      <c r="P2289">
        <v>171</v>
      </c>
      <c r="Q2289" t="s">
        <v>4904</v>
      </c>
    </row>
    <row r="2290" spans="1:17" x14ac:dyDescent="0.3">
      <c r="A2290" t="s">
        <v>4664</v>
      </c>
      <c r="B2290" t="str">
        <f>"000519"</f>
        <v>000519</v>
      </c>
      <c r="C2290" t="s">
        <v>4905</v>
      </c>
      <c r="D2290" t="s">
        <v>428</v>
      </c>
      <c r="F2290">
        <v>3818291628</v>
      </c>
      <c r="G2290">
        <v>3146096069</v>
      </c>
      <c r="H2290">
        <v>2770753520</v>
      </c>
      <c r="I2290">
        <v>3322287017</v>
      </c>
      <c r="J2290">
        <v>2217032024</v>
      </c>
      <c r="K2290">
        <v>612818702</v>
      </c>
      <c r="L2290">
        <v>562322148</v>
      </c>
      <c r="M2290">
        <v>725536157</v>
      </c>
      <c r="N2290">
        <v>799403319</v>
      </c>
      <c r="O2290">
        <v>127965320</v>
      </c>
      <c r="P2290">
        <v>336</v>
      </c>
      <c r="Q2290" t="s">
        <v>4906</v>
      </c>
    </row>
    <row r="2291" spans="1:17" x14ac:dyDescent="0.3">
      <c r="A2291" t="s">
        <v>4664</v>
      </c>
      <c r="B2291" t="str">
        <f>"000520"</f>
        <v>000520</v>
      </c>
      <c r="C2291" t="s">
        <v>4907</v>
      </c>
      <c r="D2291" t="s">
        <v>69</v>
      </c>
      <c r="F2291">
        <v>649423857</v>
      </c>
      <c r="G2291">
        <v>447318628</v>
      </c>
      <c r="H2291">
        <v>546764672</v>
      </c>
      <c r="I2291">
        <v>622009721</v>
      </c>
      <c r="J2291">
        <v>519741315</v>
      </c>
      <c r="K2291">
        <v>335602537</v>
      </c>
      <c r="L2291">
        <v>408283691</v>
      </c>
      <c r="M2291">
        <v>473386970</v>
      </c>
      <c r="N2291">
        <v>726793954</v>
      </c>
      <c r="O2291">
        <v>1097371548</v>
      </c>
      <c r="P2291">
        <v>110</v>
      </c>
      <c r="Q2291" t="s">
        <v>4908</v>
      </c>
    </row>
    <row r="2292" spans="1:17" x14ac:dyDescent="0.3">
      <c r="A2292" t="s">
        <v>4664</v>
      </c>
      <c r="B2292" t="str">
        <f>"000521"</f>
        <v>000521</v>
      </c>
      <c r="C2292" t="s">
        <v>4909</v>
      </c>
      <c r="D2292" t="s">
        <v>754</v>
      </c>
      <c r="F2292">
        <v>13404052674</v>
      </c>
      <c r="G2292">
        <v>10004693971</v>
      </c>
      <c r="H2292">
        <v>12688809148</v>
      </c>
      <c r="I2292">
        <v>12294447275</v>
      </c>
      <c r="J2292">
        <v>10688634330</v>
      </c>
      <c r="K2292">
        <v>9599703439</v>
      </c>
      <c r="L2292">
        <v>7171956473</v>
      </c>
      <c r="M2292">
        <v>5661182032</v>
      </c>
      <c r="N2292">
        <v>5299131035</v>
      </c>
      <c r="O2292">
        <v>4523822298</v>
      </c>
      <c r="P2292">
        <v>181</v>
      </c>
      <c r="Q2292" t="s">
        <v>4910</v>
      </c>
    </row>
    <row r="2293" spans="1:17" x14ac:dyDescent="0.3">
      <c r="A2293" t="s">
        <v>4664</v>
      </c>
      <c r="B2293" t="str">
        <f>"000522"</f>
        <v>000522</v>
      </c>
      <c r="C2293" t="s">
        <v>4911</v>
      </c>
      <c r="N2293">
        <v>12461498773.26</v>
      </c>
      <c r="O2293">
        <v>3916644680.3499999</v>
      </c>
      <c r="P2293">
        <v>63</v>
      </c>
      <c r="Q2293" t="s">
        <v>4912</v>
      </c>
    </row>
    <row r="2294" spans="1:17" x14ac:dyDescent="0.3">
      <c r="A2294" t="s">
        <v>4664</v>
      </c>
      <c r="B2294" t="str">
        <f>"000523"</f>
        <v>000523</v>
      </c>
      <c r="C2294" t="s">
        <v>4913</v>
      </c>
      <c r="D2294" t="s">
        <v>569</v>
      </c>
      <c r="F2294">
        <v>2144669137</v>
      </c>
      <c r="G2294">
        <v>6111922726</v>
      </c>
      <c r="H2294">
        <v>9137392411</v>
      </c>
      <c r="I2294">
        <v>10197199106</v>
      </c>
      <c r="J2294">
        <v>9877547707</v>
      </c>
      <c r="K2294">
        <v>7994266151</v>
      </c>
      <c r="L2294">
        <v>5652099945</v>
      </c>
      <c r="M2294">
        <v>4031037441</v>
      </c>
      <c r="N2294">
        <v>2536241304</v>
      </c>
      <c r="O2294">
        <v>2275486483</v>
      </c>
      <c r="P2294">
        <v>97</v>
      </c>
      <c r="Q2294" t="s">
        <v>4914</v>
      </c>
    </row>
    <row r="2295" spans="1:17" x14ac:dyDescent="0.3">
      <c r="A2295" t="s">
        <v>4664</v>
      </c>
      <c r="B2295" t="str">
        <f>"000524"</f>
        <v>000524</v>
      </c>
      <c r="C2295" t="s">
        <v>4915</v>
      </c>
      <c r="D2295" t="s">
        <v>1120</v>
      </c>
      <c r="F2295">
        <v>1490277863</v>
      </c>
      <c r="G2295">
        <v>1249224637</v>
      </c>
      <c r="H2295">
        <v>6649457407</v>
      </c>
      <c r="I2295">
        <v>5516435571</v>
      </c>
      <c r="J2295">
        <v>4920486264</v>
      </c>
      <c r="K2295">
        <v>229303818</v>
      </c>
      <c r="L2295">
        <v>222310596</v>
      </c>
      <c r="M2295">
        <v>209210192</v>
      </c>
      <c r="N2295">
        <v>224262053</v>
      </c>
      <c r="O2295">
        <v>235837818</v>
      </c>
      <c r="P2295">
        <v>156</v>
      </c>
      <c r="Q2295" t="s">
        <v>4916</v>
      </c>
    </row>
    <row r="2296" spans="1:17" x14ac:dyDescent="0.3">
      <c r="A2296" t="s">
        <v>4664</v>
      </c>
      <c r="B2296" t="str">
        <f>"000525"</f>
        <v>000525</v>
      </c>
      <c r="C2296" t="s">
        <v>4917</v>
      </c>
      <c r="D2296" t="s">
        <v>853</v>
      </c>
      <c r="F2296">
        <v>2244591459</v>
      </c>
      <c r="G2296">
        <v>2713282276</v>
      </c>
      <c r="H2296">
        <v>3688617099</v>
      </c>
      <c r="I2296">
        <v>3663764320</v>
      </c>
      <c r="J2296">
        <v>3381809245</v>
      </c>
      <c r="K2296">
        <v>2669334950</v>
      </c>
      <c r="L2296">
        <v>3602731454</v>
      </c>
      <c r="M2296">
        <v>4353548750</v>
      </c>
      <c r="N2296">
        <v>4501428663</v>
      </c>
      <c r="O2296">
        <v>4187764238</v>
      </c>
      <c r="P2296">
        <v>150</v>
      </c>
      <c r="Q2296" t="s">
        <v>4918</v>
      </c>
    </row>
    <row r="2297" spans="1:17" x14ac:dyDescent="0.3">
      <c r="A2297" t="s">
        <v>4664</v>
      </c>
      <c r="B2297" t="str">
        <f>"000526"</f>
        <v>000526</v>
      </c>
      <c r="C2297" t="s">
        <v>4919</v>
      </c>
      <c r="D2297" t="s">
        <v>1336</v>
      </c>
      <c r="F2297">
        <v>1994055028</v>
      </c>
      <c r="G2297">
        <v>2041462216</v>
      </c>
      <c r="H2297">
        <v>2695078622</v>
      </c>
      <c r="I2297">
        <v>2582106118</v>
      </c>
      <c r="J2297">
        <v>2571593958</v>
      </c>
      <c r="K2297">
        <v>1028155541</v>
      </c>
      <c r="L2297">
        <v>10540133</v>
      </c>
      <c r="M2297">
        <v>15956350</v>
      </c>
      <c r="N2297">
        <v>6841067</v>
      </c>
      <c r="O2297">
        <v>3457839</v>
      </c>
      <c r="P2297">
        <v>201</v>
      </c>
      <c r="Q2297" t="s">
        <v>4920</v>
      </c>
    </row>
    <row r="2298" spans="1:17" x14ac:dyDescent="0.3">
      <c r="A2298" t="s">
        <v>4664</v>
      </c>
      <c r="B2298" t="str">
        <f>"000527"</f>
        <v>000527</v>
      </c>
      <c r="C2298" t="s">
        <v>4921</v>
      </c>
      <c r="O2298">
        <v>36090452460</v>
      </c>
      <c r="P2298">
        <v>296</v>
      </c>
      <c r="Q2298" t="s">
        <v>4922</v>
      </c>
    </row>
    <row r="2299" spans="1:17" x14ac:dyDescent="0.3">
      <c r="A2299" t="s">
        <v>4664</v>
      </c>
      <c r="B2299" t="str">
        <f>"000528"</f>
        <v>000528</v>
      </c>
      <c r="C2299" t="s">
        <v>4923</v>
      </c>
      <c r="D2299" t="s">
        <v>83</v>
      </c>
      <c r="F2299">
        <v>25010369016</v>
      </c>
      <c r="G2299">
        <v>21901080766</v>
      </c>
      <c r="H2299">
        <v>19847078390</v>
      </c>
      <c r="I2299">
        <v>15145299398</v>
      </c>
      <c r="J2299">
        <v>10698588208</v>
      </c>
      <c r="K2299">
        <v>10065737803</v>
      </c>
      <c r="L2299">
        <v>8441294567</v>
      </c>
      <c r="M2299">
        <v>9790432066</v>
      </c>
      <c r="N2299">
        <v>12224807183</v>
      </c>
      <c r="O2299">
        <v>18786420314</v>
      </c>
      <c r="P2299">
        <v>481</v>
      </c>
      <c r="Q2299" t="s">
        <v>4924</v>
      </c>
    </row>
    <row r="2300" spans="1:17" x14ac:dyDescent="0.3">
      <c r="A2300" t="s">
        <v>4664</v>
      </c>
      <c r="B2300" t="str">
        <f>"000529"</f>
        <v>000529</v>
      </c>
      <c r="C2300" t="s">
        <v>4925</v>
      </c>
      <c r="D2300" t="s">
        <v>1536</v>
      </c>
      <c r="F2300">
        <v>2466605211</v>
      </c>
      <c r="G2300">
        <v>2502072595</v>
      </c>
      <c r="H2300">
        <v>2081564162</v>
      </c>
      <c r="I2300">
        <v>1748629998</v>
      </c>
      <c r="J2300">
        <v>1524152879</v>
      </c>
      <c r="K2300">
        <v>1498133665</v>
      </c>
      <c r="L2300">
        <v>1502551901</v>
      </c>
      <c r="M2300">
        <v>1531112728</v>
      </c>
      <c r="N2300">
        <v>1292419249</v>
      </c>
      <c r="O2300">
        <v>1105365678</v>
      </c>
      <c r="P2300">
        <v>298</v>
      </c>
      <c r="Q2300" t="s">
        <v>4926</v>
      </c>
    </row>
    <row r="2301" spans="1:17" x14ac:dyDescent="0.3">
      <c r="A2301" t="s">
        <v>4664</v>
      </c>
      <c r="B2301" t="str">
        <f>"000530"</f>
        <v>000530</v>
      </c>
      <c r="C2301" t="s">
        <v>4927</v>
      </c>
      <c r="D2301" t="s">
        <v>988</v>
      </c>
      <c r="F2301">
        <v>1366490775</v>
      </c>
      <c r="G2301">
        <v>931236976</v>
      </c>
      <c r="H2301">
        <v>990420531</v>
      </c>
      <c r="I2301">
        <v>1006325541</v>
      </c>
      <c r="J2301">
        <v>1089604394</v>
      </c>
      <c r="K2301">
        <v>941258183</v>
      </c>
      <c r="L2301">
        <v>705530904</v>
      </c>
      <c r="M2301">
        <v>851537935</v>
      </c>
      <c r="N2301">
        <v>921464764</v>
      </c>
      <c r="O2301">
        <v>950425594</v>
      </c>
      <c r="P2301">
        <v>129</v>
      </c>
      <c r="Q2301" t="s">
        <v>4928</v>
      </c>
    </row>
    <row r="2302" spans="1:17" x14ac:dyDescent="0.3">
      <c r="A2302" t="s">
        <v>4664</v>
      </c>
      <c r="B2302" t="str">
        <f>"000531"</f>
        <v>000531</v>
      </c>
      <c r="C2302" t="s">
        <v>4929</v>
      </c>
      <c r="D2302" t="s">
        <v>41</v>
      </c>
      <c r="F2302">
        <v>2981569226</v>
      </c>
      <c r="G2302">
        <v>2981456619</v>
      </c>
      <c r="H2302">
        <v>2612635350</v>
      </c>
      <c r="I2302">
        <v>2713099222</v>
      </c>
      <c r="J2302">
        <v>2516629114</v>
      </c>
      <c r="K2302">
        <v>1927141297</v>
      </c>
      <c r="L2302">
        <v>2003639979</v>
      </c>
      <c r="M2302">
        <v>2413076920</v>
      </c>
      <c r="N2302">
        <v>3238524230</v>
      </c>
      <c r="O2302">
        <v>4016896364</v>
      </c>
      <c r="P2302">
        <v>277</v>
      </c>
      <c r="Q2302" t="s">
        <v>4930</v>
      </c>
    </row>
    <row r="2303" spans="1:17" x14ac:dyDescent="0.3">
      <c r="A2303" t="s">
        <v>4664</v>
      </c>
      <c r="B2303" t="str">
        <f>"000532"</f>
        <v>000532</v>
      </c>
      <c r="C2303" t="s">
        <v>4931</v>
      </c>
      <c r="D2303" t="s">
        <v>116</v>
      </c>
      <c r="F2303">
        <v>449708091</v>
      </c>
      <c r="G2303">
        <v>394772291</v>
      </c>
      <c r="H2303">
        <v>303615693</v>
      </c>
      <c r="I2303">
        <v>301837236</v>
      </c>
      <c r="J2303">
        <v>306158381</v>
      </c>
      <c r="K2303">
        <v>224544625</v>
      </c>
      <c r="L2303">
        <v>148213363</v>
      </c>
      <c r="M2303">
        <v>141910911</v>
      </c>
      <c r="N2303">
        <v>136009724</v>
      </c>
      <c r="O2303">
        <v>155423643</v>
      </c>
      <c r="P2303">
        <v>140</v>
      </c>
      <c r="Q2303" t="s">
        <v>4932</v>
      </c>
    </row>
    <row r="2304" spans="1:17" x14ac:dyDescent="0.3">
      <c r="A2304" t="s">
        <v>4664</v>
      </c>
      <c r="B2304" t="str">
        <f>"000533"</f>
        <v>000533</v>
      </c>
      <c r="C2304" t="s">
        <v>4933</v>
      </c>
      <c r="D2304" t="s">
        <v>210</v>
      </c>
      <c r="F2304">
        <v>853727005</v>
      </c>
      <c r="G2304">
        <v>858358646</v>
      </c>
      <c r="H2304">
        <v>853506417</v>
      </c>
      <c r="I2304">
        <v>10539182174</v>
      </c>
      <c r="J2304">
        <v>5576554683</v>
      </c>
      <c r="K2304">
        <v>3073738277</v>
      </c>
      <c r="L2304">
        <v>3009600643</v>
      </c>
      <c r="M2304">
        <v>2841196202</v>
      </c>
      <c r="N2304">
        <v>1807868613</v>
      </c>
      <c r="O2304">
        <v>1565939184</v>
      </c>
      <c r="P2304">
        <v>101</v>
      </c>
      <c r="Q2304" t="s">
        <v>4934</v>
      </c>
    </row>
    <row r="2305" spans="1:17" x14ac:dyDescent="0.3">
      <c r="A2305" t="s">
        <v>4664</v>
      </c>
      <c r="B2305" t="str">
        <f>"000534"</f>
        <v>000534</v>
      </c>
      <c r="C2305" t="s">
        <v>4935</v>
      </c>
      <c r="D2305" t="s">
        <v>1379</v>
      </c>
      <c r="F2305">
        <v>483060278</v>
      </c>
      <c r="G2305">
        <v>362640388</v>
      </c>
      <c r="H2305">
        <v>468571184</v>
      </c>
      <c r="I2305">
        <v>430878051</v>
      </c>
      <c r="J2305">
        <v>241118415</v>
      </c>
      <c r="K2305">
        <v>91151480</v>
      </c>
      <c r="L2305">
        <v>288893959</v>
      </c>
      <c r="M2305">
        <v>460441294</v>
      </c>
      <c r="N2305">
        <v>510771172</v>
      </c>
      <c r="O2305">
        <v>450261444</v>
      </c>
      <c r="P2305">
        <v>120</v>
      </c>
      <c r="Q2305" t="s">
        <v>4936</v>
      </c>
    </row>
    <row r="2306" spans="1:17" x14ac:dyDescent="0.3">
      <c r="A2306" t="s">
        <v>4664</v>
      </c>
      <c r="B2306" t="str">
        <f>"000536"</f>
        <v>000536</v>
      </c>
      <c r="C2306" t="s">
        <v>4937</v>
      </c>
      <c r="D2306" t="s">
        <v>1117</v>
      </c>
      <c r="F2306">
        <v>2715086182</v>
      </c>
      <c r="G2306">
        <v>2066303908</v>
      </c>
      <c r="H2306">
        <v>1126611280</v>
      </c>
      <c r="I2306">
        <v>2478587889</v>
      </c>
      <c r="J2306">
        <v>2798577288</v>
      </c>
      <c r="K2306">
        <v>2838563400</v>
      </c>
      <c r="L2306">
        <v>4312449656</v>
      </c>
      <c r="M2306">
        <v>3685386380</v>
      </c>
      <c r="N2306">
        <v>3182502982</v>
      </c>
      <c r="O2306">
        <v>996710428</v>
      </c>
      <c r="P2306">
        <v>142</v>
      </c>
      <c r="Q2306" t="s">
        <v>4938</v>
      </c>
    </row>
    <row r="2307" spans="1:17" x14ac:dyDescent="0.3">
      <c r="A2307" t="s">
        <v>4664</v>
      </c>
      <c r="B2307" t="str">
        <f>"000537"</f>
        <v>000537</v>
      </c>
      <c r="C2307" t="s">
        <v>4939</v>
      </c>
      <c r="D2307" t="s">
        <v>104</v>
      </c>
      <c r="F2307">
        <v>16404025752</v>
      </c>
      <c r="G2307">
        <v>9689635170</v>
      </c>
      <c r="H2307">
        <v>10426408164</v>
      </c>
      <c r="I2307">
        <v>17032743196</v>
      </c>
      <c r="J2307">
        <v>6285124632</v>
      </c>
      <c r="K2307">
        <v>3752090479</v>
      </c>
      <c r="L2307">
        <v>1172784547</v>
      </c>
      <c r="M2307">
        <v>974379033</v>
      </c>
      <c r="N2307">
        <v>1315117177</v>
      </c>
      <c r="O2307">
        <v>1257386719</v>
      </c>
      <c r="P2307">
        <v>604</v>
      </c>
      <c r="Q2307" t="s">
        <v>4940</v>
      </c>
    </row>
    <row r="2308" spans="1:17" x14ac:dyDescent="0.3">
      <c r="A2308" t="s">
        <v>4664</v>
      </c>
      <c r="B2308" t="str">
        <f>"000538"</f>
        <v>000538</v>
      </c>
      <c r="C2308" t="s">
        <v>4941</v>
      </c>
      <c r="D2308" t="s">
        <v>188</v>
      </c>
      <c r="F2308">
        <v>31342417497</v>
      </c>
      <c r="G2308">
        <v>26770820131</v>
      </c>
      <c r="H2308">
        <v>22884729052</v>
      </c>
      <c r="I2308">
        <v>23078966608</v>
      </c>
      <c r="J2308">
        <v>21185361991</v>
      </c>
      <c r="K2308">
        <v>19819052179</v>
      </c>
      <c r="L2308">
        <v>16339419849</v>
      </c>
      <c r="M2308">
        <v>14899471785</v>
      </c>
      <c r="N2308">
        <v>11777473528</v>
      </c>
      <c r="O2308">
        <v>10412494658</v>
      </c>
      <c r="P2308">
        <v>30717</v>
      </c>
      <c r="Q2308" t="s">
        <v>4942</v>
      </c>
    </row>
    <row r="2309" spans="1:17" x14ac:dyDescent="0.3">
      <c r="A2309" t="s">
        <v>4664</v>
      </c>
      <c r="B2309" t="str">
        <f>"000539"</f>
        <v>000539</v>
      </c>
      <c r="C2309" t="s">
        <v>4943</v>
      </c>
      <c r="D2309" t="s">
        <v>41</v>
      </c>
      <c r="F2309">
        <v>31796232402</v>
      </c>
      <c r="G2309">
        <v>23410418937</v>
      </c>
      <c r="H2309">
        <v>24362498308</v>
      </c>
      <c r="I2309">
        <v>24799345474</v>
      </c>
      <c r="J2309">
        <v>22976823367</v>
      </c>
      <c r="K2309">
        <v>19580053140</v>
      </c>
      <c r="L2309">
        <v>23307995187</v>
      </c>
      <c r="M2309">
        <v>26945926240</v>
      </c>
      <c r="N2309">
        <v>26970827212</v>
      </c>
      <c r="O2309">
        <v>13488657421</v>
      </c>
      <c r="P2309">
        <v>203</v>
      </c>
      <c r="Q2309" t="s">
        <v>4944</v>
      </c>
    </row>
    <row r="2310" spans="1:17" x14ac:dyDescent="0.3">
      <c r="A2310" t="s">
        <v>4664</v>
      </c>
      <c r="B2310" t="str">
        <f>"000540"</f>
        <v>000540</v>
      </c>
      <c r="C2310" t="s">
        <v>4945</v>
      </c>
      <c r="D2310" t="s">
        <v>104</v>
      </c>
      <c r="F2310">
        <v>3864354658</v>
      </c>
      <c r="G2310">
        <v>3356651508</v>
      </c>
      <c r="H2310">
        <v>6601500262</v>
      </c>
      <c r="I2310">
        <v>6811278947</v>
      </c>
      <c r="J2310">
        <v>9552343902</v>
      </c>
      <c r="K2310">
        <v>10255646295</v>
      </c>
      <c r="L2310">
        <v>6665626911</v>
      </c>
      <c r="M2310">
        <v>8747052366</v>
      </c>
      <c r="N2310">
        <v>7604500331</v>
      </c>
      <c r="O2310">
        <v>4423362780</v>
      </c>
      <c r="P2310">
        <v>5239</v>
      </c>
      <c r="Q2310" t="s">
        <v>4946</v>
      </c>
    </row>
    <row r="2311" spans="1:17" x14ac:dyDescent="0.3">
      <c r="A2311" t="s">
        <v>4664</v>
      </c>
      <c r="B2311" t="str">
        <f>"000541"</f>
        <v>000541</v>
      </c>
      <c r="C2311" t="s">
        <v>4947</v>
      </c>
      <c r="D2311" t="s">
        <v>598</v>
      </c>
      <c r="F2311">
        <v>3085511864</v>
      </c>
      <c r="G2311">
        <v>2365767057</v>
      </c>
      <c r="H2311">
        <v>2592925264</v>
      </c>
      <c r="I2311">
        <v>2646375235</v>
      </c>
      <c r="J2311">
        <v>2689003505</v>
      </c>
      <c r="K2311">
        <v>2312207976</v>
      </c>
      <c r="L2311">
        <v>2102277561</v>
      </c>
      <c r="M2311">
        <v>2076769837</v>
      </c>
      <c r="N2311">
        <v>1844519336</v>
      </c>
      <c r="O2311">
        <v>1731307375</v>
      </c>
      <c r="P2311">
        <v>437</v>
      </c>
      <c r="Q2311" t="s">
        <v>4948</v>
      </c>
    </row>
    <row r="2312" spans="1:17" x14ac:dyDescent="0.3">
      <c r="A2312" t="s">
        <v>4664</v>
      </c>
      <c r="B2312" t="str">
        <f>"000543"</f>
        <v>000543</v>
      </c>
      <c r="C2312" t="s">
        <v>4949</v>
      </c>
      <c r="D2312" t="s">
        <v>41</v>
      </c>
      <c r="F2312">
        <v>18090436223</v>
      </c>
      <c r="G2312">
        <v>12848303278</v>
      </c>
      <c r="H2312">
        <v>13320298226</v>
      </c>
      <c r="I2312">
        <v>11725438770</v>
      </c>
      <c r="J2312">
        <v>9858080452</v>
      </c>
      <c r="K2312">
        <v>8245938299</v>
      </c>
      <c r="L2312">
        <v>9673939757</v>
      </c>
      <c r="M2312">
        <v>13724335592</v>
      </c>
      <c r="N2312">
        <v>10179374272</v>
      </c>
      <c r="O2312">
        <v>6362242904</v>
      </c>
      <c r="P2312">
        <v>322</v>
      </c>
      <c r="Q2312" t="s">
        <v>4950</v>
      </c>
    </row>
    <row r="2313" spans="1:17" x14ac:dyDescent="0.3">
      <c r="A2313" t="s">
        <v>4664</v>
      </c>
      <c r="B2313" t="str">
        <f>"000544"</f>
        <v>000544</v>
      </c>
      <c r="C2313" t="s">
        <v>4951</v>
      </c>
      <c r="D2313" t="s">
        <v>33</v>
      </c>
      <c r="F2313">
        <v>1134682688</v>
      </c>
      <c r="G2313">
        <v>1124360687</v>
      </c>
      <c r="H2313">
        <v>1175895162</v>
      </c>
      <c r="I2313">
        <v>700716430</v>
      </c>
      <c r="J2313">
        <v>583556413</v>
      </c>
      <c r="K2313">
        <v>318670683</v>
      </c>
      <c r="L2313">
        <v>647809247</v>
      </c>
      <c r="M2313">
        <v>221342622</v>
      </c>
      <c r="N2313">
        <v>179465824</v>
      </c>
      <c r="O2313">
        <v>104269126</v>
      </c>
      <c r="P2313">
        <v>247</v>
      </c>
      <c r="Q2313" t="s">
        <v>4952</v>
      </c>
    </row>
    <row r="2314" spans="1:17" x14ac:dyDescent="0.3">
      <c r="A2314" t="s">
        <v>4664</v>
      </c>
      <c r="B2314" t="str">
        <f>"000545"</f>
        <v>000545</v>
      </c>
      <c r="C2314" t="s">
        <v>4953</v>
      </c>
      <c r="D2314" t="s">
        <v>1474</v>
      </c>
      <c r="F2314">
        <v>1515761311</v>
      </c>
      <c r="G2314">
        <v>1328705255</v>
      </c>
      <c r="H2314">
        <v>1207793970</v>
      </c>
      <c r="I2314">
        <v>855702968</v>
      </c>
      <c r="J2314">
        <v>656954544</v>
      </c>
      <c r="K2314">
        <v>468462034</v>
      </c>
      <c r="L2314">
        <v>460469811</v>
      </c>
      <c r="M2314">
        <v>373509284</v>
      </c>
      <c r="N2314">
        <v>448799595</v>
      </c>
      <c r="O2314">
        <v>50933189</v>
      </c>
      <c r="P2314">
        <v>106</v>
      </c>
      <c r="Q2314" t="s">
        <v>4954</v>
      </c>
    </row>
    <row r="2315" spans="1:17" x14ac:dyDescent="0.3">
      <c r="A2315" t="s">
        <v>4664</v>
      </c>
      <c r="B2315" t="str">
        <f>"000546"</f>
        <v>000546</v>
      </c>
      <c r="C2315" t="s">
        <v>4955</v>
      </c>
      <c r="D2315" t="s">
        <v>731</v>
      </c>
      <c r="F2315">
        <v>7371164856</v>
      </c>
      <c r="G2315">
        <v>6343442418</v>
      </c>
      <c r="H2315">
        <v>5867450812</v>
      </c>
      <c r="I2315">
        <v>6204513762</v>
      </c>
      <c r="J2315">
        <v>3314045186</v>
      </c>
      <c r="K2315">
        <v>1328863923</v>
      </c>
      <c r="L2315">
        <v>927985935</v>
      </c>
      <c r="M2315">
        <v>86677356</v>
      </c>
      <c r="N2315">
        <v>120454375</v>
      </c>
      <c r="O2315">
        <v>48525597</v>
      </c>
      <c r="P2315">
        <v>181</v>
      </c>
      <c r="Q2315" t="s">
        <v>4956</v>
      </c>
    </row>
    <row r="2316" spans="1:17" x14ac:dyDescent="0.3">
      <c r="A2316" t="s">
        <v>4664</v>
      </c>
      <c r="B2316" t="str">
        <f>"000547"</f>
        <v>000547</v>
      </c>
      <c r="C2316" t="s">
        <v>4957</v>
      </c>
      <c r="D2316" t="s">
        <v>1136</v>
      </c>
      <c r="F2316">
        <v>2154076858</v>
      </c>
      <c r="G2316">
        <v>2113397393</v>
      </c>
      <c r="H2316">
        <v>1339578462</v>
      </c>
      <c r="I2316">
        <v>1132623557</v>
      </c>
      <c r="J2316">
        <v>723827348</v>
      </c>
      <c r="K2316">
        <v>885054627</v>
      </c>
      <c r="L2316">
        <v>267287855</v>
      </c>
      <c r="M2316">
        <v>523305441</v>
      </c>
      <c r="N2316">
        <v>247939059</v>
      </c>
      <c r="O2316">
        <v>225499693</v>
      </c>
      <c r="P2316">
        <v>612</v>
      </c>
      <c r="Q2316" t="s">
        <v>4958</v>
      </c>
    </row>
    <row r="2317" spans="1:17" x14ac:dyDescent="0.3">
      <c r="A2317" t="s">
        <v>4664</v>
      </c>
      <c r="B2317" t="str">
        <f>"000548"</f>
        <v>000548</v>
      </c>
      <c r="C2317" t="s">
        <v>4959</v>
      </c>
      <c r="D2317" t="s">
        <v>44</v>
      </c>
      <c r="F2317">
        <v>302327238</v>
      </c>
      <c r="G2317">
        <v>194269588</v>
      </c>
      <c r="H2317">
        <v>425285405</v>
      </c>
      <c r="I2317">
        <v>204289020</v>
      </c>
      <c r="J2317">
        <v>264313585</v>
      </c>
      <c r="K2317">
        <v>500814606</v>
      </c>
      <c r="L2317">
        <v>135862303</v>
      </c>
      <c r="M2317">
        <v>155083477</v>
      </c>
      <c r="N2317">
        <v>166514015</v>
      </c>
      <c r="O2317">
        <v>160546682</v>
      </c>
      <c r="P2317">
        <v>90</v>
      </c>
      <c r="Q2317" t="s">
        <v>4960</v>
      </c>
    </row>
    <row r="2318" spans="1:17" x14ac:dyDescent="0.3">
      <c r="A2318" t="s">
        <v>4664</v>
      </c>
      <c r="B2318" t="str">
        <f>"000550"</f>
        <v>000550</v>
      </c>
      <c r="C2318" t="s">
        <v>4961</v>
      </c>
      <c r="D2318" t="s">
        <v>27</v>
      </c>
      <c r="F2318">
        <v>28328168356</v>
      </c>
      <c r="G2318">
        <v>23182317549</v>
      </c>
      <c r="H2318">
        <v>22642494374</v>
      </c>
      <c r="I2318">
        <v>22488420898</v>
      </c>
      <c r="J2318">
        <v>25211230091</v>
      </c>
      <c r="K2318">
        <v>20483990025</v>
      </c>
      <c r="L2318">
        <v>19169757986</v>
      </c>
      <c r="M2318">
        <v>20395555814</v>
      </c>
      <c r="N2318">
        <v>16809192141</v>
      </c>
      <c r="O2318">
        <v>14793873091</v>
      </c>
      <c r="P2318">
        <v>595</v>
      </c>
      <c r="Q2318" t="s">
        <v>4962</v>
      </c>
    </row>
    <row r="2319" spans="1:17" x14ac:dyDescent="0.3">
      <c r="A2319" t="s">
        <v>4664</v>
      </c>
      <c r="B2319" t="str">
        <f>"000551"</f>
        <v>000551</v>
      </c>
      <c r="C2319" t="s">
        <v>4963</v>
      </c>
      <c r="D2319" t="s">
        <v>1070</v>
      </c>
      <c r="F2319">
        <v>2782740976</v>
      </c>
      <c r="G2319">
        <v>2296483458</v>
      </c>
      <c r="H2319">
        <v>2154529358</v>
      </c>
      <c r="I2319">
        <v>2110131119</v>
      </c>
      <c r="J2319">
        <v>2099728940</v>
      </c>
      <c r="K2319">
        <v>1794254616</v>
      </c>
      <c r="L2319">
        <v>1661699810</v>
      </c>
      <c r="M2319">
        <v>1739054495</v>
      </c>
      <c r="N2319">
        <v>1744172100</v>
      </c>
      <c r="O2319">
        <v>1552256695</v>
      </c>
      <c r="P2319">
        <v>122</v>
      </c>
      <c r="Q2319" t="s">
        <v>4964</v>
      </c>
    </row>
    <row r="2320" spans="1:17" x14ac:dyDescent="0.3">
      <c r="A2320" t="s">
        <v>4664</v>
      </c>
      <c r="B2320" t="str">
        <f>"000552"</f>
        <v>000552</v>
      </c>
      <c r="C2320" t="s">
        <v>4965</v>
      </c>
      <c r="D2320" t="s">
        <v>292</v>
      </c>
      <c r="F2320">
        <v>3817887697</v>
      </c>
      <c r="G2320">
        <v>2576377729</v>
      </c>
      <c r="H2320">
        <v>2644148533</v>
      </c>
      <c r="I2320">
        <v>2885645722</v>
      </c>
      <c r="J2320">
        <v>2585041290</v>
      </c>
      <c r="K2320">
        <v>2183386182</v>
      </c>
      <c r="L2320">
        <v>1925517573</v>
      </c>
      <c r="M2320">
        <v>2770249548</v>
      </c>
      <c r="N2320">
        <v>3395097091</v>
      </c>
      <c r="O2320">
        <v>2746450334</v>
      </c>
      <c r="P2320">
        <v>263</v>
      </c>
      <c r="Q2320" t="s">
        <v>4966</v>
      </c>
    </row>
    <row r="2321" spans="1:17" x14ac:dyDescent="0.3">
      <c r="A2321" t="s">
        <v>4664</v>
      </c>
      <c r="B2321" t="str">
        <f>"000553"</f>
        <v>000553</v>
      </c>
      <c r="C2321" t="s">
        <v>4967</v>
      </c>
      <c r="D2321" t="s">
        <v>853</v>
      </c>
      <c r="F2321">
        <v>21454588000</v>
      </c>
      <c r="G2321">
        <v>19666330000</v>
      </c>
      <c r="H2321">
        <v>18678554000</v>
      </c>
      <c r="I2321">
        <v>17806561000</v>
      </c>
      <c r="J2321">
        <v>17306144000</v>
      </c>
      <c r="K2321">
        <v>985862427</v>
      </c>
      <c r="L2321">
        <v>1338674461</v>
      </c>
      <c r="M2321">
        <v>2226317764</v>
      </c>
      <c r="N2321">
        <v>1913594742</v>
      </c>
      <c r="O2321">
        <v>1576684834</v>
      </c>
      <c r="P2321">
        <v>227</v>
      </c>
      <c r="Q2321" t="s">
        <v>4968</v>
      </c>
    </row>
    <row r="2322" spans="1:17" x14ac:dyDescent="0.3">
      <c r="A2322" t="s">
        <v>4664</v>
      </c>
      <c r="B2322" t="str">
        <f>"000554"</f>
        <v>000554</v>
      </c>
      <c r="C2322" t="s">
        <v>4969</v>
      </c>
      <c r="D2322" t="s">
        <v>584</v>
      </c>
      <c r="F2322">
        <v>2296425929</v>
      </c>
      <c r="G2322">
        <v>1991321306</v>
      </c>
      <c r="H2322">
        <v>2671509616</v>
      </c>
      <c r="I2322">
        <v>2722414818</v>
      </c>
      <c r="J2322">
        <v>2320559914</v>
      </c>
      <c r="K2322">
        <v>2414861841</v>
      </c>
      <c r="L2322">
        <v>2593845248</v>
      </c>
      <c r="M2322">
        <v>3402369616</v>
      </c>
      <c r="N2322">
        <v>3206745488</v>
      </c>
      <c r="O2322">
        <v>3690833715</v>
      </c>
      <c r="P2322">
        <v>112</v>
      </c>
      <c r="Q2322" t="s">
        <v>4970</v>
      </c>
    </row>
    <row r="2323" spans="1:17" x14ac:dyDescent="0.3">
      <c r="A2323" t="s">
        <v>4664</v>
      </c>
      <c r="B2323" t="str">
        <f>"000555"</f>
        <v>000555</v>
      </c>
      <c r="C2323" t="s">
        <v>4971</v>
      </c>
      <c r="D2323" t="s">
        <v>316</v>
      </c>
      <c r="F2323">
        <v>6756324004</v>
      </c>
      <c r="G2323">
        <v>6236938882</v>
      </c>
      <c r="H2323">
        <v>6259926355</v>
      </c>
      <c r="I2323">
        <v>6193325733</v>
      </c>
      <c r="J2323">
        <v>5308664422</v>
      </c>
      <c r="K2323">
        <v>5716351228</v>
      </c>
      <c r="L2323">
        <v>4323941967</v>
      </c>
      <c r="M2323">
        <v>5539481092</v>
      </c>
      <c r="N2323">
        <v>11909340</v>
      </c>
      <c r="O2323">
        <v>46719504</v>
      </c>
      <c r="P2323">
        <v>374</v>
      </c>
      <c r="Q2323" t="s">
        <v>4972</v>
      </c>
    </row>
    <row r="2324" spans="1:17" x14ac:dyDescent="0.3">
      <c r="A2324" t="s">
        <v>4664</v>
      </c>
      <c r="B2324" t="str">
        <f>"000556"</f>
        <v>000556</v>
      </c>
      <c r="C2324" t="s">
        <v>4973</v>
      </c>
      <c r="K2324">
        <v>24023302.75</v>
      </c>
      <c r="L2324">
        <v>0</v>
      </c>
      <c r="M2324">
        <v>0</v>
      </c>
      <c r="N2324">
        <v>1156494</v>
      </c>
      <c r="O2324">
        <v>3491954.28</v>
      </c>
      <c r="P2324">
        <v>4</v>
      </c>
      <c r="Q2324" t="s">
        <v>4974</v>
      </c>
    </row>
    <row r="2325" spans="1:17" x14ac:dyDescent="0.3">
      <c r="A2325" t="s">
        <v>4664</v>
      </c>
      <c r="B2325" t="str">
        <f>"000557"</f>
        <v>000557</v>
      </c>
      <c r="C2325" t="s">
        <v>4975</v>
      </c>
      <c r="D2325" t="s">
        <v>301</v>
      </c>
      <c r="F2325">
        <v>720224425</v>
      </c>
      <c r="G2325">
        <v>543103842</v>
      </c>
      <c r="H2325">
        <v>526779921</v>
      </c>
      <c r="I2325">
        <v>520525120</v>
      </c>
      <c r="J2325">
        <v>571178601</v>
      </c>
      <c r="K2325">
        <v>313631334</v>
      </c>
      <c r="L2325">
        <v>7472477</v>
      </c>
      <c r="M2325">
        <v>4632512</v>
      </c>
      <c r="N2325">
        <v>2147939</v>
      </c>
      <c r="O2325">
        <v>798903</v>
      </c>
      <c r="P2325">
        <v>103</v>
      </c>
      <c r="Q2325" t="s">
        <v>4976</v>
      </c>
    </row>
    <row r="2326" spans="1:17" x14ac:dyDescent="0.3">
      <c r="A2326" t="s">
        <v>4664</v>
      </c>
      <c r="B2326" t="str">
        <f>"000558"</f>
        <v>000558</v>
      </c>
      <c r="C2326" t="s">
        <v>4977</v>
      </c>
      <c r="D2326" t="s">
        <v>104</v>
      </c>
      <c r="F2326">
        <v>77491212</v>
      </c>
      <c r="G2326">
        <v>97155012</v>
      </c>
      <c r="H2326">
        <v>84300586</v>
      </c>
      <c r="I2326">
        <v>686946458</v>
      </c>
      <c r="J2326">
        <v>1206542277</v>
      </c>
      <c r="K2326">
        <v>1923924562</v>
      </c>
      <c r="L2326">
        <v>1893545873</v>
      </c>
      <c r="M2326">
        <v>1409196670</v>
      </c>
      <c r="N2326">
        <v>1738263806</v>
      </c>
      <c r="O2326">
        <v>2181000501</v>
      </c>
      <c r="P2326">
        <v>118</v>
      </c>
      <c r="Q2326" t="s">
        <v>4978</v>
      </c>
    </row>
    <row r="2327" spans="1:17" x14ac:dyDescent="0.3">
      <c r="A2327" t="s">
        <v>4664</v>
      </c>
      <c r="B2327" t="str">
        <f>"000559"</f>
        <v>000559</v>
      </c>
      <c r="C2327" t="s">
        <v>4979</v>
      </c>
      <c r="D2327" t="s">
        <v>348</v>
      </c>
      <c r="F2327">
        <v>11753166769</v>
      </c>
      <c r="G2327">
        <v>8573790416</v>
      </c>
      <c r="H2327">
        <v>9199283434</v>
      </c>
      <c r="I2327">
        <v>10563951161</v>
      </c>
      <c r="J2327">
        <v>10244019403</v>
      </c>
      <c r="K2327">
        <v>9400430771</v>
      </c>
      <c r="L2327">
        <v>9008693549</v>
      </c>
      <c r="M2327">
        <v>8734523194</v>
      </c>
      <c r="N2327">
        <v>7689260661</v>
      </c>
      <c r="O2327">
        <v>7091175196</v>
      </c>
      <c r="P2327">
        <v>414</v>
      </c>
      <c r="Q2327" t="s">
        <v>4980</v>
      </c>
    </row>
    <row r="2328" spans="1:17" x14ac:dyDescent="0.3">
      <c r="A2328" t="s">
        <v>4664</v>
      </c>
      <c r="B2328" t="str">
        <f>"000560"</f>
        <v>000560</v>
      </c>
      <c r="C2328" t="s">
        <v>4981</v>
      </c>
      <c r="D2328" t="s">
        <v>4982</v>
      </c>
      <c r="F2328">
        <v>9613199608</v>
      </c>
      <c r="G2328">
        <v>6883720813</v>
      </c>
      <c r="H2328">
        <v>8936829593</v>
      </c>
      <c r="I2328">
        <v>7871828779</v>
      </c>
      <c r="J2328">
        <v>1034004843</v>
      </c>
      <c r="K2328">
        <v>1118082955</v>
      </c>
      <c r="L2328">
        <v>1186946368</v>
      </c>
      <c r="M2328">
        <v>1402203923</v>
      </c>
      <c r="N2328">
        <v>1567826687</v>
      </c>
      <c r="O2328">
        <v>1333026764</v>
      </c>
      <c r="P2328">
        <v>206</v>
      </c>
      <c r="Q2328" t="s">
        <v>4983</v>
      </c>
    </row>
    <row r="2329" spans="1:17" x14ac:dyDescent="0.3">
      <c r="A2329" t="s">
        <v>4664</v>
      </c>
      <c r="B2329" t="str">
        <f>"000561"</f>
        <v>000561</v>
      </c>
      <c r="C2329" t="s">
        <v>4984</v>
      </c>
      <c r="D2329" t="s">
        <v>98</v>
      </c>
      <c r="F2329">
        <v>734310956</v>
      </c>
      <c r="G2329">
        <v>497554809</v>
      </c>
      <c r="H2329">
        <v>614352364</v>
      </c>
      <c r="I2329">
        <v>584563037</v>
      </c>
      <c r="J2329">
        <v>767901092</v>
      </c>
      <c r="K2329">
        <v>593837963</v>
      </c>
      <c r="L2329">
        <v>558046259</v>
      </c>
      <c r="M2329">
        <v>385425406</v>
      </c>
      <c r="N2329">
        <v>558461897</v>
      </c>
      <c r="O2329">
        <v>250950158</v>
      </c>
      <c r="P2329">
        <v>134</v>
      </c>
      <c r="Q2329" t="s">
        <v>4985</v>
      </c>
    </row>
    <row r="2330" spans="1:17" x14ac:dyDescent="0.3">
      <c r="A2330" t="s">
        <v>4664</v>
      </c>
      <c r="B2330" t="str">
        <f>"000562"</f>
        <v>000562</v>
      </c>
      <c r="C2330" t="s">
        <v>4986</v>
      </c>
      <c r="P2330">
        <v>18</v>
      </c>
      <c r="Q2330" t="s">
        <v>4987</v>
      </c>
    </row>
    <row r="2331" spans="1:17" x14ac:dyDescent="0.3">
      <c r="A2331" t="s">
        <v>4664</v>
      </c>
      <c r="B2331" t="str">
        <f>"000563"</f>
        <v>000563</v>
      </c>
      <c r="C2331" t="s">
        <v>4988</v>
      </c>
      <c r="D2331" t="s">
        <v>1649</v>
      </c>
      <c r="P2331">
        <v>205</v>
      </c>
      <c r="Q2331" t="s">
        <v>4989</v>
      </c>
    </row>
    <row r="2332" spans="1:17" x14ac:dyDescent="0.3">
      <c r="A2332" t="s">
        <v>4664</v>
      </c>
      <c r="B2332" t="str">
        <f>"000564"</f>
        <v>000564</v>
      </c>
      <c r="C2332" t="s">
        <v>4990</v>
      </c>
      <c r="D2332" t="s">
        <v>633</v>
      </c>
      <c r="F2332">
        <v>1650270671</v>
      </c>
      <c r="G2332">
        <v>2029809118</v>
      </c>
      <c r="H2332">
        <v>4727509189</v>
      </c>
      <c r="I2332">
        <v>13657844833</v>
      </c>
      <c r="J2332">
        <v>17595116622</v>
      </c>
      <c r="K2332">
        <v>8117332227</v>
      </c>
      <c r="L2332">
        <v>4425024160</v>
      </c>
      <c r="M2332">
        <v>3306284615</v>
      </c>
      <c r="N2332">
        <v>3124354460</v>
      </c>
      <c r="O2332">
        <v>2769874689</v>
      </c>
      <c r="P2332">
        <v>187</v>
      </c>
      <c r="Q2332" t="s">
        <v>4991</v>
      </c>
    </row>
    <row r="2333" spans="1:17" x14ac:dyDescent="0.3">
      <c r="A2333" t="s">
        <v>4664</v>
      </c>
      <c r="B2333" t="str">
        <f>"000565"</f>
        <v>000565</v>
      </c>
      <c r="C2333" t="s">
        <v>4992</v>
      </c>
      <c r="D2333" t="s">
        <v>2570</v>
      </c>
      <c r="F2333">
        <v>273948787</v>
      </c>
      <c r="G2333">
        <v>211955904</v>
      </c>
      <c r="H2333">
        <v>208448473</v>
      </c>
      <c r="I2333">
        <v>396780770</v>
      </c>
      <c r="J2333">
        <v>3769557794</v>
      </c>
      <c r="K2333">
        <v>2189867834</v>
      </c>
      <c r="L2333">
        <v>216094357</v>
      </c>
      <c r="M2333">
        <v>221271848</v>
      </c>
      <c r="N2333">
        <v>240009639</v>
      </c>
      <c r="O2333">
        <v>272033294</v>
      </c>
      <c r="P2333">
        <v>79</v>
      </c>
      <c r="Q2333" t="s">
        <v>4993</v>
      </c>
    </row>
    <row r="2334" spans="1:17" x14ac:dyDescent="0.3">
      <c r="A2334" t="s">
        <v>4664</v>
      </c>
      <c r="B2334" t="str">
        <f>"000566"</f>
        <v>000566</v>
      </c>
      <c r="C2334" t="s">
        <v>4994</v>
      </c>
      <c r="D2334" t="s">
        <v>143</v>
      </c>
      <c r="F2334">
        <v>1510342543</v>
      </c>
      <c r="G2334">
        <v>1450370897</v>
      </c>
      <c r="H2334">
        <v>1940989824</v>
      </c>
      <c r="I2334">
        <v>1699912411</v>
      </c>
      <c r="J2334">
        <v>999457940</v>
      </c>
      <c r="K2334">
        <v>870177768</v>
      </c>
      <c r="L2334">
        <v>807503106</v>
      </c>
      <c r="M2334">
        <v>840102507</v>
      </c>
      <c r="N2334">
        <v>1005140708</v>
      </c>
      <c r="O2334">
        <v>606815441</v>
      </c>
      <c r="P2334">
        <v>195</v>
      </c>
      <c r="Q2334" t="s">
        <v>4995</v>
      </c>
    </row>
    <row r="2335" spans="1:17" x14ac:dyDescent="0.3">
      <c r="A2335" t="s">
        <v>4664</v>
      </c>
      <c r="B2335" t="str">
        <f>"000567"</f>
        <v>000567</v>
      </c>
      <c r="C2335" t="s">
        <v>4996</v>
      </c>
      <c r="D2335" t="s">
        <v>116</v>
      </c>
      <c r="F2335">
        <v>1143527617</v>
      </c>
      <c r="G2335">
        <v>58500</v>
      </c>
      <c r="H2335">
        <v>157500</v>
      </c>
      <c r="I2335">
        <v>244500</v>
      </c>
      <c r="J2335">
        <v>1122700</v>
      </c>
      <c r="K2335">
        <v>21656531</v>
      </c>
      <c r="L2335">
        <v>3497602</v>
      </c>
      <c r="M2335">
        <v>4667180</v>
      </c>
      <c r="N2335">
        <v>761060</v>
      </c>
      <c r="O2335">
        <v>4734860</v>
      </c>
      <c r="P2335">
        <v>117</v>
      </c>
      <c r="Q2335" t="s">
        <v>4997</v>
      </c>
    </row>
    <row r="2336" spans="1:17" x14ac:dyDescent="0.3">
      <c r="A2336" t="s">
        <v>4664</v>
      </c>
      <c r="B2336" t="str">
        <f>"000568"</f>
        <v>000568</v>
      </c>
      <c r="C2336" t="s">
        <v>4998</v>
      </c>
      <c r="D2336" t="s">
        <v>458</v>
      </c>
      <c r="F2336">
        <v>15250962923</v>
      </c>
      <c r="G2336">
        <v>11444778962</v>
      </c>
      <c r="H2336">
        <v>12252950016</v>
      </c>
      <c r="I2336">
        <v>10773155654</v>
      </c>
      <c r="J2336">
        <v>8756602987</v>
      </c>
      <c r="K2336">
        <v>6504785550</v>
      </c>
      <c r="L2336">
        <v>4660649224</v>
      </c>
      <c r="M2336">
        <v>6436089577</v>
      </c>
      <c r="N2336">
        <v>8393364533</v>
      </c>
      <c r="O2336">
        <v>10974914225</v>
      </c>
      <c r="P2336">
        <v>6440</v>
      </c>
      <c r="Q2336" t="s">
        <v>4999</v>
      </c>
    </row>
    <row r="2337" spans="1:17" x14ac:dyDescent="0.3">
      <c r="A2337" t="s">
        <v>4664</v>
      </c>
      <c r="B2337" t="str">
        <f>"000570"</f>
        <v>000570</v>
      </c>
      <c r="C2337" t="s">
        <v>5000</v>
      </c>
      <c r="D2337" t="s">
        <v>348</v>
      </c>
      <c r="F2337">
        <v>1631589730</v>
      </c>
      <c r="G2337">
        <v>1611643142</v>
      </c>
      <c r="H2337">
        <v>1359318700</v>
      </c>
      <c r="I2337">
        <v>1502082934</v>
      </c>
      <c r="J2337">
        <v>1847464193</v>
      </c>
      <c r="K2337">
        <v>1878758217</v>
      </c>
      <c r="L2337">
        <v>1984543237</v>
      </c>
      <c r="M2337">
        <v>1957387089</v>
      </c>
      <c r="N2337">
        <v>2390257724</v>
      </c>
      <c r="O2337">
        <v>2479975404</v>
      </c>
      <c r="P2337">
        <v>81</v>
      </c>
      <c r="Q2337" t="s">
        <v>5001</v>
      </c>
    </row>
    <row r="2338" spans="1:17" x14ac:dyDescent="0.3">
      <c r="A2338" t="s">
        <v>4664</v>
      </c>
      <c r="B2338" t="str">
        <f>"000571"</f>
        <v>000571</v>
      </c>
      <c r="C2338" t="s">
        <v>5002</v>
      </c>
      <c r="D2338" t="s">
        <v>292</v>
      </c>
      <c r="F2338">
        <v>1010300594</v>
      </c>
      <c r="G2338">
        <v>783265834</v>
      </c>
      <c r="H2338">
        <v>1206370499</v>
      </c>
      <c r="I2338">
        <v>1380526970</v>
      </c>
      <c r="J2338">
        <v>1045806290</v>
      </c>
      <c r="K2338">
        <v>657294505</v>
      </c>
      <c r="L2338">
        <v>511669910</v>
      </c>
      <c r="M2338">
        <v>629766216</v>
      </c>
      <c r="N2338">
        <v>761842412</v>
      </c>
      <c r="O2338">
        <v>1021439576</v>
      </c>
      <c r="P2338">
        <v>72</v>
      </c>
      <c r="Q2338" t="s">
        <v>5003</v>
      </c>
    </row>
    <row r="2339" spans="1:17" x14ac:dyDescent="0.3">
      <c r="A2339" t="s">
        <v>4664</v>
      </c>
      <c r="B2339" t="str">
        <f>"000572"</f>
        <v>000572</v>
      </c>
      <c r="C2339" t="s">
        <v>5004</v>
      </c>
      <c r="D2339" t="s">
        <v>247</v>
      </c>
      <c r="F2339">
        <v>1490220814</v>
      </c>
      <c r="G2339">
        <v>2005788156</v>
      </c>
      <c r="H2339">
        <v>3077730971</v>
      </c>
      <c r="I2339">
        <v>3531878487</v>
      </c>
      <c r="J2339">
        <v>6628977989</v>
      </c>
      <c r="K2339">
        <v>8695925629</v>
      </c>
      <c r="L2339">
        <v>6771887899</v>
      </c>
      <c r="M2339">
        <v>7759718499</v>
      </c>
      <c r="N2339">
        <v>7733306857</v>
      </c>
      <c r="O2339">
        <v>7594535626</v>
      </c>
      <c r="P2339">
        <v>151</v>
      </c>
      <c r="Q2339" t="s">
        <v>5005</v>
      </c>
    </row>
    <row r="2340" spans="1:17" x14ac:dyDescent="0.3">
      <c r="A2340" t="s">
        <v>4664</v>
      </c>
      <c r="B2340" t="str">
        <f>"000573"</f>
        <v>000573</v>
      </c>
      <c r="C2340" t="s">
        <v>5006</v>
      </c>
      <c r="D2340" t="s">
        <v>104</v>
      </c>
      <c r="F2340">
        <v>912040489</v>
      </c>
      <c r="G2340">
        <v>583643575</v>
      </c>
      <c r="H2340">
        <v>655371500</v>
      </c>
      <c r="I2340">
        <v>775578527</v>
      </c>
      <c r="J2340">
        <v>251532371</v>
      </c>
      <c r="K2340">
        <v>1037613780</v>
      </c>
      <c r="L2340">
        <v>362138551</v>
      </c>
      <c r="M2340">
        <v>606549613</v>
      </c>
      <c r="N2340">
        <v>646878885</v>
      </c>
      <c r="O2340">
        <v>594253918</v>
      </c>
      <c r="P2340">
        <v>130</v>
      </c>
      <c r="Q2340" t="s">
        <v>5007</v>
      </c>
    </row>
    <row r="2341" spans="1:17" x14ac:dyDescent="0.3">
      <c r="A2341" t="s">
        <v>4664</v>
      </c>
      <c r="B2341" t="str">
        <f>"000576"</f>
        <v>000576</v>
      </c>
      <c r="C2341" t="s">
        <v>5008</v>
      </c>
      <c r="D2341" t="s">
        <v>428</v>
      </c>
      <c r="F2341">
        <v>440186088</v>
      </c>
      <c r="G2341">
        <v>335856745</v>
      </c>
      <c r="H2341">
        <v>372504313</v>
      </c>
      <c r="I2341">
        <v>320012296</v>
      </c>
      <c r="J2341">
        <v>430717769</v>
      </c>
      <c r="K2341">
        <v>121519607</v>
      </c>
      <c r="L2341">
        <v>74886180</v>
      </c>
      <c r="M2341">
        <v>75243209</v>
      </c>
      <c r="N2341">
        <v>73665708</v>
      </c>
      <c r="O2341">
        <v>87233240</v>
      </c>
      <c r="P2341">
        <v>161</v>
      </c>
      <c r="Q2341" t="s">
        <v>5009</v>
      </c>
    </row>
    <row r="2342" spans="1:17" x14ac:dyDescent="0.3">
      <c r="A2342" t="s">
        <v>4664</v>
      </c>
      <c r="B2342" t="str">
        <f>"000578"</f>
        <v>000578</v>
      </c>
      <c r="C2342" t="s">
        <v>5010</v>
      </c>
      <c r="N2342">
        <v>4691342281.9399996</v>
      </c>
      <c r="O2342">
        <v>5350850081</v>
      </c>
      <c r="P2342">
        <v>12</v>
      </c>
      <c r="Q2342" t="s">
        <v>5011</v>
      </c>
    </row>
    <row r="2343" spans="1:17" x14ac:dyDescent="0.3">
      <c r="A2343" t="s">
        <v>4664</v>
      </c>
      <c r="B2343" t="str">
        <f>"000581"</f>
        <v>000581</v>
      </c>
      <c r="C2343" t="s">
        <v>5012</v>
      </c>
      <c r="D2343" t="s">
        <v>348</v>
      </c>
      <c r="F2343">
        <v>13290151116</v>
      </c>
      <c r="G2343">
        <v>8341439779</v>
      </c>
      <c r="H2343">
        <v>6469994384</v>
      </c>
      <c r="I2343">
        <v>6420868275</v>
      </c>
      <c r="J2343">
        <v>5415498593</v>
      </c>
      <c r="K2343">
        <v>4075857122</v>
      </c>
      <c r="L2343">
        <v>5117013072</v>
      </c>
      <c r="M2343">
        <v>5552102605</v>
      </c>
      <c r="N2343">
        <v>4404230677</v>
      </c>
      <c r="O2343">
        <v>4710414701</v>
      </c>
      <c r="P2343">
        <v>1711</v>
      </c>
      <c r="Q2343" t="s">
        <v>5013</v>
      </c>
    </row>
    <row r="2344" spans="1:17" x14ac:dyDescent="0.3">
      <c r="A2344" t="s">
        <v>4664</v>
      </c>
      <c r="B2344" t="str">
        <f>"000582"</f>
        <v>000582</v>
      </c>
      <c r="C2344" t="s">
        <v>5014</v>
      </c>
      <c r="D2344" t="s">
        <v>51</v>
      </c>
      <c r="F2344">
        <v>3465173015</v>
      </c>
      <c r="G2344">
        <v>3454737189</v>
      </c>
      <c r="H2344">
        <v>3397042563</v>
      </c>
      <c r="I2344">
        <v>3245672711</v>
      </c>
      <c r="J2344">
        <v>2427060928</v>
      </c>
      <c r="K2344">
        <v>2076221270</v>
      </c>
      <c r="L2344">
        <v>2153367789</v>
      </c>
      <c r="M2344">
        <v>3394566805</v>
      </c>
      <c r="N2344">
        <v>1130264681</v>
      </c>
      <c r="O2344">
        <v>1712392313</v>
      </c>
      <c r="P2344">
        <v>227</v>
      </c>
      <c r="Q2344" t="s">
        <v>5015</v>
      </c>
    </row>
    <row r="2345" spans="1:17" x14ac:dyDescent="0.3">
      <c r="A2345" t="s">
        <v>4664</v>
      </c>
      <c r="B2345" t="str">
        <f>"000583"</f>
        <v>000583</v>
      </c>
      <c r="C2345" t="s">
        <v>5016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3</v>
      </c>
      <c r="Q2345" t="s">
        <v>5017</v>
      </c>
    </row>
    <row r="2346" spans="1:17" x14ac:dyDescent="0.3">
      <c r="A2346" t="s">
        <v>4664</v>
      </c>
      <c r="B2346" t="str">
        <f>"000584"</f>
        <v>000584</v>
      </c>
      <c r="C2346" t="s">
        <v>5018</v>
      </c>
      <c r="D2346" t="s">
        <v>2911</v>
      </c>
      <c r="F2346">
        <v>873734764</v>
      </c>
      <c r="G2346">
        <v>1041858494</v>
      </c>
      <c r="H2346">
        <v>1290182776</v>
      </c>
      <c r="I2346">
        <v>1513823798</v>
      </c>
      <c r="J2346">
        <v>739148935</v>
      </c>
      <c r="K2346">
        <v>432146464</v>
      </c>
      <c r="L2346">
        <v>953562060</v>
      </c>
      <c r="M2346">
        <v>1006929202</v>
      </c>
      <c r="N2346">
        <v>1142055771</v>
      </c>
      <c r="O2346">
        <v>942367259</v>
      </c>
      <c r="P2346">
        <v>134</v>
      </c>
      <c r="Q2346" t="s">
        <v>5019</v>
      </c>
    </row>
    <row r="2347" spans="1:17" x14ac:dyDescent="0.3">
      <c r="A2347" t="s">
        <v>4664</v>
      </c>
      <c r="B2347" t="str">
        <f>"000585"</f>
        <v>000585</v>
      </c>
      <c r="C2347" t="s">
        <v>5020</v>
      </c>
      <c r="D2347" t="s">
        <v>210</v>
      </c>
      <c r="F2347">
        <v>50433384</v>
      </c>
      <c r="G2347">
        <v>50560586</v>
      </c>
      <c r="H2347">
        <v>66895034</v>
      </c>
      <c r="I2347">
        <v>30842006</v>
      </c>
      <c r="J2347">
        <v>24316270</v>
      </c>
      <c r="K2347">
        <v>45072635</v>
      </c>
      <c r="L2347">
        <v>105969251</v>
      </c>
      <c r="M2347">
        <v>130032960</v>
      </c>
      <c r="N2347">
        <v>169364886</v>
      </c>
      <c r="O2347">
        <v>137065895</v>
      </c>
      <c r="P2347">
        <v>73</v>
      </c>
      <c r="Q2347" t="s">
        <v>5021</v>
      </c>
    </row>
    <row r="2348" spans="1:17" x14ac:dyDescent="0.3">
      <c r="A2348" t="s">
        <v>4664</v>
      </c>
      <c r="B2348" t="str">
        <f>"000586"</f>
        <v>000586</v>
      </c>
      <c r="C2348" t="s">
        <v>5022</v>
      </c>
      <c r="D2348" t="s">
        <v>250</v>
      </c>
      <c r="F2348">
        <v>290704344</v>
      </c>
      <c r="G2348">
        <v>293327750</v>
      </c>
      <c r="H2348">
        <v>309725257</v>
      </c>
      <c r="I2348">
        <v>290292573</v>
      </c>
      <c r="J2348">
        <v>307788340</v>
      </c>
      <c r="K2348">
        <v>292915522</v>
      </c>
      <c r="L2348">
        <v>287848786</v>
      </c>
      <c r="M2348">
        <v>287557511</v>
      </c>
      <c r="N2348">
        <v>291472741</v>
      </c>
      <c r="O2348">
        <v>252521267</v>
      </c>
      <c r="P2348">
        <v>145</v>
      </c>
      <c r="Q2348" t="s">
        <v>5023</v>
      </c>
    </row>
    <row r="2349" spans="1:17" x14ac:dyDescent="0.3">
      <c r="A2349" t="s">
        <v>4664</v>
      </c>
      <c r="B2349" t="str">
        <f>"000587"</f>
        <v>000587</v>
      </c>
      <c r="C2349" t="s">
        <v>5024</v>
      </c>
      <c r="D2349" t="s">
        <v>1238</v>
      </c>
      <c r="F2349">
        <v>84289793</v>
      </c>
      <c r="G2349">
        <v>324950071</v>
      </c>
      <c r="H2349">
        <v>633540708</v>
      </c>
      <c r="I2349">
        <v>10737185100</v>
      </c>
      <c r="J2349">
        <v>9437248267</v>
      </c>
      <c r="K2349">
        <v>8092227217</v>
      </c>
      <c r="L2349">
        <v>8361581650</v>
      </c>
      <c r="M2349">
        <v>7653065771</v>
      </c>
      <c r="N2349">
        <v>7179580423</v>
      </c>
      <c r="O2349">
        <v>3865810228</v>
      </c>
      <c r="P2349">
        <v>114</v>
      </c>
      <c r="Q2349" t="s">
        <v>5025</v>
      </c>
    </row>
    <row r="2350" spans="1:17" x14ac:dyDescent="0.3">
      <c r="A2350" t="s">
        <v>4664</v>
      </c>
      <c r="B2350" t="str">
        <f>"000588"</f>
        <v>000588</v>
      </c>
      <c r="C2350" t="s">
        <v>5026</v>
      </c>
      <c r="K2350">
        <v>147218211.12</v>
      </c>
      <c r="L2350">
        <v>377789270.61000001</v>
      </c>
      <c r="P2350">
        <v>5</v>
      </c>
      <c r="Q2350" t="s">
        <v>5027</v>
      </c>
    </row>
    <row r="2351" spans="1:17" x14ac:dyDescent="0.3">
      <c r="A2351" t="s">
        <v>4664</v>
      </c>
      <c r="B2351" t="str">
        <f>"000589"</f>
        <v>000589</v>
      </c>
      <c r="C2351" t="s">
        <v>5028</v>
      </c>
      <c r="D2351" t="s">
        <v>422</v>
      </c>
      <c r="F2351">
        <v>5301062318</v>
      </c>
      <c r="G2351">
        <v>5640613233</v>
      </c>
      <c r="H2351">
        <v>5415082508</v>
      </c>
      <c r="I2351">
        <v>5302077026</v>
      </c>
      <c r="J2351">
        <v>4355123722</v>
      </c>
      <c r="K2351">
        <v>4604521856</v>
      </c>
      <c r="L2351">
        <v>4561999157</v>
      </c>
      <c r="M2351">
        <v>3342749303</v>
      </c>
      <c r="N2351">
        <v>3545008615</v>
      </c>
      <c r="O2351">
        <v>4476361622</v>
      </c>
      <c r="P2351">
        <v>208</v>
      </c>
      <c r="Q2351" t="s">
        <v>5029</v>
      </c>
    </row>
    <row r="2352" spans="1:17" x14ac:dyDescent="0.3">
      <c r="A2352" t="s">
        <v>4664</v>
      </c>
      <c r="B2352" t="str">
        <f>"000590"</f>
        <v>000590</v>
      </c>
      <c r="C2352" t="s">
        <v>5030</v>
      </c>
      <c r="D2352" t="s">
        <v>188</v>
      </c>
      <c r="F2352">
        <v>262149750</v>
      </c>
      <c r="G2352">
        <v>236373549</v>
      </c>
      <c r="H2352">
        <v>210859728</v>
      </c>
      <c r="I2352">
        <v>207995541</v>
      </c>
      <c r="J2352">
        <v>188631061</v>
      </c>
      <c r="K2352">
        <v>240633042</v>
      </c>
      <c r="L2352">
        <v>267268140</v>
      </c>
      <c r="M2352">
        <v>148735224</v>
      </c>
      <c r="N2352">
        <v>277418958</v>
      </c>
      <c r="O2352">
        <v>275193302</v>
      </c>
      <c r="P2352">
        <v>148</v>
      </c>
      <c r="Q2352" t="s">
        <v>5031</v>
      </c>
    </row>
    <row r="2353" spans="1:17" x14ac:dyDescent="0.3">
      <c r="A2353" t="s">
        <v>4664</v>
      </c>
      <c r="B2353" t="str">
        <f>"000591"</f>
        <v>000591</v>
      </c>
      <c r="C2353" t="s">
        <v>5032</v>
      </c>
      <c r="D2353" t="s">
        <v>86</v>
      </c>
      <c r="F2353">
        <v>2810439164</v>
      </c>
      <c r="G2353">
        <v>2563269005</v>
      </c>
      <c r="H2353">
        <v>2521691620</v>
      </c>
      <c r="I2353">
        <v>1650993214</v>
      </c>
      <c r="J2353">
        <v>2402436934</v>
      </c>
      <c r="K2353">
        <v>1925393953</v>
      </c>
      <c r="L2353">
        <v>4309937972</v>
      </c>
      <c r="M2353">
        <v>4285408154</v>
      </c>
      <c r="N2353">
        <v>4106401164</v>
      </c>
      <c r="O2353">
        <v>4389900795</v>
      </c>
      <c r="P2353">
        <v>664</v>
      </c>
      <c r="Q2353" t="s">
        <v>5033</v>
      </c>
    </row>
    <row r="2354" spans="1:17" x14ac:dyDescent="0.3">
      <c r="A2354" t="s">
        <v>4664</v>
      </c>
      <c r="B2354" t="str">
        <f>"000592"</f>
        <v>000592</v>
      </c>
      <c r="C2354" t="s">
        <v>5034</v>
      </c>
      <c r="D2354" t="s">
        <v>603</v>
      </c>
      <c r="F2354">
        <v>1323048761</v>
      </c>
      <c r="G2354">
        <v>894435464</v>
      </c>
      <c r="H2354">
        <v>753405235</v>
      </c>
      <c r="I2354">
        <v>632753453</v>
      </c>
      <c r="J2354">
        <v>489009041</v>
      </c>
      <c r="K2354">
        <v>614459223</v>
      </c>
      <c r="L2354">
        <v>705433472</v>
      </c>
      <c r="M2354">
        <v>584356546</v>
      </c>
      <c r="N2354">
        <v>575353182</v>
      </c>
      <c r="O2354">
        <v>512720916</v>
      </c>
      <c r="P2354">
        <v>150</v>
      </c>
      <c r="Q2354" t="s">
        <v>5035</v>
      </c>
    </row>
    <row r="2355" spans="1:17" x14ac:dyDescent="0.3">
      <c r="A2355" t="s">
        <v>4664</v>
      </c>
      <c r="B2355" t="str">
        <f>"000593"</f>
        <v>000593</v>
      </c>
      <c r="C2355" t="s">
        <v>5036</v>
      </c>
      <c r="D2355" t="s">
        <v>749</v>
      </c>
      <c r="F2355">
        <v>1458948919</v>
      </c>
      <c r="G2355">
        <v>1023301756</v>
      </c>
      <c r="H2355">
        <v>752435219</v>
      </c>
      <c r="I2355">
        <v>546494653</v>
      </c>
      <c r="J2355">
        <v>543228750</v>
      </c>
      <c r="K2355">
        <v>377309500</v>
      </c>
      <c r="L2355">
        <v>348747697</v>
      </c>
      <c r="M2355">
        <v>339342086</v>
      </c>
      <c r="N2355">
        <v>354045491</v>
      </c>
      <c r="O2355">
        <v>333468480</v>
      </c>
      <c r="P2355">
        <v>80</v>
      </c>
      <c r="Q2355" t="s">
        <v>5037</v>
      </c>
    </row>
    <row r="2356" spans="1:17" x14ac:dyDescent="0.3">
      <c r="A2356" t="s">
        <v>4664</v>
      </c>
      <c r="B2356" t="str">
        <f>"000594"</f>
        <v>000594</v>
      </c>
      <c r="C2356" t="s">
        <v>5038</v>
      </c>
      <c r="K2356">
        <v>5041615.17</v>
      </c>
      <c r="L2356">
        <v>5723133.46</v>
      </c>
      <c r="M2356">
        <v>19993987.800000001</v>
      </c>
      <c r="N2356">
        <v>68049555.069999993</v>
      </c>
      <c r="O2356">
        <v>197098282.94999999</v>
      </c>
      <c r="P2356">
        <v>3</v>
      </c>
      <c r="Q2356" t="s">
        <v>5039</v>
      </c>
    </row>
    <row r="2357" spans="1:17" x14ac:dyDescent="0.3">
      <c r="A2357" t="s">
        <v>4664</v>
      </c>
      <c r="B2357" t="str">
        <f>"000595"</f>
        <v>000595</v>
      </c>
      <c r="C2357" t="s">
        <v>5040</v>
      </c>
      <c r="D2357" t="s">
        <v>274</v>
      </c>
      <c r="F2357">
        <v>144798574</v>
      </c>
      <c r="G2357">
        <v>107886533</v>
      </c>
      <c r="H2357">
        <v>229522453</v>
      </c>
      <c r="I2357">
        <v>328856525</v>
      </c>
      <c r="J2357">
        <v>338750147</v>
      </c>
      <c r="K2357">
        <v>115921510</v>
      </c>
      <c r="L2357">
        <v>271852683</v>
      </c>
      <c r="M2357">
        <v>261175694</v>
      </c>
      <c r="N2357">
        <v>247921263</v>
      </c>
      <c r="O2357">
        <v>268800744</v>
      </c>
      <c r="P2357">
        <v>98</v>
      </c>
      <c r="Q2357" t="s">
        <v>5041</v>
      </c>
    </row>
    <row r="2358" spans="1:17" x14ac:dyDescent="0.3">
      <c r="A2358" t="s">
        <v>4664</v>
      </c>
      <c r="B2358" t="str">
        <f>"000596"</f>
        <v>000596</v>
      </c>
      <c r="C2358" t="s">
        <v>5042</v>
      </c>
      <c r="D2358" t="s">
        <v>458</v>
      </c>
      <c r="F2358">
        <v>11907897642</v>
      </c>
      <c r="G2358">
        <v>8647831452</v>
      </c>
      <c r="H2358">
        <v>8252482399</v>
      </c>
      <c r="I2358">
        <v>7234393863</v>
      </c>
      <c r="J2358">
        <v>5433189005</v>
      </c>
      <c r="K2358">
        <v>4665181633</v>
      </c>
      <c r="L2358">
        <v>4231368597</v>
      </c>
      <c r="M2358">
        <v>3534279763</v>
      </c>
      <c r="N2358">
        <v>3526645311</v>
      </c>
      <c r="O2358">
        <v>3409050412</v>
      </c>
      <c r="P2358">
        <v>53678</v>
      </c>
      <c r="Q2358" t="s">
        <v>5043</v>
      </c>
    </row>
    <row r="2359" spans="1:17" x14ac:dyDescent="0.3">
      <c r="A2359" t="s">
        <v>4664</v>
      </c>
      <c r="B2359" t="str">
        <f>"000597"</f>
        <v>000597</v>
      </c>
      <c r="C2359" t="s">
        <v>5044</v>
      </c>
      <c r="D2359" t="s">
        <v>143</v>
      </c>
      <c r="F2359">
        <v>6022926844</v>
      </c>
      <c r="G2359">
        <v>5783395958</v>
      </c>
      <c r="H2359">
        <v>6082478729</v>
      </c>
      <c r="I2359">
        <v>5246346767</v>
      </c>
      <c r="J2359">
        <v>3657785468</v>
      </c>
      <c r="K2359">
        <v>2648843244</v>
      </c>
      <c r="L2359">
        <v>2235777243</v>
      </c>
      <c r="M2359">
        <v>2295496421</v>
      </c>
      <c r="N2359">
        <v>2117771501</v>
      </c>
      <c r="O2359">
        <v>2159846618</v>
      </c>
      <c r="P2359">
        <v>131</v>
      </c>
      <c r="Q2359" t="s">
        <v>5045</v>
      </c>
    </row>
    <row r="2360" spans="1:17" x14ac:dyDescent="0.3">
      <c r="A2360" t="s">
        <v>4664</v>
      </c>
      <c r="B2360" t="str">
        <f>"000598"</f>
        <v>000598</v>
      </c>
      <c r="C2360" t="s">
        <v>5046</v>
      </c>
      <c r="D2360" t="s">
        <v>33</v>
      </c>
      <c r="F2360">
        <v>3862134882</v>
      </c>
      <c r="G2360">
        <v>3657564350</v>
      </c>
      <c r="H2360">
        <v>3299979739</v>
      </c>
      <c r="I2360">
        <v>3256667725</v>
      </c>
      <c r="J2360">
        <v>2716644756</v>
      </c>
      <c r="K2360">
        <v>2426123248</v>
      </c>
      <c r="L2360">
        <v>2056118763</v>
      </c>
      <c r="M2360">
        <v>1948576867</v>
      </c>
      <c r="N2360">
        <v>1800248049</v>
      </c>
      <c r="O2360">
        <v>1539643794</v>
      </c>
      <c r="P2360">
        <v>444</v>
      </c>
      <c r="Q2360" t="s">
        <v>5047</v>
      </c>
    </row>
    <row r="2361" spans="1:17" x14ac:dyDescent="0.3">
      <c r="A2361" t="s">
        <v>4664</v>
      </c>
      <c r="B2361" t="str">
        <f>"000599"</f>
        <v>000599</v>
      </c>
      <c r="C2361" t="s">
        <v>5048</v>
      </c>
      <c r="D2361" t="s">
        <v>422</v>
      </c>
      <c r="F2361">
        <v>2517699482</v>
      </c>
      <c r="G2361">
        <v>3127534760</v>
      </c>
      <c r="H2361">
        <v>3200880528</v>
      </c>
      <c r="I2361">
        <v>3207996410</v>
      </c>
      <c r="J2361">
        <v>3051186170</v>
      </c>
      <c r="K2361">
        <v>3686725539</v>
      </c>
      <c r="L2361">
        <v>2071230520</v>
      </c>
      <c r="M2361">
        <v>3675671942</v>
      </c>
      <c r="N2361">
        <v>4181173184</v>
      </c>
      <c r="O2361">
        <v>4746061095</v>
      </c>
      <c r="P2361">
        <v>119</v>
      </c>
      <c r="Q2361" t="s">
        <v>5049</v>
      </c>
    </row>
    <row r="2362" spans="1:17" x14ac:dyDescent="0.3">
      <c r="A2362" t="s">
        <v>4664</v>
      </c>
      <c r="B2362" t="str">
        <f>"000600"</f>
        <v>000600</v>
      </c>
      <c r="C2362" t="s">
        <v>5050</v>
      </c>
      <c r="D2362" t="s">
        <v>41</v>
      </c>
      <c r="F2362">
        <v>13006977503</v>
      </c>
      <c r="G2362">
        <v>10748760424</v>
      </c>
      <c r="H2362">
        <v>11288111982</v>
      </c>
      <c r="I2362">
        <v>11625356653</v>
      </c>
      <c r="J2362">
        <v>8042424071</v>
      </c>
      <c r="K2362">
        <v>7704083806</v>
      </c>
      <c r="L2362">
        <v>8109310251</v>
      </c>
      <c r="M2362">
        <v>9538935030</v>
      </c>
      <c r="N2362">
        <v>7093467028</v>
      </c>
      <c r="O2362">
        <v>5577645305</v>
      </c>
      <c r="P2362">
        <v>312</v>
      </c>
      <c r="Q2362" t="s">
        <v>5051</v>
      </c>
    </row>
    <row r="2363" spans="1:17" x14ac:dyDescent="0.3">
      <c r="A2363" t="s">
        <v>4664</v>
      </c>
      <c r="B2363" t="str">
        <f>"000601"</f>
        <v>000601</v>
      </c>
      <c r="C2363" t="s">
        <v>5052</v>
      </c>
      <c r="D2363" t="s">
        <v>66</v>
      </c>
      <c r="F2363">
        <v>2636153435</v>
      </c>
      <c r="G2363">
        <v>3341040839</v>
      </c>
      <c r="H2363">
        <v>3192177505</v>
      </c>
      <c r="I2363">
        <v>2462298630</v>
      </c>
      <c r="J2363">
        <v>2759007366</v>
      </c>
      <c r="K2363">
        <v>2582793745</v>
      </c>
      <c r="L2363">
        <v>2187656620</v>
      </c>
      <c r="M2363">
        <v>2531532648</v>
      </c>
      <c r="N2363">
        <v>1960975407</v>
      </c>
      <c r="O2363">
        <v>1830284879</v>
      </c>
      <c r="P2363">
        <v>215</v>
      </c>
      <c r="Q2363" t="s">
        <v>5053</v>
      </c>
    </row>
    <row r="2364" spans="1:17" x14ac:dyDescent="0.3">
      <c r="A2364" t="s">
        <v>4664</v>
      </c>
      <c r="B2364" t="str">
        <f>"000602"</f>
        <v>000602</v>
      </c>
      <c r="C2364" t="s">
        <v>5054</v>
      </c>
      <c r="O2364">
        <v>3035699497.0500002</v>
      </c>
      <c r="P2364">
        <v>5</v>
      </c>
      <c r="Q2364" t="s">
        <v>5055</v>
      </c>
    </row>
    <row r="2365" spans="1:17" x14ac:dyDescent="0.3">
      <c r="A2365" t="s">
        <v>4664</v>
      </c>
      <c r="B2365" t="str">
        <f>"000603"</f>
        <v>000603</v>
      </c>
      <c r="C2365" t="s">
        <v>5056</v>
      </c>
      <c r="D2365" t="s">
        <v>744</v>
      </c>
      <c r="F2365">
        <v>1138689615</v>
      </c>
      <c r="G2365">
        <v>1327022885</v>
      </c>
      <c r="H2365">
        <v>2144604861</v>
      </c>
      <c r="I2365">
        <v>2084750874</v>
      </c>
      <c r="J2365">
        <v>1044843204</v>
      </c>
      <c r="K2365">
        <v>630419584</v>
      </c>
      <c r="L2365">
        <v>625862727</v>
      </c>
      <c r="M2365">
        <v>662100000</v>
      </c>
      <c r="N2365">
        <v>756815347</v>
      </c>
      <c r="O2365">
        <v>897200000</v>
      </c>
      <c r="P2365">
        <v>351</v>
      </c>
      <c r="Q2365" t="s">
        <v>5057</v>
      </c>
    </row>
    <row r="2366" spans="1:17" x14ac:dyDescent="0.3">
      <c r="A2366" t="s">
        <v>4664</v>
      </c>
      <c r="B2366" t="str">
        <f>"000605"</f>
        <v>000605</v>
      </c>
      <c r="C2366" t="s">
        <v>5058</v>
      </c>
      <c r="D2366" t="s">
        <v>33</v>
      </c>
      <c r="F2366">
        <v>917065956</v>
      </c>
      <c r="G2366">
        <v>989053891</v>
      </c>
      <c r="H2366">
        <v>992730706</v>
      </c>
      <c r="I2366">
        <v>903387328</v>
      </c>
      <c r="J2366">
        <v>760093372</v>
      </c>
      <c r="K2366">
        <v>474345871</v>
      </c>
      <c r="L2366">
        <v>477808774</v>
      </c>
      <c r="M2366">
        <v>487949280</v>
      </c>
      <c r="N2366">
        <v>48293864</v>
      </c>
      <c r="O2366">
        <v>43770416</v>
      </c>
      <c r="P2366">
        <v>85</v>
      </c>
      <c r="Q2366" t="s">
        <v>5059</v>
      </c>
    </row>
    <row r="2367" spans="1:17" x14ac:dyDescent="0.3">
      <c r="A2367" t="s">
        <v>4664</v>
      </c>
      <c r="B2367" t="str">
        <f>"000606"</f>
        <v>000606</v>
      </c>
      <c r="C2367" t="s">
        <v>5060</v>
      </c>
      <c r="D2367" t="s">
        <v>316</v>
      </c>
      <c r="F2367">
        <v>328839692</v>
      </c>
      <c r="G2367">
        <v>4384356663</v>
      </c>
      <c r="H2367">
        <v>1259074040</v>
      </c>
      <c r="I2367">
        <v>601160222</v>
      </c>
      <c r="J2367">
        <v>400464284</v>
      </c>
      <c r="K2367">
        <v>262720781</v>
      </c>
      <c r="L2367">
        <v>257927038</v>
      </c>
      <c r="M2367">
        <v>288894892</v>
      </c>
      <c r="N2367">
        <v>292887194</v>
      </c>
      <c r="O2367">
        <v>285878483</v>
      </c>
      <c r="P2367">
        <v>99</v>
      </c>
      <c r="Q2367" t="s">
        <v>5061</v>
      </c>
    </row>
    <row r="2368" spans="1:17" x14ac:dyDescent="0.3">
      <c r="A2368" t="s">
        <v>4664</v>
      </c>
      <c r="B2368" t="str">
        <f>"000607"</f>
        <v>000607</v>
      </c>
      <c r="C2368" t="s">
        <v>5062</v>
      </c>
      <c r="D2368" t="s">
        <v>5063</v>
      </c>
      <c r="F2368">
        <v>1239477409</v>
      </c>
      <c r="G2368">
        <v>878240576</v>
      </c>
      <c r="H2368">
        <v>1040878445</v>
      </c>
      <c r="I2368">
        <v>1014840249</v>
      </c>
      <c r="J2368">
        <v>1124258518</v>
      </c>
      <c r="K2368">
        <v>1010880854</v>
      </c>
      <c r="L2368">
        <v>845085625</v>
      </c>
      <c r="M2368">
        <v>1121256886</v>
      </c>
      <c r="N2368">
        <v>1265448333</v>
      </c>
      <c r="O2368">
        <v>834955488</v>
      </c>
      <c r="P2368">
        <v>109</v>
      </c>
      <c r="Q2368" t="s">
        <v>5064</v>
      </c>
    </row>
    <row r="2369" spans="1:17" x14ac:dyDescent="0.3">
      <c r="A2369" t="s">
        <v>4664</v>
      </c>
      <c r="B2369" t="str">
        <f>"000608"</f>
        <v>000608</v>
      </c>
      <c r="C2369" t="s">
        <v>5065</v>
      </c>
      <c r="D2369" t="s">
        <v>30</v>
      </c>
      <c r="F2369">
        <v>415261066</v>
      </c>
      <c r="G2369">
        <v>246276550</v>
      </c>
      <c r="H2369">
        <v>178314000</v>
      </c>
      <c r="I2369">
        <v>239600000</v>
      </c>
      <c r="J2369">
        <v>459470000</v>
      </c>
      <c r="K2369">
        <v>442203000</v>
      </c>
      <c r="L2369">
        <v>421508000</v>
      </c>
      <c r="M2369">
        <v>771778000</v>
      </c>
      <c r="N2369">
        <v>873389000</v>
      </c>
      <c r="O2369">
        <v>409448000</v>
      </c>
      <c r="P2369">
        <v>102</v>
      </c>
      <c r="Q2369" t="s">
        <v>5066</v>
      </c>
    </row>
    <row r="2370" spans="1:17" x14ac:dyDescent="0.3">
      <c r="A2370" t="s">
        <v>4664</v>
      </c>
      <c r="B2370" t="str">
        <f>"000609"</f>
        <v>000609</v>
      </c>
      <c r="C2370" t="s">
        <v>5067</v>
      </c>
      <c r="D2370" t="s">
        <v>104</v>
      </c>
      <c r="F2370">
        <v>197710460</v>
      </c>
      <c r="G2370">
        <v>399494584</v>
      </c>
      <c r="H2370">
        <v>641972099</v>
      </c>
      <c r="I2370">
        <v>159379211</v>
      </c>
      <c r="J2370">
        <v>72656877</v>
      </c>
      <c r="K2370">
        <v>180230128</v>
      </c>
      <c r="L2370">
        <v>231629546</v>
      </c>
      <c r="M2370">
        <v>271654628</v>
      </c>
      <c r="N2370">
        <v>363440676</v>
      </c>
      <c r="O2370">
        <v>389987571</v>
      </c>
      <c r="P2370">
        <v>95</v>
      </c>
      <c r="Q2370" t="s">
        <v>5068</v>
      </c>
    </row>
    <row r="2371" spans="1:17" x14ac:dyDescent="0.3">
      <c r="A2371" t="s">
        <v>4664</v>
      </c>
      <c r="B2371" t="str">
        <f>"000610"</f>
        <v>000610</v>
      </c>
      <c r="C2371" t="s">
        <v>5069</v>
      </c>
      <c r="D2371" t="s">
        <v>590</v>
      </c>
      <c r="F2371">
        <v>323602967</v>
      </c>
      <c r="G2371">
        <v>158187349</v>
      </c>
      <c r="H2371">
        <v>677098299</v>
      </c>
      <c r="I2371">
        <v>624130103</v>
      </c>
      <c r="J2371">
        <v>473734803</v>
      </c>
      <c r="K2371">
        <v>524537156</v>
      </c>
      <c r="L2371">
        <v>532815622</v>
      </c>
      <c r="M2371">
        <v>374381956</v>
      </c>
      <c r="N2371">
        <v>382742961</v>
      </c>
      <c r="O2371">
        <v>607444830</v>
      </c>
      <c r="P2371">
        <v>152</v>
      </c>
      <c r="Q2371" t="s">
        <v>5070</v>
      </c>
    </row>
    <row r="2372" spans="1:17" x14ac:dyDescent="0.3">
      <c r="A2372" t="s">
        <v>4664</v>
      </c>
      <c r="B2372" t="str">
        <f>"000611"</f>
        <v>000611</v>
      </c>
      <c r="C2372" t="s">
        <v>5071</v>
      </c>
      <c r="D2372" t="s">
        <v>292</v>
      </c>
      <c r="F2372">
        <v>68764599</v>
      </c>
      <c r="G2372">
        <v>10230686</v>
      </c>
      <c r="H2372">
        <v>30098000</v>
      </c>
      <c r="I2372">
        <v>22527308</v>
      </c>
      <c r="J2372">
        <v>44175302</v>
      </c>
      <c r="K2372">
        <v>22655412</v>
      </c>
      <c r="L2372">
        <v>49813398</v>
      </c>
      <c r="M2372">
        <v>56633007</v>
      </c>
      <c r="N2372">
        <v>882372141</v>
      </c>
      <c r="O2372">
        <v>137860472</v>
      </c>
      <c r="P2372">
        <v>68</v>
      </c>
      <c r="Q2372" t="s">
        <v>5072</v>
      </c>
    </row>
    <row r="2373" spans="1:17" x14ac:dyDescent="0.3">
      <c r="A2373" t="s">
        <v>4664</v>
      </c>
      <c r="B2373" t="str">
        <f>"000612"</f>
        <v>000612</v>
      </c>
      <c r="C2373" t="s">
        <v>5073</v>
      </c>
      <c r="D2373" t="s">
        <v>504</v>
      </c>
      <c r="F2373">
        <v>4275349298</v>
      </c>
      <c r="G2373">
        <v>4008720625</v>
      </c>
      <c r="H2373">
        <v>4020633444</v>
      </c>
      <c r="I2373">
        <v>4109560632</v>
      </c>
      <c r="J2373">
        <v>4427284767</v>
      </c>
      <c r="K2373">
        <v>3090772240</v>
      </c>
      <c r="L2373">
        <v>4161716334</v>
      </c>
      <c r="M2373">
        <v>4279934503</v>
      </c>
      <c r="N2373">
        <v>4593325723</v>
      </c>
      <c r="O2373">
        <v>5175821225</v>
      </c>
      <c r="P2373">
        <v>199</v>
      </c>
      <c r="Q2373" t="s">
        <v>5074</v>
      </c>
    </row>
    <row r="2374" spans="1:17" x14ac:dyDescent="0.3">
      <c r="A2374" t="s">
        <v>4664</v>
      </c>
      <c r="B2374" t="str">
        <f>"000613"</f>
        <v>000613</v>
      </c>
      <c r="C2374" t="s">
        <v>5075</v>
      </c>
      <c r="D2374" t="s">
        <v>590</v>
      </c>
      <c r="F2374">
        <v>31660212</v>
      </c>
      <c r="G2374">
        <v>8132753</v>
      </c>
      <c r="H2374">
        <v>19179212</v>
      </c>
      <c r="I2374">
        <v>23800700</v>
      </c>
      <c r="J2374">
        <v>21451897</v>
      </c>
      <c r="K2374">
        <v>16089632</v>
      </c>
      <c r="L2374">
        <v>13978982</v>
      </c>
      <c r="M2374">
        <v>16187936</v>
      </c>
      <c r="N2374">
        <v>16854251</v>
      </c>
      <c r="O2374">
        <v>22274610</v>
      </c>
      <c r="P2374">
        <v>100</v>
      </c>
      <c r="Q2374" t="s">
        <v>5076</v>
      </c>
    </row>
    <row r="2375" spans="1:17" x14ac:dyDescent="0.3">
      <c r="A2375" t="s">
        <v>4664</v>
      </c>
      <c r="B2375" t="str">
        <f>"000615"</f>
        <v>000615</v>
      </c>
      <c r="C2375" t="s">
        <v>5077</v>
      </c>
      <c r="D2375" t="s">
        <v>5078</v>
      </c>
      <c r="F2375">
        <v>1016131538</v>
      </c>
      <c r="G2375">
        <v>662903148</v>
      </c>
      <c r="H2375">
        <v>3366978296</v>
      </c>
      <c r="I2375">
        <v>3420237458</v>
      </c>
      <c r="J2375">
        <v>1551060355</v>
      </c>
      <c r="K2375">
        <v>2585235600</v>
      </c>
      <c r="L2375">
        <v>2257704855</v>
      </c>
      <c r="M2375">
        <v>643978667</v>
      </c>
      <c r="N2375">
        <v>632959588</v>
      </c>
      <c r="O2375">
        <v>689660235</v>
      </c>
      <c r="P2375">
        <v>188</v>
      </c>
      <c r="Q2375" t="s">
        <v>5079</v>
      </c>
    </row>
    <row r="2376" spans="1:17" x14ac:dyDescent="0.3">
      <c r="A2376" t="s">
        <v>4664</v>
      </c>
      <c r="B2376" t="str">
        <f>"000616"</f>
        <v>000616</v>
      </c>
      <c r="C2376" t="s">
        <v>5080</v>
      </c>
      <c r="D2376" t="s">
        <v>104</v>
      </c>
      <c r="F2376">
        <v>28706677</v>
      </c>
      <c r="G2376">
        <v>56483321</v>
      </c>
      <c r="H2376">
        <v>180566672</v>
      </c>
      <c r="I2376">
        <v>210426131</v>
      </c>
      <c r="J2376">
        <v>63761759</v>
      </c>
      <c r="K2376">
        <v>267299371</v>
      </c>
      <c r="L2376">
        <v>519829386</v>
      </c>
      <c r="M2376">
        <v>1033228147</v>
      </c>
      <c r="N2376">
        <v>1904638139</v>
      </c>
      <c r="O2376">
        <v>2754903847</v>
      </c>
      <c r="P2376">
        <v>140</v>
      </c>
      <c r="Q2376" t="s">
        <v>5081</v>
      </c>
    </row>
    <row r="2377" spans="1:17" x14ac:dyDescent="0.3">
      <c r="A2377" t="s">
        <v>4664</v>
      </c>
      <c r="B2377" t="str">
        <f>"000617"</f>
        <v>000617</v>
      </c>
      <c r="C2377" t="s">
        <v>5082</v>
      </c>
      <c r="D2377" t="s">
        <v>140</v>
      </c>
      <c r="F2377">
        <v>155782703</v>
      </c>
      <c r="G2377">
        <v>147617767</v>
      </c>
      <c r="H2377">
        <v>135024871</v>
      </c>
      <c r="I2377">
        <v>120830184</v>
      </c>
      <c r="J2377">
        <v>305492220</v>
      </c>
      <c r="K2377">
        <v>318636828</v>
      </c>
      <c r="L2377">
        <v>330195319</v>
      </c>
      <c r="M2377">
        <v>395611730</v>
      </c>
      <c r="N2377">
        <v>605681142</v>
      </c>
      <c r="O2377">
        <v>738175223</v>
      </c>
      <c r="P2377">
        <v>234</v>
      </c>
      <c r="Q2377" t="s">
        <v>5083</v>
      </c>
    </row>
    <row r="2378" spans="1:17" x14ac:dyDescent="0.3">
      <c r="A2378" t="s">
        <v>4664</v>
      </c>
      <c r="B2378" t="str">
        <f>"000619"</f>
        <v>000619</v>
      </c>
      <c r="C2378" t="s">
        <v>5084</v>
      </c>
      <c r="D2378" t="s">
        <v>722</v>
      </c>
      <c r="F2378">
        <v>3761661903</v>
      </c>
      <c r="G2378">
        <v>2550156906</v>
      </c>
      <c r="H2378">
        <v>2993274364</v>
      </c>
      <c r="I2378">
        <v>2564822506</v>
      </c>
      <c r="J2378">
        <v>2663520121</v>
      </c>
      <c r="K2378">
        <v>2861114447</v>
      </c>
      <c r="L2378">
        <v>2946068795</v>
      </c>
      <c r="M2378">
        <v>3581578114</v>
      </c>
      <c r="N2378">
        <v>3624317082</v>
      </c>
      <c r="O2378">
        <v>3749754484</v>
      </c>
      <c r="P2378">
        <v>98</v>
      </c>
      <c r="Q2378" t="s">
        <v>5085</v>
      </c>
    </row>
    <row r="2379" spans="1:17" x14ac:dyDescent="0.3">
      <c r="A2379" t="s">
        <v>4664</v>
      </c>
      <c r="B2379" t="str">
        <f>"000620"</f>
        <v>000620</v>
      </c>
      <c r="C2379" t="s">
        <v>5086</v>
      </c>
      <c r="D2379" t="s">
        <v>104</v>
      </c>
      <c r="F2379">
        <v>4470600082</v>
      </c>
      <c r="G2379">
        <v>6429270845</v>
      </c>
      <c r="H2379">
        <v>7836107100</v>
      </c>
      <c r="I2379">
        <v>10120312098</v>
      </c>
      <c r="J2379">
        <v>6674578483</v>
      </c>
      <c r="K2379">
        <v>5818144528</v>
      </c>
      <c r="L2379">
        <v>2977108854</v>
      </c>
      <c r="M2379">
        <v>2333786315</v>
      </c>
      <c r="N2379">
        <v>2337373131</v>
      </c>
      <c r="O2379">
        <v>1532737511</v>
      </c>
      <c r="P2379">
        <v>298</v>
      </c>
      <c r="Q2379" t="s">
        <v>5087</v>
      </c>
    </row>
    <row r="2380" spans="1:17" x14ac:dyDescent="0.3">
      <c r="A2380" t="s">
        <v>4664</v>
      </c>
      <c r="B2380" t="str">
        <f>"000622"</f>
        <v>000622</v>
      </c>
      <c r="C2380" t="s">
        <v>5088</v>
      </c>
      <c r="D2380" t="s">
        <v>110</v>
      </c>
      <c r="F2380">
        <v>251993872</v>
      </c>
      <c r="G2380">
        <v>280772829</v>
      </c>
      <c r="H2380">
        <v>174873210</v>
      </c>
      <c r="I2380">
        <v>71363176</v>
      </c>
      <c r="J2380">
        <v>33169800</v>
      </c>
      <c r="K2380">
        <v>35268705</v>
      </c>
      <c r="L2380">
        <v>39804374</v>
      </c>
      <c r="M2380">
        <v>42902808</v>
      </c>
      <c r="N2380">
        <v>80783702</v>
      </c>
      <c r="O2380">
        <v>89379131</v>
      </c>
      <c r="P2380">
        <v>101</v>
      </c>
      <c r="Q2380" t="s">
        <v>5089</v>
      </c>
    </row>
    <row r="2381" spans="1:17" x14ac:dyDescent="0.3">
      <c r="A2381" t="s">
        <v>4664</v>
      </c>
      <c r="B2381" t="str">
        <f>"000623"</f>
        <v>000623</v>
      </c>
      <c r="C2381" t="s">
        <v>5090</v>
      </c>
      <c r="D2381" t="s">
        <v>143</v>
      </c>
      <c r="F2381">
        <v>1604350467</v>
      </c>
      <c r="G2381">
        <v>1770622307</v>
      </c>
      <c r="H2381">
        <v>2400212954</v>
      </c>
      <c r="I2381">
        <v>2526997393</v>
      </c>
      <c r="J2381">
        <v>1938380902</v>
      </c>
      <c r="K2381">
        <v>1592272523</v>
      </c>
      <c r="L2381">
        <v>1444946601</v>
      </c>
      <c r="M2381">
        <v>1474461352</v>
      </c>
      <c r="N2381">
        <v>1121024154</v>
      </c>
      <c r="O2381">
        <v>923889079</v>
      </c>
      <c r="P2381">
        <v>671</v>
      </c>
      <c r="Q2381" t="s">
        <v>5091</v>
      </c>
    </row>
    <row r="2382" spans="1:17" x14ac:dyDescent="0.3">
      <c r="A2382" t="s">
        <v>4664</v>
      </c>
      <c r="B2382" t="str">
        <f>"000625"</f>
        <v>000625</v>
      </c>
      <c r="C2382" t="s">
        <v>5092</v>
      </c>
      <c r="D2382" t="s">
        <v>247</v>
      </c>
      <c r="F2382">
        <v>96949243287</v>
      </c>
      <c r="G2382">
        <v>59930321923</v>
      </c>
      <c r="H2382">
        <v>52195863813</v>
      </c>
      <c r="I2382">
        <v>64290961490</v>
      </c>
      <c r="J2382">
        <v>64567191647</v>
      </c>
      <c r="K2382">
        <v>60072026644</v>
      </c>
      <c r="L2382">
        <v>51702837976</v>
      </c>
      <c r="M2382">
        <v>34603553486</v>
      </c>
      <c r="N2382">
        <v>28695570806</v>
      </c>
      <c r="O2382">
        <v>18569538792</v>
      </c>
      <c r="P2382">
        <v>3098</v>
      </c>
      <c r="Q2382" t="s">
        <v>5093</v>
      </c>
    </row>
    <row r="2383" spans="1:17" x14ac:dyDescent="0.3">
      <c r="A2383" t="s">
        <v>4664</v>
      </c>
      <c r="B2383" t="str">
        <f>"000626"</f>
        <v>000626</v>
      </c>
      <c r="C2383" t="s">
        <v>5094</v>
      </c>
      <c r="D2383" t="s">
        <v>128</v>
      </c>
      <c r="F2383">
        <v>66108607914</v>
      </c>
      <c r="G2383">
        <v>44767061250</v>
      </c>
      <c r="H2383">
        <v>56002610223</v>
      </c>
      <c r="I2383">
        <v>54100480924</v>
      </c>
      <c r="J2383">
        <v>86383998543</v>
      </c>
      <c r="K2383">
        <v>53038512754</v>
      </c>
      <c r="L2383">
        <v>44776777026</v>
      </c>
      <c r="M2383">
        <v>37163132798</v>
      </c>
      <c r="N2383">
        <v>36997250947</v>
      </c>
      <c r="O2383">
        <v>26797258577</v>
      </c>
      <c r="P2383">
        <v>125</v>
      </c>
      <c r="Q2383" t="s">
        <v>5095</v>
      </c>
    </row>
    <row r="2384" spans="1:17" x14ac:dyDescent="0.3">
      <c r="A2384" t="s">
        <v>4664</v>
      </c>
      <c r="B2384" t="str">
        <f>"000627"</f>
        <v>000627</v>
      </c>
      <c r="C2384" t="s">
        <v>5096</v>
      </c>
      <c r="D2384" t="s">
        <v>660</v>
      </c>
      <c r="F2384">
        <v>0</v>
      </c>
      <c r="G2384">
        <v>0</v>
      </c>
      <c r="H2384">
        <v>390239858</v>
      </c>
      <c r="I2384">
        <v>465484938</v>
      </c>
      <c r="J2384">
        <v>394949829</v>
      </c>
      <c r="K2384">
        <v>370078375</v>
      </c>
      <c r="L2384">
        <v>398709613</v>
      </c>
      <c r="M2384">
        <v>683042495</v>
      </c>
      <c r="N2384">
        <v>745518075</v>
      </c>
      <c r="O2384">
        <v>670213125</v>
      </c>
      <c r="P2384">
        <v>288</v>
      </c>
      <c r="Q2384" t="s">
        <v>5097</v>
      </c>
    </row>
    <row r="2385" spans="1:17" x14ac:dyDescent="0.3">
      <c r="A2385" t="s">
        <v>4664</v>
      </c>
      <c r="B2385" t="str">
        <f>"000628"</f>
        <v>000628</v>
      </c>
      <c r="C2385" t="s">
        <v>5098</v>
      </c>
      <c r="D2385" t="s">
        <v>398</v>
      </c>
      <c r="F2385">
        <v>3803939120</v>
      </c>
      <c r="G2385">
        <v>3059484181</v>
      </c>
      <c r="H2385">
        <v>1003561384</v>
      </c>
      <c r="I2385">
        <v>495272154</v>
      </c>
      <c r="J2385">
        <v>739203692</v>
      </c>
      <c r="K2385">
        <v>942466074</v>
      </c>
      <c r="L2385">
        <v>880105393</v>
      </c>
      <c r="M2385">
        <v>1162803563</v>
      </c>
      <c r="N2385">
        <v>1078626569</v>
      </c>
      <c r="O2385">
        <v>1040643618</v>
      </c>
      <c r="P2385">
        <v>127</v>
      </c>
      <c r="Q2385" t="s">
        <v>5099</v>
      </c>
    </row>
    <row r="2386" spans="1:17" x14ac:dyDescent="0.3">
      <c r="A2386" t="s">
        <v>4664</v>
      </c>
      <c r="B2386" t="str">
        <f>"000629"</f>
        <v>000629</v>
      </c>
      <c r="C2386" t="s">
        <v>5100</v>
      </c>
      <c r="D2386" t="s">
        <v>669</v>
      </c>
      <c r="F2386">
        <v>7282553755</v>
      </c>
      <c r="G2386">
        <v>5873895176</v>
      </c>
      <c r="H2386">
        <v>6559978119</v>
      </c>
      <c r="I2386">
        <v>5988427494</v>
      </c>
      <c r="J2386">
        <v>4376228460</v>
      </c>
      <c r="K2386">
        <v>8469394268</v>
      </c>
      <c r="L2386">
        <v>6549936568</v>
      </c>
      <c r="M2386">
        <v>9950768469</v>
      </c>
      <c r="N2386">
        <v>9465011717</v>
      </c>
      <c r="O2386">
        <v>9749459268</v>
      </c>
      <c r="P2386">
        <v>335</v>
      </c>
      <c r="Q2386" t="s">
        <v>5101</v>
      </c>
    </row>
    <row r="2387" spans="1:17" x14ac:dyDescent="0.3">
      <c r="A2387" t="s">
        <v>4664</v>
      </c>
      <c r="B2387" t="str">
        <f>"000630"</f>
        <v>000630</v>
      </c>
      <c r="C2387" t="s">
        <v>5102</v>
      </c>
      <c r="D2387" t="s">
        <v>263</v>
      </c>
      <c r="F2387">
        <v>112751742089</v>
      </c>
      <c r="G2387">
        <v>79760643501</v>
      </c>
      <c r="H2387">
        <v>78415320966</v>
      </c>
      <c r="I2387">
        <v>72346803874</v>
      </c>
      <c r="J2387">
        <v>68677834034</v>
      </c>
      <c r="K2387">
        <v>80031306890</v>
      </c>
      <c r="L2387">
        <v>85758714488</v>
      </c>
      <c r="M2387">
        <v>80220939402</v>
      </c>
      <c r="N2387">
        <v>60550805000</v>
      </c>
      <c r="O2387">
        <v>61711210271</v>
      </c>
      <c r="P2387">
        <v>464</v>
      </c>
      <c r="Q2387" t="s">
        <v>5103</v>
      </c>
    </row>
    <row r="2388" spans="1:17" x14ac:dyDescent="0.3">
      <c r="A2388" t="s">
        <v>4664</v>
      </c>
      <c r="B2388" t="str">
        <f>"000631"</f>
        <v>000631</v>
      </c>
      <c r="C2388" t="s">
        <v>5104</v>
      </c>
      <c r="D2388" t="s">
        <v>104</v>
      </c>
      <c r="F2388">
        <v>1535903225</v>
      </c>
      <c r="G2388">
        <v>224875555</v>
      </c>
      <c r="H2388">
        <v>690285624</v>
      </c>
      <c r="I2388">
        <v>2042972909</v>
      </c>
      <c r="J2388">
        <v>2285128907</v>
      </c>
      <c r="K2388">
        <v>3837160288</v>
      </c>
      <c r="L2388">
        <v>2992722072</v>
      </c>
      <c r="M2388">
        <v>1596387526</v>
      </c>
      <c r="N2388">
        <v>1740203049</v>
      </c>
      <c r="O2388">
        <v>2480445998</v>
      </c>
      <c r="P2388">
        <v>359</v>
      </c>
      <c r="Q2388" t="s">
        <v>5105</v>
      </c>
    </row>
    <row r="2389" spans="1:17" x14ac:dyDescent="0.3">
      <c r="A2389" t="s">
        <v>4664</v>
      </c>
      <c r="B2389" t="str">
        <f>"000632"</f>
        <v>000632</v>
      </c>
      <c r="C2389" t="s">
        <v>5106</v>
      </c>
      <c r="D2389" t="s">
        <v>110</v>
      </c>
      <c r="F2389">
        <v>7533266397</v>
      </c>
      <c r="G2389">
        <v>5436266167</v>
      </c>
      <c r="H2389">
        <v>5388515272</v>
      </c>
      <c r="I2389">
        <v>5732183561</v>
      </c>
      <c r="J2389">
        <v>5369982715</v>
      </c>
      <c r="K2389">
        <v>3718182978</v>
      </c>
      <c r="L2389">
        <v>3380143648</v>
      </c>
      <c r="M2389">
        <v>2995918668</v>
      </c>
      <c r="N2389">
        <v>4044117600</v>
      </c>
      <c r="O2389">
        <v>3693698997</v>
      </c>
      <c r="P2389">
        <v>69</v>
      </c>
      <c r="Q2389" t="s">
        <v>5107</v>
      </c>
    </row>
    <row r="2390" spans="1:17" x14ac:dyDescent="0.3">
      <c r="A2390" t="s">
        <v>4664</v>
      </c>
      <c r="B2390" t="str">
        <f>"000633"</f>
        <v>000633</v>
      </c>
      <c r="C2390" t="s">
        <v>5108</v>
      </c>
      <c r="D2390" t="s">
        <v>581</v>
      </c>
      <c r="F2390">
        <v>90112746</v>
      </c>
      <c r="G2390">
        <v>87415958</v>
      </c>
      <c r="H2390">
        <v>64522663</v>
      </c>
      <c r="I2390">
        <v>51434819</v>
      </c>
      <c r="J2390">
        <v>33394304</v>
      </c>
      <c r="K2390">
        <v>24906533</v>
      </c>
      <c r="L2390">
        <v>55830989</v>
      </c>
      <c r="M2390">
        <v>61060101</v>
      </c>
      <c r="N2390">
        <v>102217292</v>
      </c>
      <c r="O2390">
        <v>99385703</v>
      </c>
      <c r="P2390">
        <v>72</v>
      </c>
      <c r="Q2390" t="s">
        <v>5109</v>
      </c>
    </row>
    <row r="2391" spans="1:17" x14ac:dyDescent="0.3">
      <c r="A2391" t="s">
        <v>4664</v>
      </c>
      <c r="B2391" t="str">
        <f>"000635"</f>
        <v>000635</v>
      </c>
      <c r="C2391" t="s">
        <v>5110</v>
      </c>
      <c r="D2391" t="s">
        <v>175</v>
      </c>
      <c r="F2391">
        <v>1020409330</v>
      </c>
      <c r="G2391">
        <v>573840879</v>
      </c>
      <c r="H2391">
        <v>565153633</v>
      </c>
      <c r="I2391">
        <v>585348573</v>
      </c>
      <c r="J2391">
        <v>794641795</v>
      </c>
      <c r="K2391">
        <v>557072734</v>
      </c>
      <c r="L2391">
        <v>516607703</v>
      </c>
      <c r="M2391">
        <v>738808620</v>
      </c>
      <c r="N2391">
        <v>733459657</v>
      </c>
      <c r="O2391">
        <v>694032951</v>
      </c>
      <c r="P2391">
        <v>135</v>
      </c>
      <c r="Q2391" t="s">
        <v>5111</v>
      </c>
    </row>
    <row r="2392" spans="1:17" x14ac:dyDescent="0.3">
      <c r="A2392" t="s">
        <v>4664</v>
      </c>
      <c r="B2392" t="str">
        <f>"000636"</f>
        <v>000636</v>
      </c>
      <c r="C2392" t="s">
        <v>5112</v>
      </c>
      <c r="D2392" t="s">
        <v>546</v>
      </c>
      <c r="F2392">
        <v>3090030586</v>
      </c>
      <c r="G2392">
        <v>2227668480</v>
      </c>
      <c r="H2392">
        <v>2363742318</v>
      </c>
      <c r="I2392">
        <v>2943083790</v>
      </c>
      <c r="J2392">
        <v>1685686946</v>
      </c>
      <c r="K2392">
        <v>1452103586</v>
      </c>
      <c r="L2392">
        <v>882197375</v>
      </c>
      <c r="M2392">
        <v>1256318591</v>
      </c>
      <c r="N2392">
        <v>1166617725</v>
      </c>
      <c r="O2392">
        <v>1109983624</v>
      </c>
      <c r="P2392">
        <v>896</v>
      </c>
      <c r="Q2392" t="s">
        <v>5113</v>
      </c>
    </row>
    <row r="2393" spans="1:17" x14ac:dyDescent="0.3">
      <c r="A2393" t="s">
        <v>4664</v>
      </c>
      <c r="B2393" t="str">
        <f>"000637"</f>
        <v>000637</v>
      </c>
      <c r="C2393" t="s">
        <v>5114</v>
      </c>
      <c r="D2393" t="s">
        <v>1615</v>
      </c>
      <c r="F2393">
        <v>4062243149</v>
      </c>
      <c r="G2393">
        <v>3605845460</v>
      </c>
      <c r="H2393">
        <v>3448327156</v>
      </c>
      <c r="I2393">
        <v>3566721337</v>
      </c>
      <c r="J2393">
        <v>3848039433</v>
      </c>
      <c r="K2393">
        <v>2341225010</v>
      </c>
      <c r="L2393">
        <v>2704934918</v>
      </c>
      <c r="M2393">
        <v>3603855273</v>
      </c>
      <c r="N2393">
        <v>2947020511</v>
      </c>
      <c r="O2393">
        <v>2776827413</v>
      </c>
      <c r="P2393">
        <v>93</v>
      </c>
      <c r="Q2393" t="s">
        <v>5115</v>
      </c>
    </row>
    <row r="2394" spans="1:17" x14ac:dyDescent="0.3">
      <c r="A2394" t="s">
        <v>4664</v>
      </c>
      <c r="B2394" t="str">
        <f>"000638"</f>
        <v>000638</v>
      </c>
      <c r="C2394" t="s">
        <v>5116</v>
      </c>
      <c r="D2394" t="s">
        <v>316</v>
      </c>
      <c r="F2394">
        <v>163243635</v>
      </c>
      <c r="G2394">
        <v>121072365</v>
      </c>
      <c r="H2394">
        <v>95234740</v>
      </c>
      <c r="I2394">
        <v>86865907</v>
      </c>
      <c r="J2394">
        <v>660086527</v>
      </c>
      <c r="K2394">
        <v>102631700</v>
      </c>
      <c r="L2394">
        <v>198078132</v>
      </c>
      <c r="M2394">
        <v>176610009</v>
      </c>
      <c r="N2394">
        <v>143114326</v>
      </c>
      <c r="O2394">
        <v>6040000</v>
      </c>
      <c r="P2394">
        <v>87</v>
      </c>
      <c r="Q2394" t="s">
        <v>5117</v>
      </c>
    </row>
    <row r="2395" spans="1:17" x14ac:dyDescent="0.3">
      <c r="A2395" t="s">
        <v>4664</v>
      </c>
      <c r="B2395" t="str">
        <f>"000639"</f>
        <v>000639</v>
      </c>
      <c r="C2395" t="s">
        <v>5118</v>
      </c>
      <c r="D2395" t="s">
        <v>306</v>
      </c>
      <c r="F2395">
        <v>5398221658</v>
      </c>
      <c r="G2395">
        <v>4423316609</v>
      </c>
      <c r="H2395">
        <v>4346577202</v>
      </c>
      <c r="I2395">
        <v>4628222656</v>
      </c>
      <c r="J2395">
        <v>4508572693</v>
      </c>
      <c r="K2395">
        <v>1927136706</v>
      </c>
      <c r="L2395">
        <v>1671107923</v>
      </c>
      <c r="M2395">
        <v>1430853435</v>
      </c>
      <c r="N2395">
        <v>1904953554</v>
      </c>
      <c r="O2395">
        <v>2003079198</v>
      </c>
      <c r="P2395">
        <v>328</v>
      </c>
      <c r="Q2395" t="s">
        <v>5119</v>
      </c>
    </row>
    <row r="2396" spans="1:17" x14ac:dyDescent="0.3">
      <c r="A2396" t="s">
        <v>4664</v>
      </c>
      <c r="B2396" t="str">
        <f>"000650"</f>
        <v>000650</v>
      </c>
      <c r="C2396" t="s">
        <v>5120</v>
      </c>
      <c r="D2396" t="s">
        <v>188</v>
      </c>
      <c r="F2396">
        <v>3424658109</v>
      </c>
      <c r="G2396">
        <v>2898132493</v>
      </c>
      <c r="H2396">
        <v>3451963392</v>
      </c>
      <c r="I2396">
        <v>3306227018</v>
      </c>
      <c r="J2396">
        <v>2726404368</v>
      </c>
      <c r="K2396">
        <v>2684657122</v>
      </c>
      <c r="L2396">
        <v>1855456406</v>
      </c>
      <c r="M2396">
        <v>1627016874</v>
      </c>
      <c r="N2396">
        <v>1211812237</v>
      </c>
      <c r="O2396">
        <v>1451207404</v>
      </c>
      <c r="P2396">
        <v>888</v>
      </c>
      <c r="Q2396" t="s">
        <v>5121</v>
      </c>
    </row>
    <row r="2397" spans="1:17" x14ac:dyDescent="0.3">
      <c r="A2397" t="s">
        <v>4664</v>
      </c>
      <c r="B2397" t="str">
        <f>"000651"</f>
        <v>000651</v>
      </c>
      <c r="C2397" t="s">
        <v>5122</v>
      </c>
      <c r="D2397" t="s">
        <v>1723</v>
      </c>
      <c r="F2397">
        <v>131532944184</v>
      </c>
      <c r="G2397">
        <v>98362600416</v>
      </c>
      <c r="H2397">
        <v>145602414727</v>
      </c>
      <c r="I2397">
        <v>85186180028</v>
      </c>
      <c r="J2397">
        <v>83029092866</v>
      </c>
      <c r="K2397">
        <v>55003641283</v>
      </c>
      <c r="L2397">
        <v>81078300926</v>
      </c>
      <c r="M2397">
        <v>69371449820</v>
      </c>
      <c r="N2397">
        <v>62804540911</v>
      </c>
      <c r="O2397">
        <v>57141770672</v>
      </c>
      <c r="P2397">
        <v>55062</v>
      </c>
      <c r="Q2397" t="s">
        <v>5123</v>
      </c>
    </row>
    <row r="2398" spans="1:17" x14ac:dyDescent="0.3">
      <c r="A2398" t="s">
        <v>4664</v>
      </c>
      <c r="B2398" t="str">
        <f>"000652"</f>
        <v>000652</v>
      </c>
      <c r="C2398" t="s">
        <v>5124</v>
      </c>
      <c r="D2398" t="s">
        <v>110</v>
      </c>
      <c r="F2398">
        <v>13317337511</v>
      </c>
      <c r="G2398">
        <v>9853634366</v>
      </c>
      <c r="H2398">
        <v>12281704137</v>
      </c>
      <c r="I2398">
        <v>11013909523</v>
      </c>
      <c r="J2398">
        <v>12674424098</v>
      </c>
      <c r="K2398">
        <v>12369463639</v>
      </c>
      <c r="L2398">
        <v>6767372757</v>
      </c>
      <c r="M2398">
        <v>5933857979</v>
      </c>
      <c r="N2398">
        <v>5751687910</v>
      </c>
      <c r="O2398">
        <v>5103943784</v>
      </c>
      <c r="P2398">
        <v>196</v>
      </c>
      <c r="Q2398" t="s">
        <v>5125</v>
      </c>
    </row>
    <row r="2399" spans="1:17" x14ac:dyDescent="0.3">
      <c r="A2399" t="s">
        <v>4664</v>
      </c>
      <c r="B2399" t="str">
        <f>"000655"</f>
        <v>000655</v>
      </c>
      <c r="C2399" t="s">
        <v>5126</v>
      </c>
      <c r="D2399" t="s">
        <v>2367</v>
      </c>
      <c r="F2399">
        <v>1745245809</v>
      </c>
      <c r="G2399">
        <v>1157590263</v>
      </c>
      <c r="H2399">
        <v>1259834414</v>
      </c>
      <c r="I2399">
        <v>1061735273</v>
      </c>
      <c r="J2399">
        <v>1077491794</v>
      </c>
      <c r="K2399">
        <v>395967600</v>
      </c>
      <c r="L2399">
        <v>864034124</v>
      </c>
      <c r="M2399">
        <v>1489525592</v>
      </c>
      <c r="N2399">
        <v>1041094473</v>
      </c>
      <c r="O2399">
        <v>1021999794</v>
      </c>
      <c r="P2399">
        <v>145</v>
      </c>
      <c r="Q2399" t="s">
        <v>5127</v>
      </c>
    </row>
    <row r="2400" spans="1:17" x14ac:dyDescent="0.3">
      <c r="A2400" t="s">
        <v>4664</v>
      </c>
      <c r="B2400" t="str">
        <f>"000656"</f>
        <v>000656</v>
      </c>
      <c r="C2400" t="s">
        <v>5128</v>
      </c>
      <c r="D2400" t="s">
        <v>104</v>
      </c>
      <c r="F2400">
        <v>77841487405</v>
      </c>
      <c r="G2400">
        <v>92447014323</v>
      </c>
      <c r="H2400">
        <v>77467278710</v>
      </c>
      <c r="I2400">
        <v>63401845856</v>
      </c>
      <c r="J2400">
        <v>34507247606</v>
      </c>
      <c r="K2400">
        <v>21290445560</v>
      </c>
      <c r="L2400">
        <v>17254702860</v>
      </c>
      <c r="M2400">
        <v>15839755322</v>
      </c>
      <c r="N2400">
        <v>12340744556</v>
      </c>
      <c r="O2400">
        <v>10214462585</v>
      </c>
      <c r="P2400">
        <v>1065</v>
      </c>
      <c r="Q2400" t="s">
        <v>5129</v>
      </c>
    </row>
    <row r="2401" spans="1:17" x14ac:dyDescent="0.3">
      <c r="A2401" t="s">
        <v>4664</v>
      </c>
      <c r="B2401" t="str">
        <f>"000657"</f>
        <v>000657</v>
      </c>
      <c r="C2401" t="s">
        <v>5130</v>
      </c>
      <c r="D2401" t="s">
        <v>1110</v>
      </c>
      <c r="F2401">
        <v>6109097264</v>
      </c>
      <c r="G2401">
        <v>5054790381</v>
      </c>
      <c r="H2401">
        <v>4660649094</v>
      </c>
      <c r="I2401">
        <v>5419713203</v>
      </c>
      <c r="J2401">
        <v>4542043033</v>
      </c>
      <c r="K2401">
        <v>3099889190</v>
      </c>
      <c r="L2401">
        <v>4207487567</v>
      </c>
      <c r="M2401">
        <v>5183178369</v>
      </c>
      <c r="N2401">
        <v>530846304</v>
      </c>
      <c r="O2401">
        <v>480215659</v>
      </c>
      <c r="P2401">
        <v>177</v>
      </c>
      <c r="Q2401" t="s">
        <v>5131</v>
      </c>
    </row>
    <row r="2402" spans="1:17" x14ac:dyDescent="0.3">
      <c r="A2402" t="s">
        <v>4664</v>
      </c>
      <c r="B2402" t="str">
        <f>"000658"</f>
        <v>000658</v>
      </c>
      <c r="C2402" t="s">
        <v>5132</v>
      </c>
      <c r="K2402">
        <v>16500</v>
      </c>
      <c r="L2402">
        <v>3600</v>
      </c>
      <c r="M2402">
        <v>222817.5</v>
      </c>
      <c r="N2402">
        <v>215797.5</v>
      </c>
      <c r="O2402">
        <v>215797.5</v>
      </c>
      <c r="P2402">
        <v>5</v>
      </c>
      <c r="Q2402" t="s">
        <v>5133</v>
      </c>
    </row>
    <row r="2403" spans="1:17" x14ac:dyDescent="0.3">
      <c r="A2403" t="s">
        <v>4664</v>
      </c>
      <c r="B2403" t="str">
        <f>"000659"</f>
        <v>000659</v>
      </c>
      <c r="C2403" t="s">
        <v>5134</v>
      </c>
      <c r="D2403" t="s">
        <v>485</v>
      </c>
      <c r="F2403">
        <v>1222507556</v>
      </c>
      <c r="G2403">
        <v>1078213576</v>
      </c>
      <c r="H2403">
        <v>1356314016</v>
      </c>
      <c r="I2403">
        <v>1463746571</v>
      </c>
      <c r="J2403">
        <v>1404024190</v>
      </c>
      <c r="K2403">
        <v>1420587021</v>
      </c>
      <c r="L2403">
        <v>1681371384</v>
      </c>
      <c r="M2403">
        <v>2292446428</v>
      </c>
      <c r="N2403">
        <v>2265860256</v>
      </c>
      <c r="O2403">
        <v>2562130596</v>
      </c>
      <c r="P2403">
        <v>77</v>
      </c>
      <c r="Q2403" t="s">
        <v>5135</v>
      </c>
    </row>
    <row r="2404" spans="1:17" x14ac:dyDescent="0.3">
      <c r="A2404" t="s">
        <v>4664</v>
      </c>
      <c r="B2404" t="str">
        <f>"000660"</f>
        <v>000660</v>
      </c>
      <c r="C2404" t="s">
        <v>5136</v>
      </c>
      <c r="K2404">
        <v>59660126.479999997</v>
      </c>
      <c r="O2404">
        <v>12289829.26</v>
      </c>
      <c r="P2404">
        <v>6</v>
      </c>
      <c r="Q2404" t="s">
        <v>5137</v>
      </c>
    </row>
    <row r="2405" spans="1:17" x14ac:dyDescent="0.3">
      <c r="A2405" t="s">
        <v>4664</v>
      </c>
      <c r="B2405" t="str">
        <f>"000661"</f>
        <v>000661</v>
      </c>
      <c r="C2405" t="s">
        <v>5138</v>
      </c>
      <c r="D2405" t="s">
        <v>1379</v>
      </c>
      <c r="F2405">
        <v>7934878263</v>
      </c>
      <c r="G2405">
        <v>5979201475</v>
      </c>
      <c r="H2405">
        <v>5077666010</v>
      </c>
      <c r="I2405">
        <v>4418941028</v>
      </c>
      <c r="J2405">
        <v>2667064545</v>
      </c>
      <c r="K2405">
        <v>2092107239</v>
      </c>
      <c r="L2405">
        <v>1834109505</v>
      </c>
      <c r="M2405">
        <v>1577698112</v>
      </c>
      <c r="N2405">
        <v>1619196328</v>
      </c>
      <c r="O2405">
        <v>1139170467</v>
      </c>
      <c r="P2405">
        <v>59935</v>
      </c>
      <c r="Q2405" t="s">
        <v>5139</v>
      </c>
    </row>
    <row r="2406" spans="1:17" x14ac:dyDescent="0.3">
      <c r="A2406" t="s">
        <v>4664</v>
      </c>
      <c r="B2406" t="str">
        <f>"000662"</f>
        <v>000662</v>
      </c>
      <c r="C2406" t="s">
        <v>5140</v>
      </c>
      <c r="G2406">
        <v>9238050</v>
      </c>
      <c r="H2406">
        <v>31361974</v>
      </c>
      <c r="I2406">
        <v>92990872</v>
      </c>
      <c r="J2406">
        <v>177541067</v>
      </c>
      <c r="K2406">
        <v>926903282</v>
      </c>
      <c r="L2406">
        <v>332023445</v>
      </c>
      <c r="M2406">
        <v>373929650</v>
      </c>
      <c r="N2406">
        <v>367786524</v>
      </c>
      <c r="O2406">
        <v>402832201</v>
      </c>
      <c r="P2406">
        <v>146</v>
      </c>
      <c r="Q2406" t="s">
        <v>5141</v>
      </c>
    </row>
    <row r="2407" spans="1:17" x14ac:dyDescent="0.3">
      <c r="A2407" t="s">
        <v>4664</v>
      </c>
      <c r="B2407" t="str">
        <f>"000663"</f>
        <v>000663</v>
      </c>
      <c r="C2407" t="s">
        <v>5142</v>
      </c>
      <c r="D2407" t="s">
        <v>2647</v>
      </c>
      <c r="F2407">
        <v>384532784</v>
      </c>
      <c r="G2407">
        <v>388447688</v>
      </c>
      <c r="H2407">
        <v>580617918</v>
      </c>
      <c r="I2407">
        <v>549642752</v>
      </c>
      <c r="J2407">
        <v>693705369</v>
      </c>
      <c r="K2407">
        <v>1005665904</v>
      </c>
      <c r="L2407">
        <v>369088290</v>
      </c>
      <c r="M2407">
        <v>382566141</v>
      </c>
      <c r="N2407">
        <v>368039166</v>
      </c>
      <c r="O2407">
        <v>380093673</v>
      </c>
      <c r="P2407">
        <v>93</v>
      </c>
      <c r="Q2407" t="s">
        <v>5143</v>
      </c>
    </row>
    <row r="2408" spans="1:17" x14ac:dyDescent="0.3">
      <c r="A2408" t="s">
        <v>4664</v>
      </c>
      <c r="B2408" t="str">
        <f>"000665"</f>
        <v>000665</v>
      </c>
      <c r="C2408" t="s">
        <v>5144</v>
      </c>
      <c r="D2408" t="s">
        <v>95</v>
      </c>
      <c r="F2408">
        <v>1310324195</v>
      </c>
      <c r="G2408">
        <v>1453680266</v>
      </c>
      <c r="H2408">
        <v>1366001332</v>
      </c>
      <c r="I2408">
        <v>1512191935</v>
      </c>
      <c r="J2408">
        <v>1631889737</v>
      </c>
      <c r="K2408">
        <v>1661380695</v>
      </c>
      <c r="L2408">
        <v>1657891813</v>
      </c>
      <c r="M2408">
        <v>823634713</v>
      </c>
      <c r="N2408">
        <v>777592200</v>
      </c>
      <c r="O2408">
        <v>959771580</v>
      </c>
      <c r="P2408">
        <v>221</v>
      </c>
      <c r="Q2408" t="s">
        <v>5145</v>
      </c>
    </row>
    <row r="2409" spans="1:17" x14ac:dyDescent="0.3">
      <c r="A2409" t="s">
        <v>4664</v>
      </c>
      <c r="B2409" t="str">
        <f>"000666"</f>
        <v>000666</v>
      </c>
      <c r="C2409" t="s">
        <v>5146</v>
      </c>
      <c r="D2409" t="s">
        <v>1649</v>
      </c>
      <c r="F2409">
        <v>4419687500</v>
      </c>
      <c r="G2409">
        <v>1734313565</v>
      </c>
      <c r="H2409">
        <v>2183975319</v>
      </c>
      <c r="I2409">
        <v>2672287856</v>
      </c>
      <c r="J2409">
        <v>2280299545</v>
      </c>
      <c r="K2409">
        <v>2723742288</v>
      </c>
      <c r="L2409">
        <v>2563488881</v>
      </c>
      <c r="M2409">
        <v>4579145584</v>
      </c>
      <c r="N2409">
        <v>4464422817</v>
      </c>
      <c r="O2409">
        <v>4138019276</v>
      </c>
      <c r="P2409">
        <v>186</v>
      </c>
      <c r="Q2409" t="s">
        <v>5147</v>
      </c>
    </row>
    <row r="2410" spans="1:17" x14ac:dyDescent="0.3">
      <c r="A2410" t="s">
        <v>4664</v>
      </c>
      <c r="B2410" t="str">
        <f>"000667"</f>
        <v>000667</v>
      </c>
      <c r="C2410" t="s">
        <v>5148</v>
      </c>
      <c r="D2410" t="s">
        <v>104</v>
      </c>
      <c r="F2410">
        <v>4348777176</v>
      </c>
      <c r="G2410">
        <v>4956092186</v>
      </c>
      <c r="H2410">
        <v>3438061132</v>
      </c>
      <c r="I2410">
        <v>6039934704</v>
      </c>
      <c r="J2410">
        <v>2113046047</v>
      </c>
      <c r="K2410">
        <v>4054784153</v>
      </c>
      <c r="L2410">
        <v>2385711217</v>
      </c>
      <c r="M2410">
        <v>2450449838</v>
      </c>
      <c r="N2410">
        <v>2777315561</v>
      </c>
      <c r="O2410">
        <v>1366083012</v>
      </c>
      <c r="P2410">
        <v>169</v>
      </c>
      <c r="Q2410" t="s">
        <v>5149</v>
      </c>
    </row>
    <row r="2411" spans="1:17" x14ac:dyDescent="0.3">
      <c r="A2411" t="s">
        <v>4664</v>
      </c>
      <c r="B2411" t="str">
        <f>"000668"</f>
        <v>000668</v>
      </c>
      <c r="C2411" t="s">
        <v>5150</v>
      </c>
      <c r="D2411" t="s">
        <v>104</v>
      </c>
      <c r="F2411">
        <v>70051917</v>
      </c>
      <c r="G2411">
        <v>56693907</v>
      </c>
      <c r="H2411">
        <v>89864611</v>
      </c>
      <c r="I2411">
        <v>302397413</v>
      </c>
      <c r="J2411">
        <v>190038067</v>
      </c>
      <c r="K2411">
        <v>35459748</v>
      </c>
      <c r="L2411">
        <v>22127351</v>
      </c>
      <c r="M2411">
        <v>118904425</v>
      </c>
      <c r="N2411">
        <v>64771341</v>
      </c>
      <c r="O2411">
        <v>57286007</v>
      </c>
      <c r="P2411">
        <v>96</v>
      </c>
      <c r="Q2411" t="s">
        <v>5151</v>
      </c>
    </row>
    <row r="2412" spans="1:17" x14ac:dyDescent="0.3">
      <c r="A2412" t="s">
        <v>4664</v>
      </c>
      <c r="B2412" t="str">
        <f>"000669"</f>
        <v>000669</v>
      </c>
      <c r="C2412" t="s">
        <v>5152</v>
      </c>
      <c r="D2412" t="s">
        <v>749</v>
      </c>
      <c r="F2412">
        <v>1495189800</v>
      </c>
      <c r="G2412">
        <v>1954558335</v>
      </c>
      <c r="H2412">
        <v>2981920105</v>
      </c>
      <c r="I2412">
        <v>3367077790</v>
      </c>
      <c r="J2412">
        <v>2591348658</v>
      </c>
      <c r="K2412">
        <v>1501456085</v>
      </c>
      <c r="L2412">
        <v>1552424018</v>
      </c>
      <c r="M2412">
        <v>1541358228</v>
      </c>
      <c r="N2412">
        <v>1072626980</v>
      </c>
      <c r="O2412">
        <v>20299273</v>
      </c>
      <c r="P2412">
        <v>83</v>
      </c>
      <c r="Q2412" t="s">
        <v>5153</v>
      </c>
    </row>
    <row r="2413" spans="1:17" x14ac:dyDescent="0.3">
      <c r="A2413" t="s">
        <v>4664</v>
      </c>
      <c r="B2413" t="str">
        <f>"000670"</f>
        <v>000670</v>
      </c>
      <c r="C2413" t="s">
        <v>5154</v>
      </c>
      <c r="D2413" t="s">
        <v>461</v>
      </c>
      <c r="F2413">
        <v>1848286878</v>
      </c>
      <c r="G2413">
        <v>129346284</v>
      </c>
      <c r="H2413">
        <v>9563481</v>
      </c>
      <c r="I2413">
        <v>102116601</v>
      </c>
      <c r="J2413">
        <v>190214388</v>
      </c>
      <c r="K2413">
        <v>229508002</v>
      </c>
      <c r="L2413">
        <v>217532939</v>
      </c>
      <c r="M2413">
        <v>88730752</v>
      </c>
      <c r="N2413">
        <v>23793380</v>
      </c>
      <c r="O2413">
        <v>35956109</v>
      </c>
      <c r="P2413">
        <v>116</v>
      </c>
      <c r="Q2413" t="s">
        <v>5155</v>
      </c>
    </row>
    <row r="2414" spans="1:17" x14ac:dyDescent="0.3">
      <c r="A2414" t="s">
        <v>4664</v>
      </c>
      <c r="B2414" t="str">
        <f>"000671"</f>
        <v>000671</v>
      </c>
      <c r="C2414" t="s">
        <v>5156</v>
      </c>
      <c r="D2414" t="s">
        <v>104</v>
      </c>
      <c r="F2414">
        <v>64617508167</v>
      </c>
      <c r="G2414">
        <v>59223233296</v>
      </c>
      <c r="H2414">
        <v>60224513600</v>
      </c>
      <c r="I2414">
        <v>59246833772</v>
      </c>
      <c r="J2414">
        <v>38513562635</v>
      </c>
      <c r="K2414">
        <v>18103214205</v>
      </c>
      <c r="L2414">
        <v>12829445151</v>
      </c>
      <c r="M2414">
        <v>11212849697</v>
      </c>
      <c r="N2414">
        <v>9304188037</v>
      </c>
      <c r="O2414">
        <v>3961194449</v>
      </c>
      <c r="P2414">
        <v>1192</v>
      </c>
      <c r="Q2414" t="s">
        <v>5157</v>
      </c>
    </row>
    <row r="2415" spans="1:17" x14ac:dyDescent="0.3">
      <c r="A2415" t="s">
        <v>4664</v>
      </c>
      <c r="B2415" t="str">
        <f>"000672"</f>
        <v>000672</v>
      </c>
      <c r="C2415" t="s">
        <v>5158</v>
      </c>
      <c r="D2415" t="s">
        <v>731</v>
      </c>
      <c r="F2415">
        <v>5930145059</v>
      </c>
      <c r="G2415">
        <v>5176574535</v>
      </c>
      <c r="H2415">
        <v>5365788994</v>
      </c>
      <c r="I2415">
        <v>4440371969</v>
      </c>
      <c r="J2415">
        <v>3328622413</v>
      </c>
      <c r="K2415">
        <v>2291279119</v>
      </c>
      <c r="L2415">
        <v>1857129349</v>
      </c>
      <c r="M2415">
        <v>2812009226</v>
      </c>
      <c r="N2415">
        <v>1832911630</v>
      </c>
      <c r="O2415">
        <v>69216595</v>
      </c>
      <c r="P2415">
        <v>1263</v>
      </c>
      <c r="Q2415" t="s">
        <v>5159</v>
      </c>
    </row>
    <row r="2416" spans="1:17" x14ac:dyDescent="0.3">
      <c r="A2416" t="s">
        <v>4664</v>
      </c>
      <c r="B2416" t="str">
        <f>"000673"</f>
        <v>000673</v>
      </c>
      <c r="C2416" t="s">
        <v>5160</v>
      </c>
      <c r="D2416" t="s">
        <v>113</v>
      </c>
      <c r="F2416">
        <v>143141354</v>
      </c>
      <c r="G2416">
        <v>138168055</v>
      </c>
      <c r="H2416">
        <v>255922276</v>
      </c>
      <c r="I2416">
        <v>560727821</v>
      </c>
      <c r="J2416">
        <v>566027943</v>
      </c>
      <c r="K2416">
        <v>677524367</v>
      </c>
      <c r="L2416">
        <v>56281332</v>
      </c>
      <c r="M2416">
        <v>15512700</v>
      </c>
      <c r="N2416">
        <v>8802277</v>
      </c>
      <c r="O2416">
        <v>6233690</v>
      </c>
      <c r="P2416">
        <v>90</v>
      </c>
      <c r="Q2416" t="s">
        <v>5161</v>
      </c>
    </row>
    <row r="2417" spans="1:17" x14ac:dyDescent="0.3">
      <c r="A2417" t="s">
        <v>4664</v>
      </c>
      <c r="B2417" t="str">
        <f>"000675"</f>
        <v>000675</v>
      </c>
      <c r="C2417" t="s">
        <v>5162</v>
      </c>
      <c r="L2417">
        <v>0</v>
      </c>
      <c r="N2417">
        <v>0</v>
      </c>
      <c r="O2417">
        <v>318230</v>
      </c>
      <c r="P2417">
        <v>5</v>
      </c>
      <c r="Q2417" t="s">
        <v>5163</v>
      </c>
    </row>
    <row r="2418" spans="1:17" x14ac:dyDescent="0.3">
      <c r="A2418" t="s">
        <v>4664</v>
      </c>
      <c r="B2418" t="str">
        <f>"000676"</f>
        <v>000676</v>
      </c>
      <c r="C2418" t="s">
        <v>5164</v>
      </c>
      <c r="D2418" t="s">
        <v>207</v>
      </c>
      <c r="F2418">
        <v>5157738517</v>
      </c>
      <c r="G2418">
        <v>9488424935</v>
      </c>
      <c r="H2418">
        <v>7801485748</v>
      </c>
      <c r="I2418">
        <v>5461438182</v>
      </c>
      <c r="J2418">
        <v>4477015044</v>
      </c>
      <c r="K2418">
        <v>1752656690</v>
      </c>
      <c r="L2418">
        <v>288273133</v>
      </c>
      <c r="M2418">
        <v>239492153</v>
      </c>
      <c r="N2418">
        <v>321381557</v>
      </c>
      <c r="O2418">
        <v>392711851</v>
      </c>
      <c r="P2418">
        <v>215</v>
      </c>
      <c r="Q2418" t="s">
        <v>5165</v>
      </c>
    </row>
    <row r="2419" spans="1:17" x14ac:dyDescent="0.3">
      <c r="A2419" t="s">
        <v>4664</v>
      </c>
      <c r="B2419" t="str">
        <f>"000677"</f>
        <v>000677</v>
      </c>
      <c r="C2419" t="s">
        <v>5166</v>
      </c>
      <c r="D2419" t="s">
        <v>888</v>
      </c>
      <c r="F2419">
        <v>522500839</v>
      </c>
      <c r="G2419">
        <v>308030276</v>
      </c>
      <c r="H2419">
        <v>354369307</v>
      </c>
      <c r="I2419">
        <v>341021080</v>
      </c>
      <c r="J2419">
        <v>250451659</v>
      </c>
      <c r="K2419">
        <v>254528756</v>
      </c>
      <c r="L2419">
        <v>1920066665</v>
      </c>
      <c r="M2419">
        <v>1543829031</v>
      </c>
      <c r="N2419">
        <v>1910710643</v>
      </c>
      <c r="O2419">
        <v>700575403</v>
      </c>
      <c r="P2419">
        <v>80</v>
      </c>
      <c r="Q2419" t="s">
        <v>5167</v>
      </c>
    </row>
    <row r="2420" spans="1:17" x14ac:dyDescent="0.3">
      <c r="A2420" t="s">
        <v>4664</v>
      </c>
      <c r="B2420" t="str">
        <f>"000678"</f>
        <v>000678</v>
      </c>
      <c r="C2420" t="s">
        <v>5168</v>
      </c>
      <c r="D2420" t="s">
        <v>348</v>
      </c>
      <c r="F2420">
        <v>717273013</v>
      </c>
      <c r="G2420">
        <v>516002093</v>
      </c>
      <c r="H2420">
        <v>730054531</v>
      </c>
      <c r="I2420">
        <v>891202884</v>
      </c>
      <c r="J2420">
        <v>696439146</v>
      </c>
      <c r="K2420">
        <v>646719090</v>
      </c>
      <c r="L2420">
        <v>592128670</v>
      </c>
      <c r="M2420">
        <v>660111479</v>
      </c>
      <c r="N2420">
        <v>211488875</v>
      </c>
      <c r="O2420">
        <v>222052193</v>
      </c>
      <c r="P2420">
        <v>71</v>
      </c>
      <c r="Q2420" t="s">
        <v>5169</v>
      </c>
    </row>
    <row r="2421" spans="1:17" x14ac:dyDescent="0.3">
      <c r="A2421" t="s">
        <v>4664</v>
      </c>
      <c r="B2421" t="str">
        <f>"000679"</f>
        <v>000679</v>
      </c>
      <c r="C2421" t="s">
        <v>5170</v>
      </c>
      <c r="D2421" t="s">
        <v>1404</v>
      </c>
      <c r="F2421">
        <v>488430553</v>
      </c>
      <c r="G2421">
        <v>406320137</v>
      </c>
      <c r="H2421">
        <v>632378079</v>
      </c>
      <c r="I2421">
        <v>851537938</v>
      </c>
      <c r="J2421">
        <v>877764471</v>
      </c>
      <c r="K2421">
        <v>1864952010</v>
      </c>
      <c r="L2421">
        <v>2003419483</v>
      </c>
      <c r="M2421">
        <v>2063729792</v>
      </c>
      <c r="N2421">
        <v>1962175174</v>
      </c>
      <c r="O2421">
        <v>3045151222</v>
      </c>
      <c r="P2421">
        <v>83</v>
      </c>
      <c r="Q2421" t="s">
        <v>5171</v>
      </c>
    </row>
    <row r="2422" spans="1:17" x14ac:dyDescent="0.3">
      <c r="A2422" t="s">
        <v>4664</v>
      </c>
      <c r="B2422" t="str">
        <f>"000680"</f>
        <v>000680</v>
      </c>
      <c r="C2422" t="s">
        <v>5172</v>
      </c>
      <c r="D2422" t="s">
        <v>83</v>
      </c>
      <c r="F2422">
        <v>5335955551</v>
      </c>
      <c r="G2422">
        <v>3834175811</v>
      </c>
      <c r="H2422">
        <v>3984525620</v>
      </c>
      <c r="I2422">
        <v>3554635678</v>
      </c>
      <c r="J2422">
        <v>3293393120</v>
      </c>
      <c r="K2422">
        <v>2315971855</v>
      </c>
      <c r="L2422">
        <v>3226841466</v>
      </c>
      <c r="M2422">
        <v>4503794601</v>
      </c>
      <c r="N2422">
        <v>5090036591</v>
      </c>
      <c r="O2422">
        <v>5376557627</v>
      </c>
      <c r="P2422">
        <v>120</v>
      </c>
      <c r="Q2422" t="s">
        <v>5173</v>
      </c>
    </row>
    <row r="2423" spans="1:17" x14ac:dyDescent="0.3">
      <c r="A2423" t="s">
        <v>4664</v>
      </c>
      <c r="B2423" t="str">
        <f>"000681"</f>
        <v>000681</v>
      </c>
      <c r="C2423" t="s">
        <v>5174</v>
      </c>
      <c r="D2423" t="s">
        <v>5175</v>
      </c>
      <c r="F2423">
        <v>448589331</v>
      </c>
      <c r="G2423">
        <v>424091202</v>
      </c>
      <c r="H2423">
        <v>535644420</v>
      </c>
      <c r="I2423">
        <v>643129518</v>
      </c>
      <c r="J2423">
        <v>578232233</v>
      </c>
      <c r="K2423">
        <v>537284393</v>
      </c>
      <c r="L2423">
        <v>286449388</v>
      </c>
      <c r="M2423">
        <v>241709501</v>
      </c>
      <c r="N2423">
        <v>58475527</v>
      </c>
      <c r="O2423">
        <v>42422672</v>
      </c>
      <c r="P2423">
        <v>449</v>
      </c>
      <c r="Q2423" t="s">
        <v>5176</v>
      </c>
    </row>
    <row r="2424" spans="1:17" x14ac:dyDescent="0.3">
      <c r="A2424" t="s">
        <v>4664</v>
      </c>
      <c r="B2424" t="str">
        <f>"000682"</f>
        <v>000682</v>
      </c>
      <c r="C2424" t="s">
        <v>5177</v>
      </c>
      <c r="D2424" t="s">
        <v>610</v>
      </c>
      <c r="F2424">
        <v>2867243073</v>
      </c>
      <c r="G2424">
        <v>2536023341</v>
      </c>
      <c r="H2424">
        <v>2189476010</v>
      </c>
      <c r="I2424">
        <v>1884069798</v>
      </c>
      <c r="J2424">
        <v>1703711540</v>
      </c>
      <c r="K2424">
        <v>1451741971</v>
      </c>
      <c r="L2424">
        <v>1253993816</v>
      </c>
      <c r="M2424">
        <v>1272163741</v>
      </c>
      <c r="N2424">
        <v>1221227435</v>
      </c>
      <c r="O2424">
        <v>797081175</v>
      </c>
      <c r="P2424">
        <v>156</v>
      </c>
      <c r="Q2424" t="s">
        <v>5178</v>
      </c>
    </row>
    <row r="2425" spans="1:17" x14ac:dyDescent="0.3">
      <c r="A2425" t="s">
        <v>4664</v>
      </c>
      <c r="B2425" t="str">
        <f>"000683"</f>
        <v>000683</v>
      </c>
      <c r="C2425" t="s">
        <v>5179</v>
      </c>
      <c r="D2425" t="s">
        <v>2516</v>
      </c>
      <c r="F2425">
        <v>9117153934</v>
      </c>
      <c r="G2425">
        <v>5115600038</v>
      </c>
      <c r="H2425">
        <v>5000544564</v>
      </c>
      <c r="I2425">
        <v>5149385253</v>
      </c>
      <c r="J2425">
        <v>6247108254</v>
      </c>
      <c r="K2425">
        <v>3785345325</v>
      </c>
      <c r="L2425">
        <v>4072438317</v>
      </c>
      <c r="M2425">
        <v>3563472669</v>
      </c>
      <c r="N2425">
        <v>1535049035</v>
      </c>
      <c r="O2425">
        <v>2129568950</v>
      </c>
      <c r="P2425">
        <v>314</v>
      </c>
      <c r="Q2425" t="s">
        <v>5180</v>
      </c>
    </row>
    <row r="2426" spans="1:17" x14ac:dyDescent="0.3">
      <c r="A2426" t="s">
        <v>4664</v>
      </c>
      <c r="B2426" t="str">
        <f>"000685"</f>
        <v>000685</v>
      </c>
      <c r="C2426" t="s">
        <v>5181</v>
      </c>
      <c r="D2426" t="s">
        <v>33</v>
      </c>
      <c r="F2426">
        <v>1777844124</v>
      </c>
      <c r="G2426">
        <v>1639241384</v>
      </c>
      <c r="H2426">
        <v>1589578735</v>
      </c>
      <c r="I2426">
        <v>1650956471</v>
      </c>
      <c r="J2426">
        <v>1277169275</v>
      </c>
      <c r="K2426">
        <v>1068637445</v>
      </c>
      <c r="L2426">
        <v>893307362</v>
      </c>
      <c r="M2426">
        <v>844617368</v>
      </c>
      <c r="N2426">
        <v>631759968</v>
      </c>
      <c r="O2426">
        <v>591581110</v>
      </c>
      <c r="P2426">
        <v>511</v>
      </c>
      <c r="Q2426" t="s">
        <v>5182</v>
      </c>
    </row>
    <row r="2427" spans="1:17" x14ac:dyDescent="0.3">
      <c r="A2427" t="s">
        <v>4664</v>
      </c>
      <c r="B2427" t="str">
        <f>"000686"</f>
        <v>000686</v>
      </c>
      <c r="C2427" t="s">
        <v>5183</v>
      </c>
      <c r="D2427" t="s">
        <v>80</v>
      </c>
      <c r="P2427">
        <v>888</v>
      </c>
      <c r="Q2427" t="s">
        <v>5184</v>
      </c>
    </row>
    <row r="2428" spans="1:17" x14ac:dyDescent="0.3">
      <c r="A2428" t="s">
        <v>4664</v>
      </c>
      <c r="B2428" t="str">
        <f>"000687"</f>
        <v>000687</v>
      </c>
      <c r="C2428" t="s">
        <v>5185</v>
      </c>
      <c r="D2428" t="s">
        <v>98</v>
      </c>
      <c r="F2428">
        <v>28127024</v>
      </c>
      <c r="G2428">
        <v>210651764</v>
      </c>
      <c r="H2428">
        <v>314556968</v>
      </c>
      <c r="I2428">
        <v>1186814223</v>
      </c>
      <c r="J2428">
        <v>567285781</v>
      </c>
      <c r="K2428">
        <v>1119968674</v>
      </c>
      <c r="L2428">
        <v>204280184</v>
      </c>
      <c r="M2428">
        <v>309369850</v>
      </c>
      <c r="N2428">
        <v>375519319</v>
      </c>
      <c r="O2428">
        <v>439645236</v>
      </c>
      <c r="P2428">
        <v>86</v>
      </c>
      <c r="Q2428" t="s">
        <v>5186</v>
      </c>
    </row>
    <row r="2429" spans="1:17" x14ac:dyDescent="0.3">
      <c r="A2429" t="s">
        <v>4664</v>
      </c>
      <c r="B2429" t="str">
        <f>"000688"</f>
        <v>000688</v>
      </c>
      <c r="C2429" t="s">
        <v>5187</v>
      </c>
      <c r="D2429" t="s">
        <v>744</v>
      </c>
      <c r="F2429">
        <v>917062248</v>
      </c>
      <c r="G2429">
        <v>551099128</v>
      </c>
      <c r="H2429">
        <v>902683155</v>
      </c>
      <c r="I2429">
        <v>1005716546</v>
      </c>
      <c r="J2429">
        <v>1009699800</v>
      </c>
      <c r="K2429">
        <v>890146288</v>
      </c>
      <c r="L2429">
        <v>739506379</v>
      </c>
      <c r="M2429">
        <v>613375865</v>
      </c>
      <c r="N2429">
        <v>524092647</v>
      </c>
      <c r="O2429">
        <v>6877807</v>
      </c>
      <c r="P2429">
        <v>197</v>
      </c>
      <c r="Q2429" t="s">
        <v>5188</v>
      </c>
    </row>
    <row r="2430" spans="1:17" x14ac:dyDescent="0.3">
      <c r="A2430" t="s">
        <v>4664</v>
      </c>
      <c r="B2430" t="str">
        <f>"000689"</f>
        <v>000689</v>
      </c>
      <c r="C2430" t="s">
        <v>5189</v>
      </c>
      <c r="P2430">
        <v>5</v>
      </c>
      <c r="Q2430" t="s">
        <v>5190</v>
      </c>
    </row>
    <row r="2431" spans="1:17" x14ac:dyDescent="0.3">
      <c r="A2431" t="s">
        <v>4664</v>
      </c>
      <c r="B2431" t="str">
        <f>"000690"</f>
        <v>000690</v>
      </c>
      <c r="C2431" t="s">
        <v>5191</v>
      </c>
      <c r="D2431" t="s">
        <v>41</v>
      </c>
      <c r="F2431">
        <v>7659094828</v>
      </c>
      <c r="G2431">
        <v>6373346455</v>
      </c>
      <c r="H2431">
        <v>4328275930</v>
      </c>
      <c r="I2431">
        <v>3251445456</v>
      </c>
      <c r="J2431">
        <v>2362424454</v>
      </c>
      <c r="K2431">
        <v>2807385686</v>
      </c>
      <c r="L2431">
        <v>3455819568</v>
      </c>
      <c r="M2431">
        <v>4036794437</v>
      </c>
      <c r="N2431">
        <v>5514472065</v>
      </c>
      <c r="O2431">
        <v>3031781954</v>
      </c>
      <c r="P2431">
        <v>643</v>
      </c>
      <c r="Q2431" t="s">
        <v>5192</v>
      </c>
    </row>
    <row r="2432" spans="1:17" x14ac:dyDescent="0.3">
      <c r="A2432" t="s">
        <v>4664</v>
      </c>
      <c r="B2432" t="str">
        <f>"000691"</f>
        <v>000691</v>
      </c>
      <c r="C2432" t="s">
        <v>5193</v>
      </c>
      <c r="D2432" t="s">
        <v>104</v>
      </c>
      <c r="F2432">
        <v>238145132</v>
      </c>
      <c r="G2432">
        <v>86211074</v>
      </c>
      <c r="H2432">
        <v>10471950</v>
      </c>
      <c r="I2432">
        <v>5482815</v>
      </c>
      <c r="J2432">
        <v>30902619</v>
      </c>
      <c r="K2432">
        <v>41202985</v>
      </c>
      <c r="L2432">
        <v>48432687</v>
      </c>
      <c r="M2432">
        <v>23124489</v>
      </c>
      <c r="N2432">
        <v>21528110</v>
      </c>
      <c r="O2432">
        <v>18403662</v>
      </c>
      <c r="P2432">
        <v>91</v>
      </c>
      <c r="Q2432" t="s">
        <v>5194</v>
      </c>
    </row>
    <row r="2433" spans="1:17" x14ac:dyDescent="0.3">
      <c r="A2433" t="s">
        <v>4664</v>
      </c>
      <c r="B2433" t="str">
        <f>"000692"</f>
        <v>000692</v>
      </c>
      <c r="C2433" t="s">
        <v>5195</v>
      </c>
      <c r="D2433" t="s">
        <v>351</v>
      </c>
      <c r="F2433">
        <v>538705883</v>
      </c>
      <c r="G2433">
        <v>480265183</v>
      </c>
      <c r="H2433">
        <v>428096746</v>
      </c>
      <c r="I2433">
        <v>404264243</v>
      </c>
      <c r="J2433">
        <v>347476901</v>
      </c>
      <c r="K2433">
        <v>382970773</v>
      </c>
      <c r="L2433">
        <v>404980062</v>
      </c>
      <c r="M2433">
        <v>445042353</v>
      </c>
      <c r="N2433">
        <v>367458326</v>
      </c>
      <c r="O2433">
        <v>393200848</v>
      </c>
      <c r="P2433">
        <v>77</v>
      </c>
      <c r="Q2433" t="s">
        <v>5196</v>
      </c>
    </row>
    <row r="2434" spans="1:17" x14ac:dyDescent="0.3">
      <c r="A2434" t="s">
        <v>4664</v>
      </c>
      <c r="B2434" t="str">
        <f>"000693"</f>
        <v>000693</v>
      </c>
      <c r="C2434" t="s">
        <v>5197</v>
      </c>
      <c r="I2434">
        <v>2043289</v>
      </c>
      <c r="J2434">
        <v>409434160</v>
      </c>
      <c r="K2434">
        <v>2134593081.02</v>
      </c>
      <c r="L2434">
        <v>10119747817.540001</v>
      </c>
      <c r="M2434">
        <v>9722043486.8400002</v>
      </c>
      <c r="N2434">
        <v>2854372134.7399998</v>
      </c>
      <c r="O2434">
        <v>18920374.91</v>
      </c>
      <c r="P2434">
        <v>17</v>
      </c>
      <c r="Q2434" t="s">
        <v>5198</v>
      </c>
    </row>
    <row r="2435" spans="1:17" x14ac:dyDescent="0.3">
      <c r="A2435" t="s">
        <v>4664</v>
      </c>
      <c r="B2435" t="str">
        <f>"000695"</f>
        <v>000695</v>
      </c>
      <c r="C2435" t="s">
        <v>5199</v>
      </c>
      <c r="D2435" t="s">
        <v>1692</v>
      </c>
      <c r="F2435">
        <v>406297044</v>
      </c>
      <c r="G2435">
        <v>266219458</v>
      </c>
      <c r="H2435">
        <v>268393597</v>
      </c>
      <c r="I2435">
        <v>975998991</v>
      </c>
      <c r="J2435">
        <v>682292791</v>
      </c>
      <c r="K2435">
        <v>506517634</v>
      </c>
      <c r="L2435">
        <v>487158537</v>
      </c>
      <c r="M2435">
        <v>498651718</v>
      </c>
      <c r="N2435">
        <v>640416304</v>
      </c>
      <c r="O2435">
        <v>670595913</v>
      </c>
      <c r="P2435">
        <v>82</v>
      </c>
      <c r="Q2435" t="s">
        <v>5200</v>
      </c>
    </row>
    <row r="2436" spans="1:17" x14ac:dyDescent="0.3">
      <c r="A2436" t="s">
        <v>4664</v>
      </c>
      <c r="B2436" t="str">
        <f>"000697"</f>
        <v>000697</v>
      </c>
      <c r="C2436" t="s">
        <v>5201</v>
      </c>
      <c r="D2436" t="s">
        <v>98</v>
      </c>
      <c r="F2436">
        <v>732089481</v>
      </c>
      <c r="G2436">
        <v>1153109521</v>
      </c>
      <c r="H2436">
        <v>1591295605</v>
      </c>
      <c r="I2436">
        <v>1143605509</v>
      </c>
      <c r="J2436">
        <v>255403015</v>
      </c>
      <c r="K2436">
        <v>770224</v>
      </c>
      <c r="L2436">
        <v>36569823</v>
      </c>
      <c r="M2436">
        <v>98962016</v>
      </c>
      <c r="N2436">
        <v>189628164</v>
      </c>
      <c r="O2436">
        <v>102843779</v>
      </c>
      <c r="P2436">
        <v>110</v>
      </c>
      <c r="Q2436" t="s">
        <v>5202</v>
      </c>
    </row>
    <row r="2437" spans="1:17" x14ac:dyDescent="0.3">
      <c r="A2437" t="s">
        <v>4664</v>
      </c>
      <c r="B2437" t="str">
        <f>"000698"</f>
        <v>000698</v>
      </c>
      <c r="C2437" t="s">
        <v>5203</v>
      </c>
      <c r="D2437" t="s">
        <v>74</v>
      </c>
      <c r="F2437">
        <v>8317618679</v>
      </c>
      <c r="G2437">
        <v>5501503418</v>
      </c>
      <c r="H2437">
        <v>7376533985</v>
      </c>
      <c r="I2437">
        <v>7553350686</v>
      </c>
      <c r="J2437">
        <v>8869239029</v>
      </c>
      <c r="K2437">
        <v>6497288495</v>
      </c>
      <c r="L2437">
        <v>7651836203</v>
      </c>
      <c r="M2437">
        <v>9107543869</v>
      </c>
      <c r="N2437">
        <v>7281102416</v>
      </c>
      <c r="O2437">
        <v>7903498558</v>
      </c>
      <c r="P2437">
        <v>166</v>
      </c>
      <c r="Q2437" t="s">
        <v>5204</v>
      </c>
    </row>
    <row r="2438" spans="1:17" x14ac:dyDescent="0.3">
      <c r="A2438" t="s">
        <v>4664</v>
      </c>
      <c r="B2438" t="str">
        <f>"000700"</f>
        <v>000700</v>
      </c>
      <c r="C2438" t="s">
        <v>5205</v>
      </c>
      <c r="D2438" t="s">
        <v>191</v>
      </c>
      <c r="F2438">
        <v>6208401090</v>
      </c>
      <c r="G2438">
        <v>4457218954</v>
      </c>
      <c r="H2438">
        <v>4252653897</v>
      </c>
      <c r="I2438">
        <v>4039445569</v>
      </c>
      <c r="J2438">
        <v>2989400311</v>
      </c>
      <c r="K2438">
        <v>2635616495</v>
      </c>
      <c r="L2438">
        <v>2754263406</v>
      </c>
      <c r="M2438">
        <v>2800519791</v>
      </c>
      <c r="N2438">
        <v>2507524540</v>
      </c>
      <c r="O2438">
        <v>1785739428</v>
      </c>
      <c r="P2438">
        <v>259</v>
      </c>
      <c r="Q2438" t="s">
        <v>5206</v>
      </c>
    </row>
    <row r="2439" spans="1:17" x14ac:dyDescent="0.3">
      <c r="A2439" t="s">
        <v>4664</v>
      </c>
      <c r="B2439" t="str">
        <f>"000701"</f>
        <v>000701</v>
      </c>
      <c r="C2439" t="s">
        <v>5207</v>
      </c>
      <c r="D2439" t="s">
        <v>651</v>
      </c>
      <c r="F2439">
        <v>103298164632</v>
      </c>
      <c r="G2439">
        <v>59527779048</v>
      </c>
      <c r="H2439">
        <v>66884544573</v>
      </c>
      <c r="I2439">
        <v>46386134710</v>
      </c>
      <c r="J2439">
        <v>41131465156</v>
      </c>
      <c r="K2439">
        <v>28456178785</v>
      </c>
      <c r="L2439">
        <v>20328412031</v>
      </c>
      <c r="M2439">
        <v>18239592103</v>
      </c>
      <c r="N2439">
        <v>19195342609</v>
      </c>
      <c r="O2439">
        <v>12982482203</v>
      </c>
      <c r="P2439">
        <v>120</v>
      </c>
      <c r="Q2439" t="s">
        <v>5208</v>
      </c>
    </row>
    <row r="2440" spans="1:17" x14ac:dyDescent="0.3">
      <c r="A2440" t="s">
        <v>4664</v>
      </c>
      <c r="B2440" t="str">
        <f>"000702"</f>
        <v>000702</v>
      </c>
      <c r="C2440" t="s">
        <v>5209</v>
      </c>
      <c r="D2440" t="s">
        <v>2859</v>
      </c>
      <c r="F2440">
        <v>1030010540</v>
      </c>
      <c r="G2440">
        <v>697701522</v>
      </c>
      <c r="H2440">
        <v>945399194</v>
      </c>
      <c r="I2440">
        <v>1082281509</v>
      </c>
      <c r="J2440">
        <v>974584224</v>
      </c>
      <c r="K2440">
        <v>933765456</v>
      </c>
      <c r="L2440">
        <v>1071071769</v>
      </c>
      <c r="M2440">
        <v>1378053464</v>
      </c>
      <c r="N2440">
        <v>1546482031</v>
      </c>
      <c r="O2440">
        <v>1583983815</v>
      </c>
      <c r="P2440">
        <v>127</v>
      </c>
      <c r="Q2440" t="s">
        <v>5210</v>
      </c>
    </row>
    <row r="2441" spans="1:17" x14ac:dyDescent="0.3">
      <c r="A2441" t="s">
        <v>4664</v>
      </c>
      <c r="B2441" t="str">
        <f>"000703"</f>
        <v>000703</v>
      </c>
      <c r="C2441" t="s">
        <v>5211</v>
      </c>
      <c r="D2441" t="s">
        <v>74</v>
      </c>
      <c r="F2441">
        <v>103382012905</v>
      </c>
      <c r="G2441">
        <v>69407111964</v>
      </c>
      <c r="H2441">
        <v>61025850740</v>
      </c>
      <c r="I2441">
        <v>66200615364</v>
      </c>
      <c r="J2441">
        <v>53784631167</v>
      </c>
      <c r="K2441">
        <v>22069035688</v>
      </c>
      <c r="L2441">
        <v>22195034550</v>
      </c>
      <c r="M2441">
        <v>22458691315</v>
      </c>
      <c r="N2441">
        <v>21754571462</v>
      </c>
      <c r="O2441">
        <v>22755982787</v>
      </c>
      <c r="P2441">
        <v>581</v>
      </c>
      <c r="Q2441" t="s">
        <v>5212</v>
      </c>
    </row>
    <row r="2442" spans="1:17" x14ac:dyDescent="0.3">
      <c r="A2442" t="s">
        <v>4664</v>
      </c>
      <c r="B2442" t="str">
        <f>"000705"</f>
        <v>000705</v>
      </c>
      <c r="C2442" t="s">
        <v>5213</v>
      </c>
      <c r="D2442" t="s">
        <v>125</v>
      </c>
      <c r="F2442">
        <v>2625530104</v>
      </c>
      <c r="G2442">
        <v>2476225287</v>
      </c>
      <c r="H2442">
        <v>2340537970</v>
      </c>
      <c r="I2442">
        <v>1967806134</v>
      </c>
      <c r="J2442">
        <v>1816784789</v>
      </c>
      <c r="K2442">
        <v>1693618519</v>
      </c>
      <c r="L2442">
        <v>1653708826</v>
      </c>
      <c r="M2442">
        <v>1765926045</v>
      </c>
      <c r="N2442">
        <v>1494332962</v>
      </c>
      <c r="O2442">
        <v>1461174478</v>
      </c>
      <c r="P2442">
        <v>107</v>
      </c>
      <c r="Q2442" t="s">
        <v>5214</v>
      </c>
    </row>
    <row r="2443" spans="1:17" x14ac:dyDescent="0.3">
      <c r="A2443" t="s">
        <v>4664</v>
      </c>
      <c r="B2443" t="str">
        <f>"000707"</f>
        <v>000707</v>
      </c>
      <c r="C2443" t="s">
        <v>5215</v>
      </c>
      <c r="D2443" t="s">
        <v>2516</v>
      </c>
      <c r="F2443">
        <v>1779268218</v>
      </c>
      <c r="G2443">
        <v>1418865400</v>
      </c>
      <c r="H2443">
        <v>1405647240</v>
      </c>
      <c r="I2443">
        <v>1907368212</v>
      </c>
      <c r="J2443">
        <v>2937603964</v>
      </c>
      <c r="K2443">
        <v>3030615179</v>
      </c>
      <c r="L2443">
        <v>3471196415</v>
      </c>
      <c r="M2443">
        <v>3957354445</v>
      </c>
      <c r="N2443">
        <v>3486513296</v>
      </c>
      <c r="O2443">
        <v>4328565843</v>
      </c>
      <c r="P2443">
        <v>83</v>
      </c>
      <c r="Q2443" t="s">
        <v>5216</v>
      </c>
    </row>
    <row r="2444" spans="1:17" x14ac:dyDescent="0.3">
      <c r="A2444" t="s">
        <v>4664</v>
      </c>
      <c r="B2444" t="str">
        <f>"000708"</f>
        <v>000708</v>
      </c>
      <c r="C2444" t="s">
        <v>5217</v>
      </c>
      <c r="D2444" t="s">
        <v>281</v>
      </c>
      <c r="F2444">
        <v>48950043393</v>
      </c>
      <c r="G2444">
        <v>37745023388</v>
      </c>
      <c r="H2444">
        <v>46392057898</v>
      </c>
      <c r="I2444">
        <v>9200362488</v>
      </c>
      <c r="J2444">
        <v>6272108034</v>
      </c>
      <c r="K2444">
        <v>4630654057</v>
      </c>
      <c r="L2444">
        <v>3317793757</v>
      </c>
      <c r="M2444">
        <v>3553063505</v>
      </c>
      <c r="N2444">
        <v>3270192889</v>
      </c>
      <c r="O2444">
        <v>3679919912</v>
      </c>
      <c r="P2444">
        <v>677</v>
      </c>
      <c r="Q2444" t="s">
        <v>5218</v>
      </c>
    </row>
    <row r="2445" spans="1:17" x14ac:dyDescent="0.3">
      <c r="A2445" t="s">
        <v>4664</v>
      </c>
      <c r="B2445" t="str">
        <f>"000709"</f>
        <v>000709</v>
      </c>
      <c r="C2445" t="s">
        <v>5219</v>
      </c>
      <c r="D2445" t="s">
        <v>38</v>
      </c>
      <c r="F2445">
        <v>147280428195</v>
      </c>
      <c r="G2445">
        <v>94302291996</v>
      </c>
      <c r="H2445">
        <v>110256211753</v>
      </c>
      <c r="I2445">
        <v>103228374726</v>
      </c>
      <c r="J2445">
        <v>100086163303</v>
      </c>
      <c r="K2445">
        <v>69617149331</v>
      </c>
      <c r="L2445">
        <v>71272928954</v>
      </c>
      <c r="M2445">
        <v>84561425040</v>
      </c>
      <c r="N2445">
        <v>84717210008</v>
      </c>
      <c r="O2445">
        <v>84654563659</v>
      </c>
      <c r="P2445">
        <v>524</v>
      </c>
      <c r="Q2445" t="s">
        <v>5220</v>
      </c>
    </row>
    <row r="2446" spans="1:17" x14ac:dyDescent="0.3">
      <c r="A2446" t="s">
        <v>4664</v>
      </c>
      <c r="B2446" t="str">
        <f>"000710"</f>
        <v>000710</v>
      </c>
      <c r="C2446" t="s">
        <v>5221</v>
      </c>
      <c r="D2446" t="s">
        <v>1305</v>
      </c>
      <c r="F2446">
        <v>1018712350</v>
      </c>
      <c r="G2446">
        <v>952736193</v>
      </c>
      <c r="H2446">
        <v>1041389346</v>
      </c>
      <c r="I2446">
        <v>983092107</v>
      </c>
      <c r="J2446">
        <v>704516028</v>
      </c>
      <c r="K2446">
        <v>130506273</v>
      </c>
      <c r="L2446">
        <v>136640854</v>
      </c>
      <c r="M2446">
        <v>159112251</v>
      </c>
      <c r="N2446">
        <v>150720329</v>
      </c>
      <c r="O2446">
        <v>179324980</v>
      </c>
      <c r="P2446">
        <v>460</v>
      </c>
      <c r="Q2446" t="s">
        <v>5222</v>
      </c>
    </row>
    <row r="2447" spans="1:17" x14ac:dyDescent="0.3">
      <c r="A2447" t="s">
        <v>4664</v>
      </c>
      <c r="B2447" t="str">
        <f>"000711"</f>
        <v>000711</v>
      </c>
      <c r="C2447" t="s">
        <v>5223</v>
      </c>
      <c r="D2447" t="s">
        <v>499</v>
      </c>
      <c r="F2447">
        <v>716346896</v>
      </c>
      <c r="G2447">
        <v>963728171</v>
      </c>
      <c r="H2447">
        <v>945954497</v>
      </c>
      <c r="I2447">
        <v>866828646</v>
      </c>
      <c r="J2447">
        <v>538436815</v>
      </c>
      <c r="K2447">
        <v>12290024</v>
      </c>
      <c r="L2447">
        <v>58020225</v>
      </c>
      <c r="M2447">
        <v>51985976</v>
      </c>
      <c r="N2447">
        <v>41195330</v>
      </c>
      <c r="O2447">
        <v>46157849</v>
      </c>
      <c r="P2447">
        <v>109</v>
      </c>
      <c r="Q2447" t="s">
        <v>5224</v>
      </c>
    </row>
    <row r="2448" spans="1:17" x14ac:dyDescent="0.3">
      <c r="A2448" t="s">
        <v>4664</v>
      </c>
      <c r="B2448" t="str">
        <f>"000712"</f>
        <v>000712</v>
      </c>
      <c r="C2448" t="s">
        <v>5225</v>
      </c>
      <c r="D2448" t="s">
        <v>80</v>
      </c>
      <c r="P2448">
        <v>557</v>
      </c>
      <c r="Q2448" t="s">
        <v>5226</v>
      </c>
    </row>
    <row r="2449" spans="1:17" x14ac:dyDescent="0.3">
      <c r="A2449" t="s">
        <v>4664</v>
      </c>
      <c r="B2449" t="str">
        <f>"000713"</f>
        <v>000713</v>
      </c>
      <c r="C2449" t="s">
        <v>5227</v>
      </c>
      <c r="D2449" t="s">
        <v>706</v>
      </c>
      <c r="F2449">
        <v>1603262596</v>
      </c>
      <c r="G2449">
        <v>1636168113</v>
      </c>
      <c r="H2449">
        <v>1699973984</v>
      </c>
      <c r="I2449">
        <v>1094273468</v>
      </c>
      <c r="J2449">
        <v>863234136</v>
      </c>
      <c r="K2449">
        <v>654925417</v>
      </c>
      <c r="L2449">
        <v>670964554</v>
      </c>
      <c r="M2449">
        <v>957173344</v>
      </c>
      <c r="N2449">
        <v>1443006073</v>
      </c>
      <c r="O2449">
        <v>1311388823</v>
      </c>
      <c r="P2449">
        <v>237</v>
      </c>
      <c r="Q2449" t="s">
        <v>5228</v>
      </c>
    </row>
    <row r="2450" spans="1:17" x14ac:dyDescent="0.3">
      <c r="A2450" t="s">
        <v>4664</v>
      </c>
      <c r="B2450" t="str">
        <f>"000715"</f>
        <v>000715</v>
      </c>
      <c r="C2450" t="s">
        <v>5229</v>
      </c>
      <c r="D2450" t="s">
        <v>633</v>
      </c>
      <c r="F2450">
        <v>2217323993</v>
      </c>
      <c r="G2450">
        <v>1970468441</v>
      </c>
      <c r="H2450">
        <v>2293636732</v>
      </c>
      <c r="I2450">
        <v>2189461206</v>
      </c>
      <c r="J2450">
        <v>2093035332</v>
      </c>
      <c r="K2450">
        <v>2055833209</v>
      </c>
      <c r="L2450">
        <v>2515905292</v>
      </c>
      <c r="M2450">
        <v>2657020336</v>
      </c>
      <c r="N2450">
        <v>3064369602</v>
      </c>
      <c r="O2450">
        <v>3038467942</v>
      </c>
      <c r="P2450">
        <v>103</v>
      </c>
      <c r="Q2450" t="s">
        <v>5230</v>
      </c>
    </row>
    <row r="2451" spans="1:17" x14ac:dyDescent="0.3">
      <c r="A2451" t="s">
        <v>4664</v>
      </c>
      <c r="B2451" t="str">
        <f>"000716"</f>
        <v>000716</v>
      </c>
      <c r="C2451" t="s">
        <v>5231</v>
      </c>
      <c r="D2451" t="s">
        <v>2479</v>
      </c>
      <c r="F2451">
        <v>2655422771</v>
      </c>
      <c r="G2451">
        <v>2529813689</v>
      </c>
      <c r="H2451">
        <v>3266529678</v>
      </c>
      <c r="I2451">
        <v>2612081600</v>
      </c>
      <c r="J2451">
        <v>1768484472</v>
      </c>
      <c r="K2451">
        <v>1407935147</v>
      </c>
      <c r="L2451">
        <v>1232247226</v>
      </c>
      <c r="M2451">
        <v>1030812653</v>
      </c>
      <c r="N2451">
        <v>928862885</v>
      </c>
      <c r="O2451">
        <v>458965493</v>
      </c>
      <c r="P2451">
        <v>163</v>
      </c>
      <c r="Q2451" t="s">
        <v>5232</v>
      </c>
    </row>
    <row r="2452" spans="1:17" x14ac:dyDescent="0.3">
      <c r="A2452" t="s">
        <v>4664</v>
      </c>
      <c r="B2452" t="str">
        <f>"000717"</f>
        <v>000717</v>
      </c>
      <c r="C2452" t="s">
        <v>5233</v>
      </c>
      <c r="D2452" t="s">
        <v>531</v>
      </c>
      <c r="F2452">
        <v>35413517119</v>
      </c>
      <c r="G2452">
        <v>22027445803</v>
      </c>
      <c r="H2452">
        <v>24250900997</v>
      </c>
      <c r="I2452">
        <v>21450835014</v>
      </c>
      <c r="J2452">
        <v>19184952722</v>
      </c>
      <c r="K2452">
        <v>10387996839</v>
      </c>
      <c r="L2452">
        <v>10643716524</v>
      </c>
      <c r="M2452">
        <v>18390920506</v>
      </c>
      <c r="N2452">
        <v>15614960321</v>
      </c>
      <c r="O2452">
        <v>16293622522</v>
      </c>
      <c r="P2452">
        <v>681</v>
      </c>
      <c r="Q2452" t="s">
        <v>5234</v>
      </c>
    </row>
    <row r="2453" spans="1:17" x14ac:dyDescent="0.3">
      <c r="A2453" t="s">
        <v>4664</v>
      </c>
      <c r="B2453" t="str">
        <f>"000718"</f>
        <v>000718</v>
      </c>
      <c r="C2453" t="s">
        <v>5235</v>
      </c>
      <c r="D2453" t="s">
        <v>104</v>
      </c>
      <c r="F2453">
        <v>2528842360</v>
      </c>
      <c r="G2453">
        <v>1577457236</v>
      </c>
      <c r="H2453">
        <v>2454174507</v>
      </c>
      <c r="I2453">
        <v>2895892923</v>
      </c>
      <c r="J2453">
        <v>3005847364</v>
      </c>
      <c r="K2453">
        <v>6104208820</v>
      </c>
      <c r="L2453">
        <v>4820955471</v>
      </c>
      <c r="M2453">
        <v>3812556105</v>
      </c>
      <c r="N2453">
        <v>5450359786</v>
      </c>
      <c r="O2453">
        <v>5321042227</v>
      </c>
      <c r="P2453">
        <v>659</v>
      </c>
      <c r="Q2453" t="s">
        <v>5236</v>
      </c>
    </row>
    <row r="2454" spans="1:17" x14ac:dyDescent="0.3">
      <c r="A2454" t="s">
        <v>4664</v>
      </c>
      <c r="B2454" t="str">
        <f>"000719"</f>
        <v>000719</v>
      </c>
      <c r="C2454" t="s">
        <v>5237</v>
      </c>
      <c r="D2454" t="s">
        <v>525</v>
      </c>
      <c r="F2454">
        <v>6011086759</v>
      </c>
      <c r="G2454">
        <v>5951491235</v>
      </c>
      <c r="H2454">
        <v>5520962773</v>
      </c>
      <c r="I2454">
        <v>5571905705</v>
      </c>
      <c r="J2454">
        <v>4934450125</v>
      </c>
      <c r="K2454">
        <v>4754926576</v>
      </c>
      <c r="L2454">
        <v>4088746058</v>
      </c>
      <c r="M2454">
        <v>4301186878</v>
      </c>
      <c r="N2454">
        <v>1744353797</v>
      </c>
      <c r="O2454">
        <v>1588989813</v>
      </c>
      <c r="P2454">
        <v>695</v>
      </c>
      <c r="Q2454" t="s">
        <v>5238</v>
      </c>
    </row>
    <row r="2455" spans="1:17" x14ac:dyDescent="0.3">
      <c r="A2455" t="s">
        <v>4664</v>
      </c>
      <c r="B2455" t="str">
        <f>"000720"</f>
        <v>000720</v>
      </c>
      <c r="C2455" t="s">
        <v>5239</v>
      </c>
      <c r="D2455" t="s">
        <v>194</v>
      </c>
      <c r="F2455">
        <v>3589226855</v>
      </c>
      <c r="G2455">
        <v>1702068807</v>
      </c>
      <c r="H2455">
        <v>1839312811</v>
      </c>
      <c r="I2455">
        <v>2614543805</v>
      </c>
      <c r="J2455">
        <v>2090050873</v>
      </c>
      <c r="K2455">
        <v>1943955411</v>
      </c>
      <c r="L2455">
        <v>2624356604</v>
      </c>
      <c r="M2455">
        <v>2312796803</v>
      </c>
      <c r="N2455">
        <v>2411153290</v>
      </c>
      <c r="O2455">
        <v>2372319448</v>
      </c>
      <c r="P2455">
        <v>122</v>
      </c>
      <c r="Q2455" t="s">
        <v>5240</v>
      </c>
    </row>
    <row r="2456" spans="1:17" x14ac:dyDescent="0.3">
      <c r="A2456" t="s">
        <v>4664</v>
      </c>
      <c r="B2456" t="str">
        <f>"000721"</f>
        <v>000721</v>
      </c>
      <c r="C2456" t="s">
        <v>5241</v>
      </c>
      <c r="D2456" t="s">
        <v>3571</v>
      </c>
      <c r="F2456">
        <v>365614393</v>
      </c>
      <c r="G2456">
        <v>224773113</v>
      </c>
      <c r="H2456">
        <v>385661515</v>
      </c>
      <c r="I2456">
        <v>370141017</v>
      </c>
      <c r="J2456">
        <v>359339681</v>
      </c>
      <c r="K2456">
        <v>357989330</v>
      </c>
      <c r="L2456">
        <v>366220210</v>
      </c>
      <c r="M2456">
        <v>357547575</v>
      </c>
      <c r="N2456">
        <v>417582798</v>
      </c>
      <c r="O2456">
        <v>464124986</v>
      </c>
      <c r="P2456">
        <v>130</v>
      </c>
      <c r="Q2456" t="s">
        <v>5242</v>
      </c>
    </row>
    <row r="2457" spans="1:17" x14ac:dyDescent="0.3">
      <c r="A2457" t="s">
        <v>4664</v>
      </c>
      <c r="B2457" t="str">
        <f>"000722"</f>
        <v>000722</v>
      </c>
      <c r="C2457" t="s">
        <v>5243</v>
      </c>
      <c r="D2457" t="s">
        <v>66</v>
      </c>
      <c r="F2457">
        <v>291328026</v>
      </c>
      <c r="G2457">
        <v>184631024</v>
      </c>
      <c r="H2457">
        <v>262406524</v>
      </c>
      <c r="I2457">
        <v>190666635</v>
      </c>
      <c r="J2457">
        <v>232661364</v>
      </c>
      <c r="K2457">
        <v>270188635</v>
      </c>
      <c r="L2457">
        <v>205952741</v>
      </c>
      <c r="M2457">
        <v>245645102</v>
      </c>
      <c r="N2457">
        <v>194902700</v>
      </c>
      <c r="O2457">
        <v>209509800</v>
      </c>
      <c r="P2457">
        <v>104</v>
      </c>
      <c r="Q2457" t="s">
        <v>5244</v>
      </c>
    </row>
    <row r="2458" spans="1:17" x14ac:dyDescent="0.3">
      <c r="A2458" t="s">
        <v>4664</v>
      </c>
      <c r="B2458" t="str">
        <f>"000723"</f>
        <v>000723</v>
      </c>
      <c r="C2458" t="s">
        <v>5245</v>
      </c>
      <c r="D2458" t="s">
        <v>885</v>
      </c>
      <c r="F2458">
        <v>10020585044</v>
      </c>
      <c r="G2458">
        <v>4316798930</v>
      </c>
      <c r="H2458">
        <v>6222913901</v>
      </c>
      <c r="I2458">
        <v>4908928393</v>
      </c>
      <c r="J2458">
        <v>3452212026</v>
      </c>
      <c r="K2458">
        <v>2014620091</v>
      </c>
      <c r="L2458">
        <v>150618374</v>
      </c>
      <c r="M2458">
        <v>428185662</v>
      </c>
      <c r="N2458">
        <v>249177558</v>
      </c>
      <c r="O2458">
        <v>235361051</v>
      </c>
      <c r="P2458">
        <v>673</v>
      </c>
      <c r="Q2458" t="s">
        <v>5246</v>
      </c>
    </row>
    <row r="2459" spans="1:17" x14ac:dyDescent="0.3">
      <c r="A2459" t="s">
        <v>4664</v>
      </c>
      <c r="B2459" t="str">
        <f>"000725"</f>
        <v>000725</v>
      </c>
      <c r="C2459" t="s">
        <v>5247</v>
      </c>
      <c r="D2459" t="s">
        <v>1117</v>
      </c>
      <c r="F2459">
        <v>162808942107</v>
      </c>
      <c r="G2459">
        <v>106805169135</v>
      </c>
      <c r="H2459">
        <v>90795247871</v>
      </c>
      <c r="I2459">
        <v>60772530957</v>
      </c>
      <c r="J2459">
        <v>68660537726</v>
      </c>
      <c r="K2459">
        <v>36623911272</v>
      </c>
      <c r="L2459">
        <v>36345984473</v>
      </c>
      <c r="M2459">
        <v>26232696940</v>
      </c>
      <c r="N2459">
        <v>24110584754</v>
      </c>
      <c r="O2459">
        <v>14319558754</v>
      </c>
      <c r="P2459">
        <v>4544</v>
      </c>
      <c r="Q2459" t="s">
        <v>5248</v>
      </c>
    </row>
    <row r="2460" spans="1:17" x14ac:dyDescent="0.3">
      <c r="A2460" t="s">
        <v>4664</v>
      </c>
      <c r="B2460" t="str">
        <f>"000726"</f>
        <v>000726</v>
      </c>
      <c r="C2460" t="s">
        <v>5249</v>
      </c>
      <c r="D2460" t="s">
        <v>1009</v>
      </c>
      <c r="F2460">
        <v>3442267637</v>
      </c>
      <c r="G2460">
        <v>3384654491</v>
      </c>
      <c r="H2460">
        <v>4697089851</v>
      </c>
      <c r="I2460">
        <v>4919565087</v>
      </c>
      <c r="J2460">
        <v>4572921342</v>
      </c>
      <c r="K2460">
        <v>4451363023</v>
      </c>
      <c r="L2460">
        <v>4664920574</v>
      </c>
      <c r="M2460">
        <v>4739038472</v>
      </c>
      <c r="N2460">
        <v>4677517729</v>
      </c>
      <c r="O2460">
        <v>4107295281</v>
      </c>
      <c r="P2460">
        <v>980</v>
      </c>
      <c r="Q2460" t="s">
        <v>5250</v>
      </c>
    </row>
    <row r="2461" spans="1:17" x14ac:dyDescent="0.3">
      <c r="A2461" t="s">
        <v>4664</v>
      </c>
      <c r="B2461" t="str">
        <f>"000727"</f>
        <v>000727</v>
      </c>
      <c r="C2461" t="s">
        <v>5251</v>
      </c>
      <c r="D2461" t="s">
        <v>1117</v>
      </c>
      <c r="F2461">
        <v>49662900266</v>
      </c>
      <c r="G2461">
        <v>4286979820</v>
      </c>
      <c r="H2461">
        <v>3762406414</v>
      </c>
      <c r="I2461">
        <v>3919345961</v>
      </c>
      <c r="J2461">
        <v>3876512827</v>
      </c>
      <c r="K2461">
        <v>767212574</v>
      </c>
      <c r="L2461">
        <v>619196859</v>
      </c>
      <c r="M2461">
        <v>681286426</v>
      </c>
      <c r="N2461">
        <v>566164981</v>
      </c>
      <c r="O2461">
        <v>626774030</v>
      </c>
      <c r="P2461">
        <v>197</v>
      </c>
      <c r="Q2461" t="s">
        <v>5252</v>
      </c>
    </row>
    <row r="2462" spans="1:17" x14ac:dyDescent="0.3">
      <c r="A2462" t="s">
        <v>4664</v>
      </c>
      <c r="B2462" t="str">
        <f>"000728"</f>
        <v>000728</v>
      </c>
      <c r="C2462" t="s">
        <v>5253</v>
      </c>
      <c r="D2462" t="s">
        <v>80</v>
      </c>
      <c r="P2462">
        <v>1900</v>
      </c>
      <c r="Q2462" t="s">
        <v>5254</v>
      </c>
    </row>
    <row r="2463" spans="1:17" x14ac:dyDescent="0.3">
      <c r="A2463" t="s">
        <v>4664</v>
      </c>
      <c r="B2463" t="str">
        <f>"000729"</f>
        <v>000729</v>
      </c>
      <c r="C2463" t="s">
        <v>5255</v>
      </c>
      <c r="D2463" t="s">
        <v>319</v>
      </c>
      <c r="F2463">
        <v>12755578966</v>
      </c>
      <c r="G2463">
        <v>10879689935</v>
      </c>
      <c r="H2463">
        <v>12064382497</v>
      </c>
      <c r="I2463">
        <v>11890088905</v>
      </c>
      <c r="J2463">
        <v>12095430537</v>
      </c>
      <c r="K2463">
        <v>12515794479</v>
      </c>
      <c r="L2463">
        <v>12752161466</v>
      </c>
      <c r="M2463">
        <v>15188716597</v>
      </c>
      <c r="N2463">
        <v>15056057989</v>
      </c>
      <c r="O2463">
        <v>14428354131</v>
      </c>
      <c r="P2463">
        <v>607</v>
      </c>
      <c r="Q2463" t="s">
        <v>5256</v>
      </c>
    </row>
    <row r="2464" spans="1:17" x14ac:dyDescent="0.3">
      <c r="A2464" t="s">
        <v>4664</v>
      </c>
      <c r="B2464" t="str">
        <f>"000730"</f>
        <v>000730</v>
      </c>
      <c r="C2464" t="s">
        <v>5257</v>
      </c>
      <c r="K2464">
        <v>196971893.88</v>
      </c>
      <c r="L2464">
        <v>225276628.84</v>
      </c>
      <c r="P2464">
        <v>4</v>
      </c>
      <c r="Q2464" t="s">
        <v>5258</v>
      </c>
    </row>
    <row r="2465" spans="1:17" x14ac:dyDescent="0.3">
      <c r="A2465" t="s">
        <v>4664</v>
      </c>
      <c r="B2465" t="str">
        <f>"000731"</f>
        <v>000731</v>
      </c>
      <c r="C2465" t="s">
        <v>5259</v>
      </c>
      <c r="D2465" t="s">
        <v>909</v>
      </c>
      <c r="F2465">
        <v>2786208127</v>
      </c>
      <c r="G2465">
        <v>1882907087</v>
      </c>
      <c r="H2465">
        <v>2149558108</v>
      </c>
      <c r="I2465">
        <v>1971654688</v>
      </c>
      <c r="J2465">
        <v>1607415641</v>
      </c>
      <c r="K2465">
        <v>1703088022</v>
      </c>
      <c r="L2465">
        <v>2548005991</v>
      </c>
      <c r="M2465">
        <v>3687738614</v>
      </c>
      <c r="N2465">
        <v>4625722982</v>
      </c>
      <c r="O2465">
        <v>5674494256</v>
      </c>
      <c r="P2465">
        <v>127</v>
      </c>
      <c r="Q2465" t="s">
        <v>5260</v>
      </c>
    </row>
    <row r="2466" spans="1:17" x14ac:dyDescent="0.3">
      <c r="A2466" t="s">
        <v>4664</v>
      </c>
      <c r="B2466" t="str">
        <f>"000732"</f>
        <v>000732</v>
      </c>
      <c r="C2466" t="s">
        <v>5261</v>
      </c>
      <c r="D2466" t="s">
        <v>104</v>
      </c>
      <c r="F2466">
        <v>2314394775</v>
      </c>
      <c r="G2466">
        <v>7900894405</v>
      </c>
      <c r="H2466">
        <v>40287629797</v>
      </c>
      <c r="I2466">
        <v>31392816821</v>
      </c>
      <c r="J2466">
        <v>20813976016</v>
      </c>
      <c r="K2466">
        <v>15801887792</v>
      </c>
      <c r="L2466">
        <v>12312802203</v>
      </c>
      <c r="M2466">
        <v>9058979780</v>
      </c>
      <c r="N2466">
        <v>5860024725</v>
      </c>
      <c r="O2466">
        <v>3122259136</v>
      </c>
      <c r="P2466">
        <v>438</v>
      </c>
      <c r="Q2466" t="s">
        <v>5262</v>
      </c>
    </row>
    <row r="2467" spans="1:17" x14ac:dyDescent="0.3">
      <c r="A2467" t="s">
        <v>4664</v>
      </c>
      <c r="B2467" t="str">
        <f>"000733"</f>
        <v>000733</v>
      </c>
      <c r="C2467" t="s">
        <v>5263</v>
      </c>
      <c r="D2467" t="s">
        <v>1136</v>
      </c>
      <c r="F2467">
        <v>3403943548</v>
      </c>
      <c r="G2467">
        <v>1780196206</v>
      </c>
      <c r="H2467">
        <v>1945473093</v>
      </c>
      <c r="I2467">
        <v>3676371580</v>
      </c>
      <c r="J2467">
        <v>4956496543</v>
      </c>
      <c r="K2467">
        <v>4392611442</v>
      </c>
      <c r="L2467">
        <v>2683906153</v>
      </c>
      <c r="M2467">
        <v>2525537920</v>
      </c>
      <c r="N2467">
        <v>1638034938</v>
      </c>
      <c r="O2467">
        <v>1581274146</v>
      </c>
      <c r="P2467">
        <v>490</v>
      </c>
      <c r="Q2467" t="s">
        <v>5264</v>
      </c>
    </row>
    <row r="2468" spans="1:17" x14ac:dyDescent="0.3">
      <c r="A2468" t="s">
        <v>4664</v>
      </c>
      <c r="B2468" t="str">
        <f>"000735"</f>
        <v>000735</v>
      </c>
      <c r="C2468" t="s">
        <v>5265</v>
      </c>
      <c r="D2468" t="s">
        <v>1894</v>
      </c>
      <c r="F2468">
        <v>3234988136</v>
      </c>
      <c r="G2468">
        <v>1832442080</v>
      </c>
      <c r="H2468">
        <v>679676888</v>
      </c>
      <c r="I2468">
        <v>741819356</v>
      </c>
      <c r="J2468">
        <v>929551643</v>
      </c>
      <c r="K2468">
        <v>875296880</v>
      </c>
      <c r="L2468">
        <v>735892698</v>
      </c>
      <c r="M2468">
        <v>879655591</v>
      </c>
      <c r="N2468">
        <v>1044983311</v>
      </c>
      <c r="O2468">
        <v>790815159</v>
      </c>
      <c r="P2468">
        <v>290</v>
      </c>
      <c r="Q2468" t="s">
        <v>5266</v>
      </c>
    </row>
    <row r="2469" spans="1:17" x14ac:dyDescent="0.3">
      <c r="A2469" t="s">
        <v>4664</v>
      </c>
      <c r="B2469" t="str">
        <f>"000736"</f>
        <v>000736</v>
      </c>
      <c r="C2469" t="s">
        <v>5267</v>
      </c>
      <c r="D2469" t="s">
        <v>104</v>
      </c>
      <c r="F2469">
        <v>26122014535</v>
      </c>
      <c r="G2469">
        <v>12939407544</v>
      </c>
      <c r="H2469">
        <v>4896034767</v>
      </c>
      <c r="I2469">
        <v>11953894527</v>
      </c>
      <c r="J2469">
        <v>6313681087</v>
      </c>
      <c r="K2469">
        <v>2944852427</v>
      </c>
      <c r="L2469">
        <v>920071797</v>
      </c>
      <c r="M2469">
        <v>344730234</v>
      </c>
      <c r="N2469">
        <v>752984491</v>
      </c>
      <c r="O2469">
        <v>580953987</v>
      </c>
      <c r="P2469">
        <v>189</v>
      </c>
      <c r="Q2469" t="s">
        <v>5268</v>
      </c>
    </row>
    <row r="2470" spans="1:17" x14ac:dyDescent="0.3">
      <c r="A2470" t="s">
        <v>4664</v>
      </c>
      <c r="B2470" t="str">
        <f>"000737"</f>
        <v>000737</v>
      </c>
      <c r="C2470" t="s">
        <v>5269</v>
      </c>
      <c r="D2470" t="s">
        <v>736</v>
      </c>
      <c r="F2470">
        <v>704418396</v>
      </c>
      <c r="G2470">
        <v>637699535</v>
      </c>
      <c r="H2470">
        <v>641750787</v>
      </c>
      <c r="I2470">
        <v>1322453365</v>
      </c>
      <c r="J2470">
        <v>1255863850</v>
      </c>
      <c r="K2470">
        <v>1283099176</v>
      </c>
      <c r="L2470">
        <v>1378499004</v>
      </c>
      <c r="M2470">
        <v>1723622516</v>
      </c>
      <c r="N2470">
        <v>1856436279</v>
      </c>
      <c r="O2470">
        <v>1942051520</v>
      </c>
      <c r="P2470">
        <v>83</v>
      </c>
      <c r="Q2470" t="s">
        <v>5270</v>
      </c>
    </row>
    <row r="2471" spans="1:17" x14ac:dyDescent="0.3">
      <c r="A2471" t="s">
        <v>4664</v>
      </c>
      <c r="B2471" t="str">
        <f>"000738"</f>
        <v>000738</v>
      </c>
      <c r="C2471" t="s">
        <v>5271</v>
      </c>
      <c r="D2471" t="s">
        <v>98</v>
      </c>
      <c r="F2471">
        <v>2952687273</v>
      </c>
      <c r="G2471">
        <v>1728570558</v>
      </c>
      <c r="H2471">
        <v>1582767542</v>
      </c>
      <c r="I2471">
        <v>1291410498</v>
      </c>
      <c r="J2471">
        <v>1612605653</v>
      </c>
      <c r="K2471">
        <v>1563323529</v>
      </c>
      <c r="L2471">
        <v>1284837731</v>
      </c>
      <c r="M2471">
        <v>1401563513</v>
      </c>
      <c r="N2471">
        <v>1173750483</v>
      </c>
      <c r="O2471">
        <v>1145414468</v>
      </c>
      <c r="P2471">
        <v>324</v>
      </c>
      <c r="Q2471" t="s">
        <v>5272</v>
      </c>
    </row>
    <row r="2472" spans="1:17" x14ac:dyDescent="0.3">
      <c r="A2472" t="s">
        <v>4664</v>
      </c>
      <c r="B2472" t="str">
        <f>"000739"</f>
        <v>000739</v>
      </c>
      <c r="C2472" t="s">
        <v>5273</v>
      </c>
      <c r="D2472" t="s">
        <v>496</v>
      </c>
      <c r="F2472">
        <v>4642175228</v>
      </c>
      <c r="G2472">
        <v>4071926949</v>
      </c>
      <c r="H2472">
        <v>3880369191</v>
      </c>
      <c r="I2472">
        <v>4733748068</v>
      </c>
      <c r="J2472">
        <v>4142816679</v>
      </c>
      <c r="K2472">
        <v>3312398374</v>
      </c>
      <c r="L2472">
        <v>3269497034</v>
      </c>
      <c r="M2472">
        <v>3194540212</v>
      </c>
      <c r="N2472">
        <v>3120764367</v>
      </c>
      <c r="O2472">
        <v>1420353813</v>
      </c>
      <c r="P2472">
        <v>758</v>
      </c>
      <c r="Q2472" t="s">
        <v>5274</v>
      </c>
    </row>
    <row r="2473" spans="1:17" x14ac:dyDescent="0.3">
      <c r="A2473" t="s">
        <v>4664</v>
      </c>
      <c r="B2473" t="str">
        <f>"000748"</f>
        <v>000748</v>
      </c>
      <c r="C2473" t="s">
        <v>5275</v>
      </c>
      <c r="K2473">
        <v>1006059963.05</v>
      </c>
      <c r="L2473">
        <v>1004092628.97</v>
      </c>
      <c r="M2473">
        <v>832244929.74000001</v>
      </c>
      <c r="N2473">
        <v>645922273.15999997</v>
      </c>
      <c r="O2473">
        <v>794143077.33000004</v>
      </c>
      <c r="P2473">
        <v>8</v>
      </c>
      <c r="Q2473" t="s">
        <v>5276</v>
      </c>
    </row>
    <row r="2474" spans="1:17" x14ac:dyDescent="0.3">
      <c r="A2474" t="s">
        <v>4664</v>
      </c>
      <c r="B2474" t="str">
        <f>"000750"</f>
        <v>000750</v>
      </c>
      <c r="C2474" t="s">
        <v>5277</v>
      </c>
      <c r="D2474" t="s">
        <v>80</v>
      </c>
      <c r="P2474">
        <v>1038</v>
      </c>
      <c r="Q2474" t="s">
        <v>5278</v>
      </c>
    </row>
    <row r="2475" spans="1:17" x14ac:dyDescent="0.3">
      <c r="A2475" t="s">
        <v>4664</v>
      </c>
      <c r="B2475" t="str">
        <f>"000751"</f>
        <v>000751</v>
      </c>
      <c r="C2475" t="s">
        <v>5279</v>
      </c>
      <c r="D2475" t="s">
        <v>744</v>
      </c>
      <c r="F2475">
        <v>10680044488</v>
      </c>
      <c r="G2475">
        <v>5814732789</v>
      </c>
      <c r="H2475">
        <v>6299921501</v>
      </c>
      <c r="I2475">
        <v>6884586738</v>
      </c>
      <c r="J2475">
        <v>5216762121</v>
      </c>
      <c r="K2475">
        <v>3768014176</v>
      </c>
      <c r="L2475">
        <v>3429938181</v>
      </c>
      <c r="M2475">
        <v>3039577566</v>
      </c>
      <c r="N2475">
        <v>3039779706</v>
      </c>
      <c r="O2475">
        <v>4366069662</v>
      </c>
      <c r="P2475">
        <v>128</v>
      </c>
      <c r="Q2475" t="s">
        <v>5280</v>
      </c>
    </row>
    <row r="2476" spans="1:17" x14ac:dyDescent="0.3">
      <c r="A2476" t="s">
        <v>4664</v>
      </c>
      <c r="B2476" t="str">
        <f>"000752"</f>
        <v>000752</v>
      </c>
      <c r="C2476" t="s">
        <v>5281</v>
      </c>
      <c r="D2476" t="s">
        <v>319</v>
      </c>
      <c r="F2476">
        <v>308213091</v>
      </c>
      <c r="G2476">
        <v>326856535</v>
      </c>
      <c r="H2476">
        <v>240768799</v>
      </c>
      <c r="I2476">
        <v>308836476</v>
      </c>
      <c r="J2476">
        <v>319186239</v>
      </c>
      <c r="K2476">
        <v>324907209</v>
      </c>
      <c r="L2476">
        <v>350853951</v>
      </c>
      <c r="M2476">
        <v>348075078</v>
      </c>
      <c r="N2476">
        <v>405412002</v>
      </c>
      <c r="O2476">
        <v>429935558</v>
      </c>
      <c r="P2476">
        <v>103</v>
      </c>
      <c r="Q2476" t="s">
        <v>5282</v>
      </c>
    </row>
    <row r="2477" spans="1:17" x14ac:dyDescent="0.3">
      <c r="A2477" t="s">
        <v>4664</v>
      </c>
      <c r="B2477" t="str">
        <f>"000753"</f>
        <v>000753</v>
      </c>
      <c r="C2477" t="s">
        <v>5283</v>
      </c>
      <c r="D2477" t="s">
        <v>110</v>
      </c>
      <c r="F2477">
        <v>1898544052</v>
      </c>
      <c r="G2477">
        <v>2067990242</v>
      </c>
      <c r="H2477">
        <v>2166675996</v>
      </c>
      <c r="I2477">
        <v>2401182827</v>
      </c>
      <c r="J2477">
        <v>2733586074</v>
      </c>
      <c r="K2477">
        <v>2757128548</v>
      </c>
      <c r="L2477">
        <v>2656247284</v>
      </c>
      <c r="M2477">
        <v>2794872668</v>
      </c>
      <c r="N2477">
        <v>2728599681</v>
      </c>
      <c r="O2477">
        <v>2462270700</v>
      </c>
      <c r="P2477">
        <v>85</v>
      </c>
      <c r="Q2477" t="s">
        <v>5284</v>
      </c>
    </row>
    <row r="2478" spans="1:17" x14ac:dyDescent="0.3">
      <c r="A2478" t="s">
        <v>4664</v>
      </c>
      <c r="B2478" t="str">
        <f>"000755"</f>
        <v>000755</v>
      </c>
      <c r="C2478" t="s">
        <v>5285</v>
      </c>
      <c r="D2478" t="s">
        <v>44</v>
      </c>
      <c r="F2478">
        <v>1302090765</v>
      </c>
      <c r="G2478">
        <v>377390582</v>
      </c>
      <c r="H2478">
        <v>591913213</v>
      </c>
      <c r="I2478">
        <v>815473903</v>
      </c>
      <c r="J2478">
        <v>1625804180</v>
      </c>
      <c r="K2478">
        <v>2473748245</v>
      </c>
      <c r="L2478">
        <v>3610086057</v>
      </c>
      <c r="M2478">
        <v>3732621887</v>
      </c>
      <c r="N2478">
        <v>4480185061</v>
      </c>
      <c r="O2478">
        <v>4639670697</v>
      </c>
      <c r="P2478">
        <v>96</v>
      </c>
      <c r="Q2478" t="s">
        <v>5286</v>
      </c>
    </row>
    <row r="2479" spans="1:17" x14ac:dyDescent="0.3">
      <c r="A2479" t="s">
        <v>4664</v>
      </c>
      <c r="B2479" t="str">
        <f>"000756"</f>
        <v>000756</v>
      </c>
      <c r="C2479" t="s">
        <v>5287</v>
      </c>
      <c r="D2479" t="s">
        <v>496</v>
      </c>
      <c r="F2479">
        <v>4025094947</v>
      </c>
      <c r="G2479">
        <v>4068616496</v>
      </c>
      <c r="H2479">
        <v>3581713715</v>
      </c>
      <c r="I2479">
        <v>3055569905</v>
      </c>
      <c r="J2479">
        <v>2433002738</v>
      </c>
      <c r="K2479">
        <v>2091464552</v>
      </c>
      <c r="L2479">
        <v>1842217570</v>
      </c>
      <c r="M2479">
        <v>1685314220</v>
      </c>
      <c r="N2479">
        <v>1562528784</v>
      </c>
      <c r="O2479">
        <v>1497611797</v>
      </c>
      <c r="P2479">
        <v>218</v>
      </c>
      <c r="Q2479" t="s">
        <v>5288</v>
      </c>
    </row>
    <row r="2480" spans="1:17" x14ac:dyDescent="0.3">
      <c r="A2480" t="s">
        <v>4664</v>
      </c>
      <c r="B2480" t="str">
        <f>"000757"</f>
        <v>000757</v>
      </c>
      <c r="C2480" t="s">
        <v>5289</v>
      </c>
      <c r="D2480" t="s">
        <v>2359</v>
      </c>
      <c r="F2480">
        <v>3635554676</v>
      </c>
      <c r="G2480">
        <v>3064084201</v>
      </c>
      <c r="H2480">
        <v>3327681480</v>
      </c>
      <c r="I2480">
        <v>451296821</v>
      </c>
      <c r="J2480">
        <v>511627289</v>
      </c>
      <c r="K2480">
        <v>367138394</v>
      </c>
      <c r="L2480">
        <v>322216805</v>
      </c>
      <c r="M2480">
        <v>327487958</v>
      </c>
      <c r="N2480">
        <v>364568678</v>
      </c>
      <c r="O2480">
        <v>407072387</v>
      </c>
      <c r="P2480">
        <v>88</v>
      </c>
      <c r="Q2480" t="s">
        <v>5290</v>
      </c>
    </row>
    <row r="2481" spans="1:17" x14ac:dyDescent="0.3">
      <c r="A2481" t="s">
        <v>4664</v>
      </c>
      <c r="B2481" t="str">
        <f>"000758"</f>
        <v>000758</v>
      </c>
      <c r="C2481" t="s">
        <v>5291</v>
      </c>
      <c r="D2481" t="s">
        <v>744</v>
      </c>
      <c r="F2481">
        <v>6577188669</v>
      </c>
      <c r="G2481">
        <v>4554841696</v>
      </c>
      <c r="H2481">
        <v>9289136473</v>
      </c>
      <c r="I2481">
        <v>13264749521</v>
      </c>
      <c r="J2481">
        <v>15888150191</v>
      </c>
      <c r="K2481">
        <v>12354628739</v>
      </c>
      <c r="L2481">
        <v>14149347177</v>
      </c>
      <c r="M2481">
        <v>11657523628</v>
      </c>
      <c r="N2481">
        <v>12833936991</v>
      </c>
      <c r="O2481">
        <v>9214014572</v>
      </c>
      <c r="P2481">
        <v>177</v>
      </c>
      <c r="Q2481" t="s">
        <v>5292</v>
      </c>
    </row>
    <row r="2482" spans="1:17" x14ac:dyDescent="0.3">
      <c r="A2482" t="s">
        <v>4664</v>
      </c>
      <c r="B2482" t="str">
        <f>"000759"</f>
        <v>000759</v>
      </c>
      <c r="C2482" t="s">
        <v>5293</v>
      </c>
      <c r="D2482" t="s">
        <v>798</v>
      </c>
      <c r="F2482">
        <v>10969962561</v>
      </c>
      <c r="G2482">
        <v>12702416953</v>
      </c>
      <c r="H2482">
        <v>13807030681</v>
      </c>
      <c r="I2482">
        <v>13551313976</v>
      </c>
      <c r="J2482">
        <v>13310222479</v>
      </c>
      <c r="K2482">
        <v>13720752823</v>
      </c>
      <c r="L2482">
        <v>14817401915</v>
      </c>
      <c r="M2482">
        <v>15316228581</v>
      </c>
      <c r="N2482">
        <v>14715217390</v>
      </c>
      <c r="O2482">
        <v>14284380231</v>
      </c>
      <c r="P2482">
        <v>153</v>
      </c>
      <c r="Q2482" t="s">
        <v>5294</v>
      </c>
    </row>
    <row r="2483" spans="1:17" x14ac:dyDescent="0.3">
      <c r="A2483" t="s">
        <v>4664</v>
      </c>
      <c r="B2483" t="str">
        <f>"000760"</f>
        <v>000760</v>
      </c>
      <c r="C2483" t="s">
        <v>5295</v>
      </c>
      <c r="G2483">
        <v>3783124</v>
      </c>
      <c r="H2483">
        <v>6906698</v>
      </c>
      <c r="I2483">
        <v>184045222</v>
      </c>
      <c r="J2483">
        <v>170048696</v>
      </c>
      <c r="K2483">
        <v>147588243</v>
      </c>
      <c r="L2483">
        <v>222674944</v>
      </c>
      <c r="M2483">
        <v>593522894</v>
      </c>
      <c r="N2483">
        <v>281361796</v>
      </c>
      <c r="O2483">
        <v>535888292</v>
      </c>
      <c r="P2483">
        <v>59</v>
      </c>
      <c r="Q2483" t="s">
        <v>5296</v>
      </c>
    </row>
    <row r="2484" spans="1:17" x14ac:dyDescent="0.3">
      <c r="A2484" t="s">
        <v>4664</v>
      </c>
      <c r="B2484" t="str">
        <f>"000761"</f>
        <v>000761</v>
      </c>
      <c r="C2484" t="s">
        <v>5297</v>
      </c>
      <c r="D2484" t="s">
        <v>38</v>
      </c>
      <c r="F2484">
        <v>41226627487</v>
      </c>
      <c r="G2484">
        <v>25444022451</v>
      </c>
      <c r="H2484">
        <v>26790594559</v>
      </c>
      <c r="I2484">
        <v>26188229365</v>
      </c>
      <c r="J2484">
        <v>21053946910</v>
      </c>
      <c r="K2484">
        <v>16580702769</v>
      </c>
      <c r="L2484">
        <v>16266245235</v>
      </c>
      <c r="M2484">
        <v>22269972032</v>
      </c>
      <c r="N2484">
        <v>25039070990</v>
      </c>
      <c r="O2484">
        <v>23274489879</v>
      </c>
      <c r="P2484">
        <v>237</v>
      </c>
      <c r="Q2484" t="s">
        <v>5298</v>
      </c>
    </row>
    <row r="2485" spans="1:17" x14ac:dyDescent="0.3">
      <c r="A2485" t="s">
        <v>4664</v>
      </c>
      <c r="B2485" t="str">
        <f>"000762"</f>
        <v>000762</v>
      </c>
      <c r="C2485" t="s">
        <v>5299</v>
      </c>
      <c r="D2485" t="s">
        <v>5300</v>
      </c>
      <c r="F2485">
        <v>430664255</v>
      </c>
      <c r="G2485">
        <v>403062051</v>
      </c>
      <c r="H2485">
        <v>500564860</v>
      </c>
      <c r="I2485">
        <v>438722695</v>
      </c>
      <c r="J2485">
        <v>365770963</v>
      </c>
      <c r="K2485">
        <v>655887275</v>
      </c>
      <c r="L2485">
        <v>690553772</v>
      </c>
      <c r="M2485">
        <v>418093322</v>
      </c>
      <c r="N2485">
        <v>454239401</v>
      </c>
      <c r="O2485">
        <v>389820059</v>
      </c>
      <c r="P2485">
        <v>257</v>
      </c>
      <c r="Q2485" t="s">
        <v>5301</v>
      </c>
    </row>
    <row r="2486" spans="1:17" x14ac:dyDescent="0.3">
      <c r="A2486" t="s">
        <v>4664</v>
      </c>
      <c r="B2486" t="str">
        <f>"000765"</f>
        <v>000765</v>
      </c>
      <c r="C2486" t="s">
        <v>5302</v>
      </c>
      <c r="K2486">
        <v>381402911.88999999</v>
      </c>
      <c r="L2486">
        <v>174000</v>
      </c>
      <c r="M2486">
        <v>3356533</v>
      </c>
      <c r="N2486">
        <v>4009200</v>
      </c>
      <c r="O2486">
        <v>3925200</v>
      </c>
      <c r="P2486">
        <v>4</v>
      </c>
      <c r="Q2486" t="s">
        <v>5303</v>
      </c>
    </row>
    <row r="2487" spans="1:17" x14ac:dyDescent="0.3">
      <c r="A2487" t="s">
        <v>4664</v>
      </c>
      <c r="B2487" t="str">
        <f>"000766"</f>
        <v>000766</v>
      </c>
      <c r="C2487" t="s">
        <v>5304</v>
      </c>
      <c r="D2487" t="s">
        <v>143</v>
      </c>
      <c r="F2487">
        <v>1116609141</v>
      </c>
      <c r="G2487">
        <v>918491973</v>
      </c>
      <c r="H2487">
        <v>1481043406</v>
      </c>
      <c r="I2487">
        <v>1408613638</v>
      </c>
      <c r="J2487">
        <v>895608028</v>
      </c>
      <c r="K2487">
        <v>451064905</v>
      </c>
      <c r="L2487">
        <v>147012363</v>
      </c>
      <c r="M2487">
        <v>130719153</v>
      </c>
      <c r="N2487">
        <v>128570706</v>
      </c>
      <c r="O2487">
        <v>79525738</v>
      </c>
      <c r="P2487">
        <v>146</v>
      </c>
      <c r="Q2487" t="s">
        <v>5305</v>
      </c>
    </row>
    <row r="2488" spans="1:17" x14ac:dyDescent="0.3">
      <c r="A2488" t="s">
        <v>4664</v>
      </c>
      <c r="B2488" t="str">
        <f>"000767"</f>
        <v>000767</v>
      </c>
      <c r="C2488" t="s">
        <v>5306</v>
      </c>
      <c r="D2488" t="s">
        <v>41</v>
      </c>
      <c r="F2488">
        <v>8555223335</v>
      </c>
      <c r="G2488">
        <v>7307575400</v>
      </c>
      <c r="H2488">
        <v>8533488795</v>
      </c>
      <c r="I2488">
        <v>7949182137</v>
      </c>
      <c r="J2488">
        <v>6564746013</v>
      </c>
      <c r="K2488">
        <v>6062046023</v>
      </c>
      <c r="L2488">
        <v>7577314722</v>
      </c>
      <c r="M2488">
        <v>8522312006</v>
      </c>
      <c r="N2488">
        <v>7643890904</v>
      </c>
      <c r="O2488">
        <v>3808847261</v>
      </c>
      <c r="P2488">
        <v>173</v>
      </c>
      <c r="Q2488" t="s">
        <v>5307</v>
      </c>
    </row>
    <row r="2489" spans="1:17" x14ac:dyDescent="0.3">
      <c r="A2489" t="s">
        <v>4664</v>
      </c>
      <c r="B2489" t="str">
        <f>"000768"</f>
        <v>000768</v>
      </c>
      <c r="C2489" t="s">
        <v>5308</v>
      </c>
      <c r="D2489" t="s">
        <v>98</v>
      </c>
      <c r="F2489">
        <v>5716931230</v>
      </c>
      <c r="G2489">
        <v>13798910982</v>
      </c>
      <c r="H2489">
        <v>13709837971</v>
      </c>
      <c r="I2489">
        <v>13311734713</v>
      </c>
      <c r="J2489">
        <v>13948013879</v>
      </c>
      <c r="K2489">
        <v>10671456560</v>
      </c>
      <c r="L2489">
        <v>12511482270</v>
      </c>
      <c r="M2489">
        <v>8772548577</v>
      </c>
      <c r="N2489">
        <v>6026043852</v>
      </c>
      <c r="O2489">
        <v>5097146443</v>
      </c>
      <c r="P2489">
        <v>662</v>
      </c>
      <c r="Q2489" t="s">
        <v>5309</v>
      </c>
    </row>
    <row r="2490" spans="1:17" x14ac:dyDescent="0.3">
      <c r="A2490" t="s">
        <v>4664</v>
      </c>
      <c r="B2490" t="str">
        <f>"000776"</f>
        <v>000776</v>
      </c>
      <c r="C2490" t="s">
        <v>5310</v>
      </c>
      <c r="D2490" t="s">
        <v>80</v>
      </c>
      <c r="P2490">
        <v>3522</v>
      </c>
      <c r="Q2490" t="s">
        <v>5311</v>
      </c>
    </row>
    <row r="2491" spans="1:17" x14ac:dyDescent="0.3">
      <c r="A2491" t="s">
        <v>4664</v>
      </c>
      <c r="B2491" t="str">
        <f>"000777"</f>
        <v>000777</v>
      </c>
      <c r="C2491" t="s">
        <v>5312</v>
      </c>
      <c r="D2491" t="s">
        <v>274</v>
      </c>
      <c r="F2491">
        <v>782892939</v>
      </c>
      <c r="G2491">
        <v>693108913</v>
      </c>
      <c r="H2491">
        <v>628632886</v>
      </c>
      <c r="I2491">
        <v>527500145</v>
      </c>
      <c r="J2491">
        <v>485771992</v>
      </c>
      <c r="K2491">
        <v>481933386</v>
      </c>
      <c r="L2491">
        <v>640799588</v>
      </c>
      <c r="M2491">
        <v>602180227</v>
      </c>
      <c r="N2491">
        <v>688843224</v>
      </c>
      <c r="O2491">
        <v>530321411</v>
      </c>
      <c r="P2491">
        <v>131</v>
      </c>
      <c r="Q2491" t="s">
        <v>5313</v>
      </c>
    </row>
    <row r="2492" spans="1:17" x14ac:dyDescent="0.3">
      <c r="A2492" t="s">
        <v>4664</v>
      </c>
      <c r="B2492" t="str">
        <f>"000778"</f>
        <v>000778</v>
      </c>
      <c r="C2492" t="s">
        <v>5314</v>
      </c>
      <c r="D2492" t="s">
        <v>2229</v>
      </c>
      <c r="F2492">
        <v>38379950891</v>
      </c>
      <c r="G2492">
        <v>27792422843</v>
      </c>
      <c r="H2492">
        <v>30401277953</v>
      </c>
      <c r="I2492">
        <v>27783709736</v>
      </c>
      <c r="J2492">
        <v>29396870179</v>
      </c>
      <c r="K2492">
        <v>26931565457</v>
      </c>
      <c r="L2492">
        <v>25310266375</v>
      </c>
      <c r="M2492">
        <v>36279092497</v>
      </c>
      <c r="N2492">
        <v>33052344468</v>
      </c>
      <c r="O2492">
        <v>36789350952</v>
      </c>
      <c r="P2492">
        <v>674</v>
      </c>
      <c r="Q2492" t="s">
        <v>5315</v>
      </c>
    </row>
    <row r="2493" spans="1:17" x14ac:dyDescent="0.3">
      <c r="A2493" t="s">
        <v>4664</v>
      </c>
      <c r="B2493" t="str">
        <f>"000779"</f>
        <v>000779</v>
      </c>
      <c r="C2493" t="s">
        <v>5316</v>
      </c>
      <c r="D2493" t="s">
        <v>1272</v>
      </c>
      <c r="F2493">
        <v>1420737092</v>
      </c>
      <c r="G2493">
        <v>1481214647</v>
      </c>
      <c r="H2493">
        <v>1170341212</v>
      </c>
      <c r="I2493">
        <v>177127705</v>
      </c>
      <c r="J2493">
        <v>190567346</v>
      </c>
      <c r="K2493">
        <v>143188837</v>
      </c>
      <c r="L2493">
        <v>109186183</v>
      </c>
      <c r="M2493">
        <v>147792942</v>
      </c>
      <c r="N2493">
        <v>117426019</v>
      </c>
      <c r="O2493">
        <v>161415370</v>
      </c>
      <c r="P2493">
        <v>165</v>
      </c>
      <c r="Q2493" t="s">
        <v>5317</v>
      </c>
    </row>
    <row r="2494" spans="1:17" x14ac:dyDescent="0.3">
      <c r="A2494" t="s">
        <v>4664</v>
      </c>
      <c r="B2494" t="str">
        <f>"000780"</f>
        <v>000780</v>
      </c>
      <c r="C2494" t="s">
        <v>5318</v>
      </c>
      <c r="D2494" t="s">
        <v>292</v>
      </c>
      <c r="F2494">
        <v>2166815209</v>
      </c>
      <c r="G2494">
        <v>1477327123</v>
      </c>
      <c r="H2494">
        <v>1282982007</v>
      </c>
      <c r="I2494">
        <v>1521428530</v>
      </c>
      <c r="J2494">
        <v>2327490479</v>
      </c>
      <c r="K2494">
        <v>1457524816</v>
      </c>
      <c r="L2494">
        <v>1468582777</v>
      </c>
      <c r="M2494">
        <v>1306145389</v>
      </c>
      <c r="N2494">
        <v>1200058905</v>
      </c>
      <c r="O2494">
        <v>2207427136</v>
      </c>
      <c r="P2494">
        <v>99</v>
      </c>
      <c r="Q2494" t="s">
        <v>5319</v>
      </c>
    </row>
    <row r="2495" spans="1:17" x14ac:dyDescent="0.3">
      <c r="A2495" t="s">
        <v>4664</v>
      </c>
      <c r="B2495" t="str">
        <f>"000782"</f>
        <v>000782</v>
      </c>
      <c r="C2495" t="s">
        <v>5320</v>
      </c>
      <c r="D2495" t="s">
        <v>1636</v>
      </c>
      <c r="F2495">
        <v>2358943613</v>
      </c>
      <c r="G2495">
        <v>1651714924</v>
      </c>
      <c r="H2495">
        <v>2760424488</v>
      </c>
      <c r="I2495">
        <v>3674014273</v>
      </c>
      <c r="J2495">
        <v>2445920592</v>
      </c>
      <c r="K2495">
        <v>2148389572</v>
      </c>
      <c r="L2495">
        <v>2541066847</v>
      </c>
      <c r="M2495">
        <v>3096180851</v>
      </c>
      <c r="N2495">
        <v>2730638789</v>
      </c>
      <c r="O2495">
        <v>3022139836</v>
      </c>
      <c r="P2495">
        <v>64</v>
      </c>
      <c r="Q2495" t="s">
        <v>5321</v>
      </c>
    </row>
    <row r="2496" spans="1:17" x14ac:dyDescent="0.3">
      <c r="A2496" t="s">
        <v>4664</v>
      </c>
      <c r="B2496" t="str">
        <f>"000783"</f>
        <v>000783</v>
      </c>
      <c r="C2496" t="s">
        <v>5322</v>
      </c>
      <c r="D2496" t="s">
        <v>80</v>
      </c>
      <c r="P2496">
        <v>1208</v>
      </c>
      <c r="Q2496" t="s">
        <v>5323</v>
      </c>
    </row>
    <row r="2497" spans="1:17" x14ac:dyDescent="0.3">
      <c r="A2497" t="s">
        <v>4664</v>
      </c>
      <c r="B2497" t="str">
        <f>"000785"</f>
        <v>000785</v>
      </c>
      <c r="C2497" t="s">
        <v>5324</v>
      </c>
      <c r="D2497" t="s">
        <v>271</v>
      </c>
      <c r="F2497">
        <v>10636320510</v>
      </c>
      <c r="G2497">
        <v>6612681221</v>
      </c>
      <c r="H2497">
        <v>3325017537</v>
      </c>
      <c r="I2497">
        <v>3425237123</v>
      </c>
      <c r="J2497">
        <v>3359697187</v>
      </c>
      <c r="K2497">
        <v>3365433251</v>
      </c>
      <c r="L2497">
        <v>3722602370</v>
      </c>
      <c r="M2497">
        <v>3643127226</v>
      </c>
      <c r="N2497">
        <v>3661504515</v>
      </c>
      <c r="O2497">
        <v>3599620165</v>
      </c>
      <c r="P2497">
        <v>333</v>
      </c>
      <c r="Q2497" t="s">
        <v>5325</v>
      </c>
    </row>
    <row r="2498" spans="1:17" x14ac:dyDescent="0.3">
      <c r="A2498" t="s">
        <v>4664</v>
      </c>
      <c r="B2498" t="str">
        <f>"000786"</f>
        <v>000786</v>
      </c>
      <c r="C2498" t="s">
        <v>5326</v>
      </c>
      <c r="D2498" t="s">
        <v>722</v>
      </c>
      <c r="F2498">
        <v>15677697296</v>
      </c>
      <c r="G2498">
        <v>11881931947</v>
      </c>
      <c r="H2498">
        <v>10533549142</v>
      </c>
      <c r="I2498">
        <v>10256452663</v>
      </c>
      <c r="J2498">
        <v>9062892246</v>
      </c>
      <c r="K2498">
        <v>6229308880</v>
      </c>
      <c r="L2498">
        <v>5784288530</v>
      </c>
      <c r="M2498">
        <v>5881173241</v>
      </c>
      <c r="N2498">
        <v>5217950893</v>
      </c>
      <c r="O2498">
        <v>4878314818</v>
      </c>
      <c r="P2498">
        <v>2486</v>
      </c>
      <c r="Q2498" t="s">
        <v>5327</v>
      </c>
    </row>
    <row r="2499" spans="1:17" x14ac:dyDescent="0.3">
      <c r="A2499" t="s">
        <v>4664</v>
      </c>
      <c r="B2499" t="str">
        <f>"000787"</f>
        <v>000787</v>
      </c>
      <c r="C2499" t="s">
        <v>5328</v>
      </c>
      <c r="K2499">
        <v>5632016163.4300003</v>
      </c>
      <c r="L2499">
        <v>5724169840.5900002</v>
      </c>
      <c r="M2499">
        <v>0</v>
      </c>
      <c r="N2499">
        <v>0</v>
      </c>
      <c r="O2499">
        <v>0</v>
      </c>
      <c r="P2499">
        <v>3</v>
      </c>
      <c r="Q2499" t="s">
        <v>5329</v>
      </c>
    </row>
    <row r="2500" spans="1:17" x14ac:dyDescent="0.3">
      <c r="A2500" t="s">
        <v>4664</v>
      </c>
      <c r="B2500" t="str">
        <f>"000788"</f>
        <v>000788</v>
      </c>
      <c r="C2500" t="s">
        <v>5330</v>
      </c>
      <c r="D2500" t="s">
        <v>143</v>
      </c>
      <c r="F2500">
        <v>1758833081</v>
      </c>
      <c r="G2500">
        <v>1460889854</v>
      </c>
      <c r="H2500">
        <v>1926014035</v>
      </c>
      <c r="I2500">
        <v>1736885658</v>
      </c>
      <c r="J2500">
        <v>1666777503</v>
      </c>
      <c r="K2500">
        <v>1279777129</v>
      </c>
      <c r="L2500">
        <v>1458540639</v>
      </c>
      <c r="M2500">
        <v>1603425115</v>
      </c>
      <c r="N2500">
        <v>1276011275</v>
      </c>
      <c r="O2500">
        <v>935157565</v>
      </c>
      <c r="P2500">
        <v>137</v>
      </c>
      <c r="Q2500" t="s">
        <v>5331</v>
      </c>
    </row>
    <row r="2501" spans="1:17" x14ac:dyDescent="0.3">
      <c r="A2501" t="s">
        <v>4664</v>
      </c>
      <c r="B2501" t="str">
        <f>"000789"</f>
        <v>000789</v>
      </c>
      <c r="C2501" t="s">
        <v>5332</v>
      </c>
      <c r="D2501" t="s">
        <v>731</v>
      </c>
      <c r="F2501">
        <v>10059471200</v>
      </c>
      <c r="G2501">
        <v>9297370781</v>
      </c>
      <c r="H2501">
        <v>7908452707</v>
      </c>
      <c r="I2501">
        <v>7496080952</v>
      </c>
      <c r="J2501">
        <v>4885504592</v>
      </c>
      <c r="K2501">
        <v>3994485391</v>
      </c>
      <c r="L2501">
        <v>4365078986</v>
      </c>
      <c r="M2501">
        <v>4902417300</v>
      </c>
      <c r="N2501">
        <v>4228759124</v>
      </c>
      <c r="O2501">
        <v>3414455294</v>
      </c>
      <c r="P2501">
        <v>1139</v>
      </c>
      <c r="Q2501" t="s">
        <v>5333</v>
      </c>
    </row>
    <row r="2502" spans="1:17" x14ac:dyDescent="0.3">
      <c r="A2502" t="s">
        <v>4664</v>
      </c>
      <c r="B2502" t="str">
        <f>"000790"</f>
        <v>000790</v>
      </c>
      <c r="C2502" t="s">
        <v>5334</v>
      </c>
      <c r="D2502" t="s">
        <v>188</v>
      </c>
      <c r="F2502">
        <v>499877778</v>
      </c>
      <c r="G2502">
        <v>518732407</v>
      </c>
      <c r="H2502">
        <v>516591351</v>
      </c>
      <c r="I2502">
        <v>517568415</v>
      </c>
      <c r="J2502">
        <v>355729039</v>
      </c>
      <c r="K2502">
        <v>314939800</v>
      </c>
      <c r="L2502">
        <v>288562156</v>
      </c>
      <c r="M2502">
        <v>325328834</v>
      </c>
      <c r="N2502">
        <v>395824205</v>
      </c>
      <c r="O2502">
        <v>339440581</v>
      </c>
      <c r="P2502">
        <v>175</v>
      </c>
      <c r="Q2502" t="s">
        <v>5335</v>
      </c>
    </row>
    <row r="2503" spans="1:17" x14ac:dyDescent="0.3">
      <c r="A2503" t="s">
        <v>4664</v>
      </c>
      <c r="B2503" t="str">
        <f>"000791"</f>
        <v>000791</v>
      </c>
      <c r="C2503" t="s">
        <v>5336</v>
      </c>
      <c r="D2503" t="s">
        <v>66</v>
      </c>
      <c r="F2503">
        <v>1418998695</v>
      </c>
      <c r="G2503">
        <v>1639126870</v>
      </c>
      <c r="H2503">
        <v>1631664159</v>
      </c>
      <c r="I2503">
        <v>1426647697</v>
      </c>
      <c r="J2503">
        <v>1106150989</v>
      </c>
      <c r="K2503">
        <v>980276966</v>
      </c>
      <c r="L2503">
        <v>1069587912</v>
      </c>
      <c r="M2503">
        <v>930879257</v>
      </c>
      <c r="N2503">
        <v>1281477782</v>
      </c>
      <c r="O2503">
        <v>252429990</v>
      </c>
      <c r="P2503">
        <v>219</v>
      </c>
      <c r="Q2503" t="s">
        <v>5337</v>
      </c>
    </row>
    <row r="2504" spans="1:17" x14ac:dyDescent="0.3">
      <c r="A2504" t="s">
        <v>4664</v>
      </c>
      <c r="B2504" t="str">
        <f>"000792"</f>
        <v>000792</v>
      </c>
      <c r="C2504" t="s">
        <v>5338</v>
      </c>
      <c r="D2504" t="s">
        <v>3431</v>
      </c>
      <c r="F2504">
        <v>11157944922</v>
      </c>
      <c r="G2504">
        <v>14277606361</v>
      </c>
      <c r="H2504">
        <v>11315284373</v>
      </c>
      <c r="I2504">
        <v>13897209421</v>
      </c>
      <c r="J2504">
        <v>7887610372</v>
      </c>
      <c r="K2504">
        <v>6553678636</v>
      </c>
      <c r="L2504">
        <v>6802508407</v>
      </c>
      <c r="M2504">
        <v>6270949461</v>
      </c>
      <c r="N2504">
        <v>4691342282</v>
      </c>
      <c r="O2504">
        <v>5350850081</v>
      </c>
      <c r="P2504">
        <v>422</v>
      </c>
      <c r="Q2504" t="s">
        <v>5339</v>
      </c>
    </row>
    <row r="2505" spans="1:17" x14ac:dyDescent="0.3">
      <c r="A2505" t="s">
        <v>4664</v>
      </c>
      <c r="B2505" t="str">
        <f>"000793"</f>
        <v>000793</v>
      </c>
      <c r="C2505" t="s">
        <v>5340</v>
      </c>
      <c r="D2505" t="s">
        <v>525</v>
      </c>
      <c r="F2505">
        <v>853415148</v>
      </c>
      <c r="G2505">
        <v>2597209122</v>
      </c>
      <c r="H2505">
        <v>2864551734</v>
      </c>
      <c r="I2505">
        <v>2110796823</v>
      </c>
      <c r="J2505">
        <v>2323535473</v>
      </c>
      <c r="K2505">
        <v>2458400062</v>
      </c>
      <c r="L2505">
        <v>2683359865</v>
      </c>
      <c r="M2505">
        <v>2476836797</v>
      </c>
      <c r="N2505">
        <v>2670100776</v>
      </c>
      <c r="O2505">
        <v>2977547563</v>
      </c>
      <c r="P2505">
        <v>141</v>
      </c>
      <c r="Q2505" t="s">
        <v>5341</v>
      </c>
    </row>
    <row r="2506" spans="1:17" x14ac:dyDescent="0.3">
      <c r="A2506" t="s">
        <v>4664</v>
      </c>
      <c r="B2506" t="str">
        <f>"000795"</f>
        <v>000795</v>
      </c>
      <c r="C2506" t="s">
        <v>5342</v>
      </c>
      <c r="D2506" t="s">
        <v>808</v>
      </c>
      <c r="F2506">
        <v>2808878097</v>
      </c>
      <c r="G2506">
        <v>1818200145</v>
      </c>
      <c r="H2506">
        <v>2055538146</v>
      </c>
      <c r="I2506">
        <v>1585381947</v>
      </c>
      <c r="J2506">
        <v>1403695878</v>
      </c>
      <c r="K2506">
        <v>1174838879</v>
      </c>
      <c r="L2506">
        <v>798275185</v>
      </c>
      <c r="M2506">
        <v>502867707</v>
      </c>
      <c r="N2506">
        <v>671216852</v>
      </c>
      <c r="O2506">
        <v>1286632944</v>
      </c>
      <c r="P2506">
        <v>145</v>
      </c>
      <c r="Q2506" t="s">
        <v>5343</v>
      </c>
    </row>
    <row r="2507" spans="1:17" x14ac:dyDescent="0.3">
      <c r="A2507" t="s">
        <v>4664</v>
      </c>
      <c r="B2507" t="str">
        <f>"000796"</f>
        <v>000796</v>
      </c>
      <c r="C2507" t="s">
        <v>5344</v>
      </c>
      <c r="D2507" t="s">
        <v>1120</v>
      </c>
      <c r="F2507">
        <v>831929545</v>
      </c>
      <c r="G2507">
        <v>1268731066</v>
      </c>
      <c r="H2507">
        <v>5422962950</v>
      </c>
      <c r="I2507">
        <v>6719732450</v>
      </c>
      <c r="J2507">
        <v>5352764420</v>
      </c>
      <c r="K2507">
        <v>4631195788</v>
      </c>
      <c r="L2507">
        <v>3517511523</v>
      </c>
      <c r="M2507">
        <v>549813500</v>
      </c>
      <c r="N2507">
        <v>369549930</v>
      </c>
      <c r="O2507">
        <v>327340870</v>
      </c>
      <c r="P2507">
        <v>224</v>
      </c>
      <c r="Q2507" t="s">
        <v>5345</v>
      </c>
    </row>
    <row r="2508" spans="1:17" x14ac:dyDescent="0.3">
      <c r="A2508" t="s">
        <v>4664</v>
      </c>
      <c r="B2508" t="str">
        <f>"000797"</f>
        <v>000797</v>
      </c>
      <c r="C2508" t="s">
        <v>5346</v>
      </c>
      <c r="D2508" t="s">
        <v>104</v>
      </c>
      <c r="F2508">
        <v>5280166199</v>
      </c>
      <c r="G2508">
        <v>6653398695</v>
      </c>
      <c r="H2508">
        <v>3182961243</v>
      </c>
      <c r="I2508">
        <v>2765686988</v>
      </c>
      <c r="J2508">
        <v>2604668725</v>
      </c>
      <c r="K2508">
        <v>3347095241</v>
      </c>
      <c r="L2508">
        <v>1453380309</v>
      </c>
      <c r="M2508">
        <v>1453406426</v>
      </c>
      <c r="N2508">
        <v>1380359728</v>
      </c>
      <c r="O2508">
        <v>1993438959</v>
      </c>
      <c r="P2508">
        <v>121</v>
      </c>
      <c r="Q2508" t="s">
        <v>5347</v>
      </c>
    </row>
    <row r="2509" spans="1:17" x14ac:dyDescent="0.3">
      <c r="A2509" t="s">
        <v>4664</v>
      </c>
      <c r="B2509" t="str">
        <f>"000798"</f>
        <v>000798</v>
      </c>
      <c r="C2509" t="s">
        <v>5348</v>
      </c>
      <c r="D2509" t="s">
        <v>228</v>
      </c>
      <c r="F2509">
        <v>378069587</v>
      </c>
      <c r="G2509">
        <v>275670208</v>
      </c>
      <c r="H2509">
        <v>450841026</v>
      </c>
      <c r="I2509">
        <v>433811443</v>
      </c>
      <c r="J2509">
        <v>609544487</v>
      </c>
      <c r="K2509">
        <v>367351751</v>
      </c>
      <c r="L2509">
        <v>367042404</v>
      </c>
      <c r="M2509">
        <v>284733393</v>
      </c>
      <c r="N2509">
        <v>246517223</v>
      </c>
      <c r="O2509">
        <v>323802013</v>
      </c>
      <c r="P2509">
        <v>83</v>
      </c>
      <c r="Q2509" t="s">
        <v>5349</v>
      </c>
    </row>
    <row r="2510" spans="1:17" x14ac:dyDescent="0.3">
      <c r="A2510" t="s">
        <v>4664</v>
      </c>
      <c r="B2510" t="str">
        <f>"000799"</f>
        <v>000799</v>
      </c>
      <c r="C2510" t="s">
        <v>5350</v>
      </c>
      <c r="D2510" t="s">
        <v>458</v>
      </c>
      <c r="F2510">
        <v>2649930164</v>
      </c>
      <c r="G2510">
        <v>1364967579</v>
      </c>
      <c r="H2510">
        <v>1042463720</v>
      </c>
      <c r="I2510">
        <v>728203290</v>
      </c>
      <c r="J2510">
        <v>557190999</v>
      </c>
      <c r="K2510">
        <v>461309713</v>
      </c>
      <c r="L2510">
        <v>519129194</v>
      </c>
      <c r="M2510">
        <v>245220672</v>
      </c>
      <c r="N2510">
        <v>258473951</v>
      </c>
      <c r="O2510">
        <v>1619625730</v>
      </c>
      <c r="P2510">
        <v>1661</v>
      </c>
      <c r="Q2510" t="s">
        <v>5351</v>
      </c>
    </row>
    <row r="2511" spans="1:17" x14ac:dyDescent="0.3">
      <c r="A2511" t="s">
        <v>4664</v>
      </c>
      <c r="B2511" t="str">
        <f>"000800"</f>
        <v>000800</v>
      </c>
      <c r="C2511" t="s">
        <v>5352</v>
      </c>
      <c r="D2511" t="s">
        <v>27</v>
      </c>
      <c r="F2511">
        <v>67987837879</v>
      </c>
      <c r="G2511">
        <v>64830277497</v>
      </c>
      <c r="H2511">
        <v>18119446779</v>
      </c>
      <c r="I2511">
        <v>15714038981</v>
      </c>
      <c r="J2511">
        <v>16911660242</v>
      </c>
      <c r="K2511">
        <v>11615244078</v>
      </c>
      <c r="L2511">
        <v>16452882601</v>
      </c>
      <c r="M2511">
        <v>20045517023</v>
      </c>
      <c r="N2511">
        <v>15487535429</v>
      </c>
      <c r="O2511">
        <v>15174554637</v>
      </c>
      <c r="P2511">
        <v>446</v>
      </c>
      <c r="Q2511" t="s">
        <v>5353</v>
      </c>
    </row>
    <row r="2512" spans="1:17" x14ac:dyDescent="0.3">
      <c r="A2512" t="s">
        <v>4664</v>
      </c>
      <c r="B2512" t="str">
        <f>"000801"</f>
        <v>000801</v>
      </c>
      <c r="C2512" t="s">
        <v>5354</v>
      </c>
      <c r="D2512" t="s">
        <v>4404</v>
      </c>
      <c r="F2512">
        <v>2339927118</v>
      </c>
      <c r="G2512">
        <v>2407489066</v>
      </c>
      <c r="H2512">
        <v>2022622383</v>
      </c>
      <c r="I2512">
        <v>2349888156</v>
      </c>
      <c r="J2512">
        <v>2384930374</v>
      </c>
      <c r="K2512">
        <v>2260628672</v>
      </c>
      <c r="L2512">
        <v>1868312681</v>
      </c>
      <c r="M2512">
        <v>1653864267</v>
      </c>
      <c r="N2512">
        <v>1618296311</v>
      </c>
      <c r="O2512">
        <v>1545104859</v>
      </c>
      <c r="P2512">
        <v>218</v>
      </c>
      <c r="Q2512" t="s">
        <v>5355</v>
      </c>
    </row>
    <row r="2513" spans="1:17" x14ac:dyDescent="0.3">
      <c r="A2513" t="s">
        <v>4664</v>
      </c>
      <c r="B2513" t="str">
        <f>"000802"</f>
        <v>000802</v>
      </c>
      <c r="C2513" t="s">
        <v>5356</v>
      </c>
      <c r="D2513" t="s">
        <v>113</v>
      </c>
      <c r="F2513">
        <v>543128214</v>
      </c>
      <c r="G2513">
        <v>874941774</v>
      </c>
      <c r="H2513">
        <v>1503975335</v>
      </c>
      <c r="I2513">
        <v>1660360426</v>
      </c>
      <c r="J2513">
        <v>873198770</v>
      </c>
      <c r="K2513">
        <v>505193879</v>
      </c>
      <c r="L2513">
        <v>393694093</v>
      </c>
      <c r="M2513">
        <v>117290541</v>
      </c>
      <c r="N2513">
        <v>125720858</v>
      </c>
      <c r="O2513">
        <v>115275763</v>
      </c>
      <c r="P2513">
        <v>205</v>
      </c>
      <c r="Q2513" t="s">
        <v>5357</v>
      </c>
    </row>
    <row r="2514" spans="1:17" x14ac:dyDescent="0.3">
      <c r="A2514" t="s">
        <v>4664</v>
      </c>
      <c r="B2514" t="str">
        <f>"000803"</f>
        <v>000803</v>
      </c>
      <c r="C2514" t="s">
        <v>5358</v>
      </c>
      <c r="D2514" t="s">
        <v>239</v>
      </c>
      <c r="F2514">
        <v>416623745</v>
      </c>
      <c r="G2514">
        <v>137162893</v>
      </c>
      <c r="H2514">
        <v>138490139</v>
      </c>
      <c r="I2514">
        <v>106524583</v>
      </c>
      <c r="J2514">
        <v>23879774</v>
      </c>
      <c r="K2514">
        <v>66650776</v>
      </c>
      <c r="L2514">
        <v>65044248</v>
      </c>
      <c r="M2514">
        <v>112828254</v>
      </c>
      <c r="N2514">
        <v>184112558</v>
      </c>
      <c r="O2514">
        <v>108343626</v>
      </c>
      <c r="P2514">
        <v>79</v>
      </c>
      <c r="Q2514" t="s">
        <v>5359</v>
      </c>
    </row>
    <row r="2515" spans="1:17" x14ac:dyDescent="0.3">
      <c r="A2515" t="s">
        <v>4664</v>
      </c>
      <c r="B2515" t="str">
        <f>"000805"</f>
        <v>000805</v>
      </c>
      <c r="C2515" t="s">
        <v>5360</v>
      </c>
      <c r="K2515">
        <v>79119683.75</v>
      </c>
      <c r="L2515">
        <v>12168614.33</v>
      </c>
      <c r="M2515">
        <v>26219615.059999999</v>
      </c>
      <c r="N2515">
        <v>28836191.48</v>
      </c>
      <c r="O2515">
        <v>1501332.3</v>
      </c>
      <c r="P2515">
        <v>3</v>
      </c>
      <c r="Q2515" t="s">
        <v>5361</v>
      </c>
    </row>
    <row r="2516" spans="1:17" x14ac:dyDescent="0.3">
      <c r="A2516" t="s">
        <v>4664</v>
      </c>
      <c r="B2516" t="str">
        <f>"000806"</f>
        <v>000806</v>
      </c>
      <c r="C2516" t="s">
        <v>5362</v>
      </c>
      <c r="D2516" t="s">
        <v>210</v>
      </c>
      <c r="F2516">
        <v>576739382</v>
      </c>
      <c r="G2516">
        <v>559873375</v>
      </c>
      <c r="H2516">
        <v>526437229</v>
      </c>
      <c r="I2516">
        <v>600670843</v>
      </c>
      <c r="J2516">
        <v>581080636</v>
      </c>
      <c r="K2516">
        <v>671310389</v>
      </c>
      <c r="L2516">
        <v>405418140</v>
      </c>
      <c r="M2516">
        <v>382606948</v>
      </c>
      <c r="N2516">
        <v>322411816</v>
      </c>
      <c r="O2516">
        <v>482277899</v>
      </c>
      <c r="P2516">
        <v>123</v>
      </c>
      <c r="Q2516" t="s">
        <v>5363</v>
      </c>
    </row>
    <row r="2517" spans="1:17" x14ac:dyDescent="0.3">
      <c r="A2517" t="s">
        <v>4664</v>
      </c>
      <c r="B2517" t="str">
        <f>"000807"</f>
        <v>000807</v>
      </c>
      <c r="C2517" t="s">
        <v>5364</v>
      </c>
      <c r="D2517" t="s">
        <v>504</v>
      </c>
      <c r="F2517">
        <v>24509545353</v>
      </c>
      <c r="G2517">
        <v>18709366857</v>
      </c>
      <c r="H2517">
        <v>15772176858</v>
      </c>
      <c r="I2517">
        <v>14898263628</v>
      </c>
      <c r="J2517">
        <v>15506915921</v>
      </c>
      <c r="K2517">
        <v>15435391298</v>
      </c>
      <c r="L2517">
        <v>13302300342</v>
      </c>
      <c r="M2517">
        <v>14371553545</v>
      </c>
      <c r="N2517">
        <v>9342699346</v>
      </c>
      <c r="O2517">
        <v>7173266160</v>
      </c>
      <c r="P2517">
        <v>551</v>
      </c>
      <c r="Q2517" t="s">
        <v>5365</v>
      </c>
    </row>
    <row r="2518" spans="1:17" x14ac:dyDescent="0.3">
      <c r="A2518" t="s">
        <v>4664</v>
      </c>
      <c r="B2518" t="str">
        <f>"000809"</f>
        <v>000809</v>
      </c>
      <c r="C2518" t="s">
        <v>5366</v>
      </c>
      <c r="D2518" t="s">
        <v>104</v>
      </c>
      <c r="F2518">
        <v>18757114</v>
      </c>
      <c r="G2518">
        <v>210371575</v>
      </c>
      <c r="H2518">
        <v>185774884</v>
      </c>
      <c r="I2518">
        <v>151834522</v>
      </c>
      <c r="J2518">
        <v>493110178</v>
      </c>
      <c r="K2518">
        <v>57682798</v>
      </c>
      <c r="L2518">
        <v>83964772</v>
      </c>
      <c r="M2518">
        <v>646083541</v>
      </c>
      <c r="N2518">
        <v>613026714</v>
      </c>
      <c r="O2518">
        <v>11310997</v>
      </c>
      <c r="P2518">
        <v>72</v>
      </c>
      <c r="Q2518" t="s">
        <v>5367</v>
      </c>
    </row>
    <row r="2519" spans="1:17" x14ac:dyDescent="0.3">
      <c r="A2519" t="s">
        <v>4664</v>
      </c>
      <c r="B2519" t="str">
        <f>"000810"</f>
        <v>000810</v>
      </c>
      <c r="C2519" t="s">
        <v>5368</v>
      </c>
      <c r="D2519" t="s">
        <v>4404</v>
      </c>
      <c r="F2519">
        <v>8025416453</v>
      </c>
      <c r="G2519">
        <v>7614523238</v>
      </c>
      <c r="H2519">
        <v>6643788034</v>
      </c>
      <c r="I2519">
        <v>5797437805</v>
      </c>
      <c r="J2519">
        <v>5181312497</v>
      </c>
      <c r="K2519">
        <v>4956845036</v>
      </c>
      <c r="L2519">
        <v>2736959063</v>
      </c>
      <c r="M2519">
        <v>2409243208</v>
      </c>
      <c r="N2519">
        <v>873802066</v>
      </c>
      <c r="O2519">
        <v>862712422</v>
      </c>
      <c r="P2519">
        <v>384</v>
      </c>
      <c r="Q2519" t="s">
        <v>5369</v>
      </c>
    </row>
    <row r="2520" spans="1:17" x14ac:dyDescent="0.3">
      <c r="A2520" t="s">
        <v>4664</v>
      </c>
      <c r="B2520" t="str">
        <f>"000811"</f>
        <v>000811</v>
      </c>
      <c r="C2520" t="s">
        <v>5370</v>
      </c>
      <c r="D2520" t="s">
        <v>988</v>
      </c>
      <c r="F2520">
        <v>3706765402</v>
      </c>
      <c r="G2520">
        <v>2928237446</v>
      </c>
      <c r="H2520">
        <v>2790425897</v>
      </c>
      <c r="I2520">
        <v>2672112302</v>
      </c>
      <c r="J2520">
        <v>2250325303</v>
      </c>
      <c r="K2520">
        <v>2143035647</v>
      </c>
      <c r="L2520">
        <v>2071617528</v>
      </c>
      <c r="M2520">
        <v>1200666465</v>
      </c>
      <c r="N2520">
        <v>1108604168</v>
      </c>
      <c r="O2520">
        <v>1211259488</v>
      </c>
      <c r="P2520">
        <v>224</v>
      </c>
      <c r="Q2520" t="s">
        <v>5371</v>
      </c>
    </row>
    <row r="2521" spans="1:17" x14ac:dyDescent="0.3">
      <c r="A2521" t="s">
        <v>4664</v>
      </c>
      <c r="B2521" t="str">
        <f>"000812"</f>
        <v>000812</v>
      </c>
      <c r="C2521" t="s">
        <v>5372</v>
      </c>
      <c r="D2521" t="s">
        <v>2156</v>
      </c>
      <c r="F2521">
        <v>951596997</v>
      </c>
      <c r="G2521">
        <v>700867524</v>
      </c>
      <c r="H2521">
        <v>667111671</v>
      </c>
      <c r="I2521">
        <v>660215028</v>
      </c>
      <c r="J2521">
        <v>523687585</v>
      </c>
      <c r="K2521">
        <v>601992138</v>
      </c>
      <c r="L2521">
        <v>590270266</v>
      </c>
      <c r="M2521">
        <v>504933502</v>
      </c>
      <c r="N2521">
        <v>550748776</v>
      </c>
      <c r="O2521">
        <v>580958072</v>
      </c>
      <c r="P2521">
        <v>111</v>
      </c>
      <c r="Q2521" t="s">
        <v>5373</v>
      </c>
    </row>
    <row r="2522" spans="1:17" x14ac:dyDescent="0.3">
      <c r="A2522" t="s">
        <v>4664</v>
      </c>
      <c r="B2522" t="str">
        <f>"000813"</f>
        <v>000813</v>
      </c>
      <c r="C2522" t="s">
        <v>5374</v>
      </c>
      <c r="D2522" t="s">
        <v>143</v>
      </c>
      <c r="F2522">
        <v>668528253</v>
      </c>
      <c r="G2522">
        <v>1453722783</v>
      </c>
      <c r="H2522">
        <v>2768217416</v>
      </c>
      <c r="I2522">
        <v>2280655372</v>
      </c>
      <c r="J2522">
        <v>1144170607</v>
      </c>
      <c r="K2522">
        <v>912047289</v>
      </c>
      <c r="L2522">
        <v>457038835</v>
      </c>
      <c r="M2522">
        <v>489636430</v>
      </c>
      <c r="N2522">
        <v>167454701</v>
      </c>
      <c r="O2522">
        <v>223899211</v>
      </c>
      <c r="P2522">
        <v>281</v>
      </c>
      <c r="Q2522" t="s">
        <v>5375</v>
      </c>
    </row>
    <row r="2523" spans="1:17" x14ac:dyDescent="0.3">
      <c r="A2523" t="s">
        <v>4664</v>
      </c>
      <c r="B2523" t="str">
        <f>"000815"</f>
        <v>000815</v>
      </c>
      <c r="C2523" t="s">
        <v>5376</v>
      </c>
      <c r="D2523" t="s">
        <v>694</v>
      </c>
      <c r="F2523">
        <v>694176656</v>
      </c>
      <c r="G2523">
        <v>501200911</v>
      </c>
      <c r="H2523">
        <v>444272466</v>
      </c>
      <c r="I2523">
        <v>342873501</v>
      </c>
      <c r="J2523">
        <v>313348151</v>
      </c>
      <c r="K2523">
        <v>345532554</v>
      </c>
      <c r="L2523">
        <v>478783130</v>
      </c>
      <c r="M2523">
        <v>503158418</v>
      </c>
      <c r="N2523">
        <v>346240764</v>
      </c>
      <c r="O2523">
        <v>637826758</v>
      </c>
      <c r="P2523">
        <v>125</v>
      </c>
      <c r="Q2523" t="s">
        <v>5377</v>
      </c>
    </row>
    <row r="2524" spans="1:17" x14ac:dyDescent="0.3">
      <c r="A2524" t="s">
        <v>4664</v>
      </c>
      <c r="B2524" t="str">
        <f>"000816"</f>
        <v>000816</v>
      </c>
      <c r="C2524" t="s">
        <v>5378</v>
      </c>
      <c r="D2524" t="s">
        <v>348</v>
      </c>
      <c r="F2524">
        <v>1643136714</v>
      </c>
      <c r="G2524">
        <v>1130496246</v>
      </c>
      <c r="H2524">
        <v>1116778609</v>
      </c>
      <c r="I2524">
        <v>1271614996</v>
      </c>
      <c r="J2524">
        <v>1463153155</v>
      </c>
      <c r="K2524">
        <v>1595427100</v>
      </c>
      <c r="L2524">
        <v>1487666949</v>
      </c>
      <c r="M2524">
        <v>1650860581</v>
      </c>
      <c r="N2524">
        <v>2028337450</v>
      </c>
      <c r="O2524">
        <v>2006494449</v>
      </c>
      <c r="P2524">
        <v>153</v>
      </c>
      <c r="Q2524" t="s">
        <v>5379</v>
      </c>
    </row>
    <row r="2525" spans="1:17" x14ac:dyDescent="0.3">
      <c r="A2525" t="s">
        <v>4664</v>
      </c>
      <c r="B2525" t="str">
        <f>"000818"</f>
        <v>000818</v>
      </c>
      <c r="C2525" t="s">
        <v>5380</v>
      </c>
      <c r="D2525" t="s">
        <v>175</v>
      </c>
      <c r="F2525">
        <v>3184827797</v>
      </c>
      <c r="G2525">
        <v>2081192454</v>
      </c>
      <c r="H2525">
        <v>2713047472</v>
      </c>
      <c r="I2525">
        <v>2687489450</v>
      </c>
      <c r="J2525">
        <v>2252414049</v>
      </c>
      <c r="K2525">
        <v>1679004196</v>
      </c>
      <c r="L2525">
        <v>1825217125</v>
      </c>
      <c r="M2525">
        <v>2039989587</v>
      </c>
      <c r="N2525">
        <v>1578124802</v>
      </c>
      <c r="O2525">
        <v>1631589494</v>
      </c>
      <c r="P2525">
        <v>258</v>
      </c>
      <c r="Q2525" t="s">
        <v>5381</v>
      </c>
    </row>
    <row r="2526" spans="1:17" x14ac:dyDescent="0.3">
      <c r="A2526" t="s">
        <v>4664</v>
      </c>
      <c r="B2526" t="str">
        <f>"000819"</f>
        <v>000819</v>
      </c>
      <c r="C2526" t="s">
        <v>5382</v>
      </c>
      <c r="D2526" t="s">
        <v>1615</v>
      </c>
      <c r="F2526">
        <v>1345260404</v>
      </c>
      <c r="G2526">
        <v>1143026219</v>
      </c>
      <c r="H2526">
        <v>1353826244</v>
      </c>
      <c r="I2526">
        <v>1604818574</v>
      </c>
      <c r="J2526">
        <v>1102976179</v>
      </c>
      <c r="K2526">
        <v>751854783</v>
      </c>
      <c r="L2526">
        <v>761614804</v>
      </c>
      <c r="M2526">
        <v>683466681</v>
      </c>
      <c r="N2526">
        <v>1008096668</v>
      </c>
      <c r="O2526">
        <v>1345517579</v>
      </c>
      <c r="P2526">
        <v>81</v>
      </c>
      <c r="Q2526" t="s">
        <v>5383</v>
      </c>
    </row>
    <row r="2527" spans="1:17" x14ac:dyDescent="0.3">
      <c r="A2527" t="s">
        <v>4664</v>
      </c>
      <c r="B2527" t="str">
        <f>"000820"</f>
        <v>000820</v>
      </c>
      <c r="C2527" t="s">
        <v>5384</v>
      </c>
      <c r="D2527" t="s">
        <v>499</v>
      </c>
      <c r="F2527">
        <v>3838218</v>
      </c>
      <c r="G2527">
        <v>1116832</v>
      </c>
      <c r="H2527">
        <v>6393460</v>
      </c>
      <c r="I2527">
        <v>55562322</v>
      </c>
      <c r="J2527">
        <v>767728747</v>
      </c>
      <c r="K2527">
        <v>231394490</v>
      </c>
      <c r="L2527">
        <v>214689041</v>
      </c>
      <c r="M2527">
        <v>222836827</v>
      </c>
      <c r="N2527">
        <v>213450229</v>
      </c>
      <c r="O2527">
        <v>149286207</v>
      </c>
      <c r="P2527">
        <v>156</v>
      </c>
      <c r="Q2527" t="s">
        <v>5385</v>
      </c>
    </row>
    <row r="2528" spans="1:17" x14ac:dyDescent="0.3">
      <c r="A2528" t="s">
        <v>4664</v>
      </c>
      <c r="B2528" t="str">
        <f>"000821"</f>
        <v>000821</v>
      </c>
      <c r="C2528" t="s">
        <v>5386</v>
      </c>
      <c r="D2528" t="s">
        <v>3388</v>
      </c>
      <c r="F2528">
        <v>2169913891</v>
      </c>
      <c r="G2528">
        <v>1530033225</v>
      </c>
      <c r="H2528">
        <v>1337078938</v>
      </c>
      <c r="I2528">
        <v>1561707023</v>
      </c>
      <c r="J2528">
        <v>1077727767</v>
      </c>
      <c r="K2528">
        <v>889390401</v>
      </c>
      <c r="L2528">
        <v>698756867</v>
      </c>
      <c r="M2528">
        <v>649009996</v>
      </c>
      <c r="N2528">
        <v>440276520</v>
      </c>
      <c r="O2528">
        <v>492100535</v>
      </c>
      <c r="P2528">
        <v>166</v>
      </c>
      <c r="Q2528" t="s">
        <v>5387</v>
      </c>
    </row>
    <row r="2529" spans="1:17" x14ac:dyDescent="0.3">
      <c r="A2529" t="s">
        <v>4664</v>
      </c>
      <c r="B2529" t="str">
        <f>"000822"</f>
        <v>000822</v>
      </c>
      <c r="C2529" t="s">
        <v>5388</v>
      </c>
      <c r="D2529" t="s">
        <v>2516</v>
      </c>
      <c r="F2529">
        <v>1661476029</v>
      </c>
      <c r="G2529">
        <v>1169097399</v>
      </c>
      <c r="H2529">
        <v>1806022289</v>
      </c>
      <c r="I2529">
        <v>2017758420</v>
      </c>
      <c r="J2529">
        <v>1603170383</v>
      </c>
      <c r="K2529">
        <v>1206366508</v>
      </c>
      <c r="L2529">
        <v>1494621322</v>
      </c>
      <c r="M2529">
        <v>4500958911</v>
      </c>
      <c r="N2529">
        <v>3624689597</v>
      </c>
      <c r="O2529">
        <v>3824169040</v>
      </c>
      <c r="P2529">
        <v>211</v>
      </c>
      <c r="Q2529" t="s">
        <v>5389</v>
      </c>
    </row>
    <row r="2530" spans="1:17" x14ac:dyDescent="0.3">
      <c r="A2530" t="s">
        <v>4664</v>
      </c>
      <c r="B2530" t="str">
        <f>"000823"</f>
        <v>000823</v>
      </c>
      <c r="C2530" t="s">
        <v>5390</v>
      </c>
      <c r="D2530" t="s">
        <v>425</v>
      </c>
      <c r="F2530">
        <v>3554718552</v>
      </c>
      <c r="G2530">
        <v>2814376434</v>
      </c>
      <c r="H2530">
        <v>2972407485</v>
      </c>
      <c r="I2530">
        <v>2832134355</v>
      </c>
      <c r="J2530">
        <v>2464549063</v>
      </c>
      <c r="K2530">
        <v>2104229817</v>
      </c>
      <c r="L2530">
        <v>2219143222</v>
      </c>
      <c r="M2530">
        <v>2085774400</v>
      </c>
      <c r="N2530">
        <v>1886309073</v>
      </c>
      <c r="O2530">
        <v>1957563973</v>
      </c>
      <c r="P2530">
        <v>354</v>
      </c>
      <c r="Q2530" t="s">
        <v>5391</v>
      </c>
    </row>
    <row r="2531" spans="1:17" x14ac:dyDescent="0.3">
      <c r="A2531" t="s">
        <v>4664</v>
      </c>
      <c r="B2531" t="str">
        <f>"000825"</f>
        <v>000825</v>
      </c>
      <c r="C2531" t="s">
        <v>5392</v>
      </c>
      <c r="D2531" t="s">
        <v>281</v>
      </c>
      <c r="F2531">
        <v>83767281892</v>
      </c>
      <c r="G2531">
        <v>52582415163</v>
      </c>
      <c r="H2531">
        <v>55926783258</v>
      </c>
      <c r="I2531">
        <v>59544228283</v>
      </c>
      <c r="J2531">
        <v>62164878663</v>
      </c>
      <c r="K2531">
        <v>47731672126</v>
      </c>
      <c r="L2531">
        <v>62535127660</v>
      </c>
      <c r="M2531">
        <v>82537104429</v>
      </c>
      <c r="N2531">
        <v>88579468424</v>
      </c>
      <c r="O2531">
        <v>81368035669</v>
      </c>
      <c r="P2531">
        <v>581</v>
      </c>
      <c r="Q2531" t="s">
        <v>5393</v>
      </c>
    </row>
    <row r="2532" spans="1:17" x14ac:dyDescent="0.3">
      <c r="A2532" t="s">
        <v>4664</v>
      </c>
      <c r="B2532" t="str">
        <f>"000826"</f>
        <v>000826</v>
      </c>
      <c r="C2532" t="s">
        <v>5394</v>
      </c>
      <c r="D2532" t="s">
        <v>3548</v>
      </c>
      <c r="F2532">
        <v>4657632261</v>
      </c>
      <c r="G2532">
        <v>5720945293</v>
      </c>
      <c r="H2532">
        <v>6127283505</v>
      </c>
      <c r="I2532">
        <v>4635592072</v>
      </c>
      <c r="J2532">
        <v>2972057959</v>
      </c>
      <c r="K2532">
        <v>2428767853</v>
      </c>
      <c r="L2532">
        <v>1689864165</v>
      </c>
      <c r="M2532">
        <v>1425736189</v>
      </c>
      <c r="N2532">
        <v>1327006348</v>
      </c>
      <c r="O2532">
        <v>1277702105</v>
      </c>
      <c r="P2532">
        <v>559</v>
      </c>
      <c r="Q2532" t="s">
        <v>5395</v>
      </c>
    </row>
    <row r="2533" spans="1:17" x14ac:dyDescent="0.3">
      <c r="A2533" t="s">
        <v>4664</v>
      </c>
      <c r="B2533" t="str">
        <f>"000828"</f>
        <v>000828</v>
      </c>
      <c r="C2533" t="s">
        <v>5396</v>
      </c>
      <c r="D2533" t="s">
        <v>44</v>
      </c>
      <c r="F2533">
        <v>1046311014</v>
      </c>
      <c r="G2533">
        <v>719639865</v>
      </c>
      <c r="H2533">
        <v>1022423450</v>
      </c>
      <c r="I2533">
        <v>966958942</v>
      </c>
      <c r="J2533">
        <v>874576936</v>
      </c>
      <c r="K2533">
        <v>804484023</v>
      </c>
      <c r="L2533">
        <v>1033331054</v>
      </c>
      <c r="M2533">
        <v>787630759</v>
      </c>
      <c r="N2533">
        <v>565323293</v>
      </c>
      <c r="O2533">
        <v>583285463</v>
      </c>
      <c r="P2533">
        <v>961</v>
      </c>
      <c r="Q2533" t="s">
        <v>5397</v>
      </c>
    </row>
    <row r="2534" spans="1:17" x14ac:dyDescent="0.3">
      <c r="A2534" t="s">
        <v>4664</v>
      </c>
      <c r="B2534" t="str">
        <f>"000829"</f>
        <v>000829</v>
      </c>
      <c r="C2534" t="s">
        <v>5398</v>
      </c>
      <c r="D2534" t="s">
        <v>295</v>
      </c>
      <c r="F2534">
        <v>56288915453</v>
      </c>
      <c r="G2534">
        <v>49599951400</v>
      </c>
      <c r="H2534">
        <v>43498228500</v>
      </c>
      <c r="I2534">
        <v>35363651934</v>
      </c>
      <c r="J2534">
        <v>31449292312</v>
      </c>
      <c r="K2534">
        <v>29218213557</v>
      </c>
      <c r="L2534">
        <v>36109324684</v>
      </c>
      <c r="M2534">
        <v>28642439654</v>
      </c>
      <c r="N2534">
        <v>24187494246</v>
      </c>
      <c r="O2534">
        <v>30374161172</v>
      </c>
      <c r="P2534">
        <v>187</v>
      </c>
      <c r="Q2534" t="s">
        <v>5399</v>
      </c>
    </row>
    <row r="2535" spans="1:17" x14ac:dyDescent="0.3">
      <c r="A2535" t="s">
        <v>4664</v>
      </c>
      <c r="B2535" t="str">
        <f>"000830"</f>
        <v>000830</v>
      </c>
      <c r="C2535" t="s">
        <v>5400</v>
      </c>
      <c r="D2535" t="s">
        <v>914</v>
      </c>
      <c r="F2535">
        <v>26403235137</v>
      </c>
      <c r="G2535">
        <v>13690262012</v>
      </c>
      <c r="H2535">
        <v>15365846039</v>
      </c>
      <c r="I2535">
        <v>18307026440</v>
      </c>
      <c r="J2535">
        <v>14193328138</v>
      </c>
      <c r="K2535">
        <v>8964734732</v>
      </c>
      <c r="L2535">
        <v>12239945373</v>
      </c>
      <c r="M2535">
        <v>10241138458</v>
      </c>
      <c r="N2535">
        <v>8304618323</v>
      </c>
      <c r="O2535">
        <v>9134980832</v>
      </c>
      <c r="P2535">
        <v>891</v>
      </c>
      <c r="Q2535" t="s">
        <v>5401</v>
      </c>
    </row>
    <row r="2536" spans="1:17" x14ac:dyDescent="0.3">
      <c r="A2536" t="s">
        <v>4664</v>
      </c>
      <c r="B2536" t="str">
        <f>"000831"</f>
        <v>000831</v>
      </c>
      <c r="C2536" t="s">
        <v>5402</v>
      </c>
      <c r="D2536" t="s">
        <v>266</v>
      </c>
      <c r="F2536">
        <v>1716009911</v>
      </c>
      <c r="G2536">
        <v>995527094</v>
      </c>
      <c r="H2536">
        <v>1269635362</v>
      </c>
      <c r="I2536">
        <v>566315818</v>
      </c>
      <c r="J2536">
        <v>519552036</v>
      </c>
      <c r="K2536">
        <v>224025726</v>
      </c>
      <c r="L2536">
        <v>622318591</v>
      </c>
      <c r="M2536">
        <v>1639637597</v>
      </c>
      <c r="N2536">
        <v>387205456</v>
      </c>
      <c r="O2536">
        <v>1770216199</v>
      </c>
      <c r="P2536">
        <v>458</v>
      </c>
      <c r="Q2536" t="s">
        <v>5403</v>
      </c>
    </row>
    <row r="2537" spans="1:17" x14ac:dyDescent="0.3">
      <c r="A2537" t="s">
        <v>4664</v>
      </c>
      <c r="B2537" t="str">
        <f>"000832"</f>
        <v>000832</v>
      </c>
      <c r="C2537" t="s">
        <v>5404</v>
      </c>
      <c r="K2537">
        <v>0</v>
      </c>
      <c r="L2537">
        <v>30083692.670000002</v>
      </c>
      <c r="M2537">
        <v>31531137.239999998</v>
      </c>
      <c r="N2537">
        <v>24763810.609999999</v>
      </c>
      <c r="O2537">
        <v>42497974.409999996</v>
      </c>
      <c r="P2537">
        <v>6</v>
      </c>
      <c r="Q2537" t="s">
        <v>5405</v>
      </c>
    </row>
    <row r="2538" spans="1:17" x14ac:dyDescent="0.3">
      <c r="A2538" t="s">
        <v>4664</v>
      </c>
      <c r="B2538" t="str">
        <f>"000833"</f>
        <v>000833</v>
      </c>
      <c r="C2538" t="s">
        <v>5406</v>
      </c>
      <c r="D2538" t="s">
        <v>110</v>
      </c>
      <c r="F2538">
        <v>2487090092</v>
      </c>
      <c r="G2538">
        <v>3035310247</v>
      </c>
      <c r="H2538">
        <v>3592464891</v>
      </c>
      <c r="I2538">
        <v>2766462199</v>
      </c>
      <c r="J2538">
        <v>1535989374</v>
      </c>
      <c r="K2538">
        <v>1555960831</v>
      </c>
      <c r="L2538">
        <v>1437595829</v>
      </c>
      <c r="M2538">
        <v>847600340</v>
      </c>
      <c r="N2538">
        <v>936221726</v>
      </c>
      <c r="O2538">
        <v>804936061</v>
      </c>
      <c r="P2538">
        <v>88</v>
      </c>
      <c r="Q2538" t="s">
        <v>5407</v>
      </c>
    </row>
    <row r="2539" spans="1:17" x14ac:dyDescent="0.3">
      <c r="A2539" t="s">
        <v>4664</v>
      </c>
      <c r="B2539" t="str">
        <f>"000835"</f>
        <v>000835</v>
      </c>
      <c r="C2539" t="s">
        <v>5408</v>
      </c>
      <c r="D2539" t="s">
        <v>517</v>
      </c>
      <c r="F2539">
        <v>1444053</v>
      </c>
      <c r="G2539">
        <v>9901418</v>
      </c>
      <c r="H2539">
        <v>44916567</v>
      </c>
      <c r="I2539">
        <v>131762684</v>
      </c>
      <c r="J2539">
        <v>168622545</v>
      </c>
      <c r="K2539">
        <v>212128612</v>
      </c>
      <c r="L2539">
        <v>120881623</v>
      </c>
      <c r="M2539">
        <v>326359360</v>
      </c>
      <c r="N2539">
        <v>586554729</v>
      </c>
      <c r="O2539">
        <v>941270814</v>
      </c>
      <c r="P2539">
        <v>69</v>
      </c>
      <c r="Q2539" t="s">
        <v>5409</v>
      </c>
    </row>
    <row r="2540" spans="1:17" x14ac:dyDescent="0.3">
      <c r="A2540" t="s">
        <v>4664</v>
      </c>
      <c r="B2540" t="str">
        <f>"000836"</f>
        <v>000836</v>
      </c>
      <c r="C2540" t="s">
        <v>5410</v>
      </c>
      <c r="D2540" t="s">
        <v>250</v>
      </c>
      <c r="F2540">
        <v>708412985</v>
      </c>
      <c r="G2540">
        <v>462762677</v>
      </c>
      <c r="H2540">
        <v>680488775</v>
      </c>
      <c r="I2540">
        <v>1304756407</v>
      </c>
      <c r="J2540">
        <v>685895934</v>
      </c>
      <c r="K2540">
        <v>1222496796</v>
      </c>
      <c r="L2540">
        <v>1125278614</v>
      </c>
      <c r="M2540">
        <v>522028011</v>
      </c>
      <c r="N2540">
        <v>518444694</v>
      </c>
      <c r="O2540">
        <v>657431585</v>
      </c>
      <c r="P2540">
        <v>135</v>
      </c>
      <c r="Q2540" t="s">
        <v>5411</v>
      </c>
    </row>
    <row r="2541" spans="1:17" x14ac:dyDescent="0.3">
      <c r="A2541" t="s">
        <v>4664</v>
      </c>
      <c r="B2541" t="str">
        <f>"000837"</f>
        <v>000837</v>
      </c>
      <c r="C2541" t="s">
        <v>5412</v>
      </c>
      <c r="D2541" t="s">
        <v>2312</v>
      </c>
      <c r="F2541">
        <v>2047626191</v>
      </c>
      <c r="G2541">
        <v>1869635394</v>
      </c>
      <c r="H2541">
        <v>1930203247</v>
      </c>
      <c r="I2541">
        <v>1727830233</v>
      </c>
      <c r="J2541">
        <v>1590537829</v>
      </c>
      <c r="K2541">
        <v>1576922328</v>
      </c>
      <c r="L2541">
        <v>1476711133</v>
      </c>
      <c r="M2541">
        <v>1946911275</v>
      </c>
      <c r="N2541">
        <v>648235536</v>
      </c>
      <c r="O2541">
        <v>705225011</v>
      </c>
      <c r="P2541">
        <v>129</v>
      </c>
      <c r="Q2541" t="s">
        <v>5413</v>
      </c>
    </row>
    <row r="2542" spans="1:17" x14ac:dyDescent="0.3">
      <c r="A2542" t="s">
        <v>4664</v>
      </c>
      <c r="B2542" t="str">
        <f>"000838"</f>
        <v>000838</v>
      </c>
      <c r="C2542" t="s">
        <v>5414</v>
      </c>
      <c r="D2542" t="s">
        <v>104</v>
      </c>
      <c r="F2542">
        <v>5049275883</v>
      </c>
      <c r="G2542">
        <v>4179442185</v>
      </c>
      <c r="H2542">
        <v>4044902581</v>
      </c>
      <c r="I2542">
        <v>3454311116</v>
      </c>
      <c r="J2542">
        <v>1866537262</v>
      </c>
      <c r="K2542">
        <v>866453545</v>
      </c>
      <c r="L2542">
        <v>879020195</v>
      </c>
      <c r="M2542">
        <v>606501545</v>
      </c>
      <c r="N2542">
        <v>436433388</v>
      </c>
      <c r="O2542">
        <v>436896970</v>
      </c>
      <c r="P2542">
        <v>98</v>
      </c>
      <c r="Q2542" t="s">
        <v>5415</v>
      </c>
    </row>
    <row r="2543" spans="1:17" x14ac:dyDescent="0.3">
      <c r="A2543" t="s">
        <v>4664</v>
      </c>
      <c r="B2543" t="str">
        <f>"000839"</f>
        <v>000839</v>
      </c>
      <c r="C2543" t="s">
        <v>5416</v>
      </c>
      <c r="D2543" t="s">
        <v>110</v>
      </c>
      <c r="F2543">
        <v>2042907518</v>
      </c>
      <c r="G2543">
        <v>2090892490</v>
      </c>
      <c r="H2543">
        <v>2468771128</v>
      </c>
      <c r="I2543">
        <v>2888883423</v>
      </c>
      <c r="J2543">
        <v>2355945660</v>
      </c>
      <c r="K2543">
        <v>2132278700</v>
      </c>
      <c r="L2543">
        <v>1593893022</v>
      </c>
      <c r="M2543">
        <v>1478993945</v>
      </c>
      <c r="N2543">
        <v>1275022461</v>
      </c>
      <c r="O2543">
        <v>1063153195</v>
      </c>
      <c r="P2543">
        <v>219</v>
      </c>
      <c r="Q2543" t="s">
        <v>5417</v>
      </c>
    </row>
    <row r="2544" spans="1:17" x14ac:dyDescent="0.3">
      <c r="A2544" t="s">
        <v>4664</v>
      </c>
      <c r="B2544" t="str">
        <f>"000848"</f>
        <v>000848</v>
      </c>
      <c r="C2544" t="s">
        <v>5418</v>
      </c>
      <c r="D2544" t="s">
        <v>440</v>
      </c>
      <c r="F2544">
        <v>1733456905</v>
      </c>
      <c r="G2544">
        <v>929213258</v>
      </c>
      <c r="H2544">
        <v>1385009240</v>
      </c>
      <c r="I2544">
        <v>1576782186</v>
      </c>
      <c r="J2544">
        <v>1314657137</v>
      </c>
      <c r="K2544">
        <v>1952739543</v>
      </c>
      <c r="L2544">
        <v>2345305857</v>
      </c>
      <c r="M2544">
        <v>1998809731</v>
      </c>
      <c r="N2544">
        <v>2051863178</v>
      </c>
      <c r="O2544">
        <v>1604500355</v>
      </c>
      <c r="P2544">
        <v>41203</v>
      </c>
      <c r="Q2544" t="s">
        <v>5419</v>
      </c>
    </row>
    <row r="2545" spans="1:17" x14ac:dyDescent="0.3">
      <c r="A2545" t="s">
        <v>4664</v>
      </c>
      <c r="B2545" t="str">
        <f>"000850"</f>
        <v>000850</v>
      </c>
      <c r="C2545" t="s">
        <v>5420</v>
      </c>
      <c r="D2545" t="s">
        <v>1009</v>
      </c>
      <c r="F2545">
        <v>3044744451</v>
      </c>
      <c r="G2545">
        <v>2886984919</v>
      </c>
      <c r="H2545">
        <v>2201240071</v>
      </c>
      <c r="I2545">
        <v>2202039782</v>
      </c>
      <c r="J2545">
        <v>1922687209</v>
      </c>
      <c r="K2545">
        <v>1585982642</v>
      </c>
      <c r="L2545">
        <v>1669311570</v>
      </c>
      <c r="M2545">
        <v>1979416359</v>
      </c>
      <c r="N2545">
        <v>1800030916</v>
      </c>
      <c r="O2545">
        <v>2063123192</v>
      </c>
      <c r="P2545">
        <v>121</v>
      </c>
      <c r="Q2545" t="s">
        <v>5421</v>
      </c>
    </row>
    <row r="2546" spans="1:17" x14ac:dyDescent="0.3">
      <c r="A2546" t="s">
        <v>4664</v>
      </c>
      <c r="B2546" t="str">
        <f>"000851"</f>
        <v>000851</v>
      </c>
      <c r="C2546" t="s">
        <v>5422</v>
      </c>
      <c r="D2546" t="s">
        <v>1019</v>
      </c>
      <c r="F2546">
        <v>5989674607</v>
      </c>
      <c r="G2546">
        <v>5054993336</v>
      </c>
      <c r="H2546">
        <v>8725825399</v>
      </c>
      <c r="I2546">
        <v>8190930623</v>
      </c>
      <c r="J2546">
        <v>7603189112</v>
      </c>
      <c r="K2546">
        <v>6491338737</v>
      </c>
      <c r="L2546">
        <v>5533085566</v>
      </c>
      <c r="M2546">
        <v>6176120507</v>
      </c>
      <c r="N2546">
        <v>3947109373</v>
      </c>
      <c r="O2546">
        <v>4107218638</v>
      </c>
      <c r="P2546">
        <v>224</v>
      </c>
      <c r="Q2546" t="s">
        <v>5423</v>
      </c>
    </row>
    <row r="2547" spans="1:17" x14ac:dyDescent="0.3">
      <c r="A2547" t="s">
        <v>4664</v>
      </c>
      <c r="B2547" t="str">
        <f>"000852"</f>
        <v>000852</v>
      </c>
      <c r="C2547" t="s">
        <v>5424</v>
      </c>
      <c r="D2547" t="s">
        <v>395</v>
      </c>
      <c r="F2547">
        <v>4045463261</v>
      </c>
      <c r="G2547">
        <v>4121983849</v>
      </c>
      <c r="H2547">
        <v>4882649099</v>
      </c>
      <c r="I2547">
        <v>3480694841</v>
      </c>
      <c r="J2547">
        <v>2050324955</v>
      </c>
      <c r="K2547">
        <v>2207893950</v>
      </c>
      <c r="L2547">
        <v>3127842938</v>
      </c>
      <c r="M2547">
        <v>981056524</v>
      </c>
      <c r="N2547">
        <v>1033480184</v>
      </c>
      <c r="O2547">
        <v>1018327075</v>
      </c>
      <c r="P2547">
        <v>155</v>
      </c>
      <c r="Q2547" t="s">
        <v>5425</v>
      </c>
    </row>
    <row r="2548" spans="1:17" x14ac:dyDescent="0.3">
      <c r="A2548" t="s">
        <v>4664</v>
      </c>
      <c r="B2548" t="str">
        <f>"000856"</f>
        <v>000856</v>
      </c>
      <c r="C2548" t="s">
        <v>5426</v>
      </c>
      <c r="D2548" t="s">
        <v>741</v>
      </c>
      <c r="F2548">
        <v>1230306748</v>
      </c>
      <c r="G2548">
        <v>1798798192</v>
      </c>
      <c r="H2548">
        <v>1189827846</v>
      </c>
      <c r="I2548">
        <v>682781528</v>
      </c>
      <c r="J2548">
        <v>508210426</v>
      </c>
      <c r="K2548">
        <v>335473524</v>
      </c>
      <c r="L2548">
        <v>426009607</v>
      </c>
      <c r="M2548">
        <v>667978231</v>
      </c>
      <c r="N2548">
        <v>506013267</v>
      </c>
      <c r="O2548">
        <v>797311124</v>
      </c>
      <c r="P2548">
        <v>101</v>
      </c>
      <c r="Q2548" t="s">
        <v>5427</v>
      </c>
    </row>
    <row r="2549" spans="1:17" x14ac:dyDescent="0.3">
      <c r="A2549" t="s">
        <v>4664</v>
      </c>
      <c r="B2549" t="str">
        <f>"000858"</f>
        <v>000858</v>
      </c>
      <c r="C2549" t="s">
        <v>5428</v>
      </c>
      <c r="D2549" t="s">
        <v>458</v>
      </c>
      <c r="F2549">
        <v>51964936526</v>
      </c>
      <c r="G2549">
        <v>38577280257</v>
      </c>
      <c r="H2549">
        <v>42324123607</v>
      </c>
      <c r="I2549">
        <v>26438870647</v>
      </c>
      <c r="J2549">
        <v>21956722427</v>
      </c>
      <c r="K2549">
        <v>22848292298</v>
      </c>
      <c r="L2549">
        <v>17113243342</v>
      </c>
      <c r="M2549">
        <v>11551516446</v>
      </c>
      <c r="N2549">
        <v>15709598753</v>
      </c>
      <c r="O2549">
        <v>22385089219</v>
      </c>
      <c r="P2549">
        <v>11635</v>
      </c>
      <c r="Q2549" t="s">
        <v>5429</v>
      </c>
    </row>
    <row r="2550" spans="1:17" x14ac:dyDescent="0.3">
      <c r="A2550" t="s">
        <v>4664</v>
      </c>
      <c r="B2550" t="str">
        <f>"000859"</f>
        <v>000859</v>
      </c>
      <c r="C2550" t="s">
        <v>5430</v>
      </c>
      <c r="D2550" t="s">
        <v>324</v>
      </c>
      <c r="F2550">
        <v>1400926264</v>
      </c>
      <c r="G2550">
        <v>988951403</v>
      </c>
      <c r="H2550">
        <v>1030100121</v>
      </c>
      <c r="I2550">
        <v>839899977</v>
      </c>
      <c r="J2550">
        <v>803501296</v>
      </c>
      <c r="K2550">
        <v>724638934</v>
      </c>
      <c r="L2550">
        <v>788279765</v>
      </c>
      <c r="M2550">
        <v>906435585</v>
      </c>
      <c r="N2550">
        <v>947900434</v>
      </c>
      <c r="O2550">
        <v>967351226</v>
      </c>
      <c r="P2550">
        <v>118</v>
      </c>
      <c r="Q2550" t="s">
        <v>5431</v>
      </c>
    </row>
    <row r="2551" spans="1:17" x14ac:dyDescent="0.3">
      <c r="A2551" t="s">
        <v>4664</v>
      </c>
      <c r="B2551" t="str">
        <f>"000860"</f>
        <v>000860</v>
      </c>
      <c r="C2551" t="s">
        <v>5432</v>
      </c>
      <c r="D2551" t="s">
        <v>458</v>
      </c>
      <c r="F2551">
        <v>11167228914</v>
      </c>
      <c r="G2551">
        <v>11831590585</v>
      </c>
      <c r="H2551">
        <v>12133295958</v>
      </c>
      <c r="I2551">
        <v>10726846468</v>
      </c>
      <c r="J2551">
        <v>10644476924</v>
      </c>
      <c r="K2551">
        <v>10132569909</v>
      </c>
      <c r="L2551">
        <v>8520530660</v>
      </c>
      <c r="M2551">
        <v>8538657207</v>
      </c>
      <c r="N2551">
        <v>8177996057</v>
      </c>
      <c r="O2551">
        <v>7233070033</v>
      </c>
      <c r="P2551">
        <v>1515</v>
      </c>
      <c r="Q2551" t="s">
        <v>5433</v>
      </c>
    </row>
    <row r="2552" spans="1:17" x14ac:dyDescent="0.3">
      <c r="A2552" t="s">
        <v>4664</v>
      </c>
      <c r="B2552" t="str">
        <f>"000861"</f>
        <v>000861</v>
      </c>
      <c r="C2552" t="s">
        <v>5434</v>
      </c>
      <c r="D2552" t="s">
        <v>271</v>
      </c>
      <c r="F2552">
        <v>1051155428</v>
      </c>
      <c r="G2552">
        <v>1509201836</v>
      </c>
      <c r="H2552">
        <v>1897602524</v>
      </c>
      <c r="I2552">
        <v>2149926089</v>
      </c>
      <c r="J2552">
        <v>1636637738</v>
      </c>
      <c r="K2552">
        <v>1467506258</v>
      </c>
      <c r="L2552">
        <v>1256163533</v>
      </c>
      <c r="M2552">
        <v>1307793866</v>
      </c>
      <c r="N2552">
        <v>1397072908</v>
      </c>
      <c r="O2552">
        <v>1292550258</v>
      </c>
      <c r="P2552">
        <v>184</v>
      </c>
      <c r="Q2552" t="s">
        <v>5435</v>
      </c>
    </row>
    <row r="2553" spans="1:17" x14ac:dyDescent="0.3">
      <c r="A2553" t="s">
        <v>4664</v>
      </c>
      <c r="B2553" t="str">
        <f>"000862"</f>
        <v>000862</v>
      </c>
      <c r="C2553" t="s">
        <v>5436</v>
      </c>
      <c r="D2553" t="s">
        <v>383</v>
      </c>
      <c r="F2553">
        <v>590979345</v>
      </c>
      <c r="G2553">
        <v>682558249</v>
      </c>
      <c r="H2553">
        <v>691081024</v>
      </c>
      <c r="I2553">
        <v>603582722</v>
      </c>
      <c r="J2553">
        <v>341250538</v>
      </c>
      <c r="K2553">
        <v>632603909</v>
      </c>
      <c r="L2553">
        <v>915038272</v>
      </c>
      <c r="M2553">
        <v>1215662152</v>
      </c>
      <c r="N2553">
        <v>803497903</v>
      </c>
      <c r="O2553">
        <v>630562638</v>
      </c>
      <c r="P2553">
        <v>171</v>
      </c>
      <c r="Q2553" t="s">
        <v>5437</v>
      </c>
    </row>
    <row r="2554" spans="1:17" x14ac:dyDescent="0.3">
      <c r="A2554" t="s">
        <v>4664</v>
      </c>
      <c r="B2554" t="str">
        <f>"000863"</f>
        <v>000863</v>
      </c>
      <c r="C2554" t="s">
        <v>5438</v>
      </c>
      <c r="D2554" t="s">
        <v>104</v>
      </c>
      <c r="F2554">
        <v>1451141584</v>
      </c>
      <c r="G2554">
        <v>3713468719</v>
      </c>
      <c r="H2554">
        <v>3079123410</v>
      </c>
      <c r="I2554">
        <v>2512519338</v>
      </c>
      <c r="J2554">
        <v>1015572580</v>
      </c>
      <c r="K2554">
        <v>2620449402</v>
      </c>
      <c r="L2554">
        <v>2121778517</v>
      </c>
      <c r="M2554">
        <v>1561216197</v>
      </c>
      <c r="N2554">
        <v>1753833214</v>
      </c>
      <c r="O2554">
        <v>0</v>
      </c>
      <c r="P2554">
        <v>171</v>
      </c>
      <c r="Q2554" t="s">
        <v>5439</v>
      </c>
    </row>
    <row r="2555" spans="1:17" x14ac:dyDescent="0.3">
      <c r="A2555" t="s">
        <v>4664</v>
      </c>
      <c r="B2555" t="str">
        <f>"000868"</f>
        <v>000868</v>
      </c>
      <c r="C2555" t="s">
        <v>5440</v>
      </c>
      <c r="D2555" t="s">
        <v>153</v>
      </c>
      <c r="F2555">
        <v>1245522522</v>
      </c>
      <c r="G2555">
        <v>1214974262</v>
      </c>
      <c r="H2555">
        <v>2370641834</v>
      </c>
      <c r="I2555">
        <v>2265645710</v>
      </c>
      <c r="J2555">
        <v>2175597828</v>
      </c>
      <c r="K2555">
        <v>1382535287</v>
      </c>
      <c r="L2555">
        <v>1834832783</v>
      </c>
      <c r="M2555">
        <v>2489727966</v>
      </c>
      <c r="N2555">
        <v>2508271742</v>
      </c>
      <c r="O2555">
        <v>2311477137</v>
      </c>
      <c r="P2555">
        <v>171</v>
      </c>
      <c r="Q2555" t="s">
        <v>5441</v>
      </c>
    </row>
    <row r="2556" spans="1:17" x14ac:dyDescent="0.3">
      <c r="A2556" t="s">
        <v>4664</v>
      </c>
      <c r="B2556" t="str">
        <f>"000869"</f>
        <v>000869</v>
      </c>
      <c r="C2556" t="s">
        <v>5442</v>
      </c>
      <c r="D2556" t="s">
        <v>134</v>
      </c>
      <c r="F2556">
        <v>2812156999</v>
      </c>
      <c r="G2556">
        <v>2310331855</v>
      </c>
      <c r="H2556">
        <v>3383591970</v>
      </c>
      <c r="I2556">
        <v>3758220631</v>
      </c>
      <c r="J2556">
        <v>3748429160</v>
      </c>
      <c r="K2556">
        <v>3719438063</v>
      </c>
      <c r="L2556">
        <v>3686172658</v>
      </c>
      <c r="M2556">
        <v>3488176932</v>
      </c>
      <c r="N2556">
        <v>3517257411</v>
      </c>
      <c r="O2556">
        <v>4733220564</v>
      </c>
      <c r="P2556">
        <v>833</v>
      </c>
      <c r="Q2556" t="s">
        <v>5443</v>
      </c>
    </row>
    <row r="2557" spans="1:17" x14ac:dyDescent="0.3">
      <c r="A2557" t="s">
        <v>4664</v>
      </c>
      <c r="B2557" t="str">
        <f>"000875"</f>
        <v>000875</v>
      </c>
      <c r="C2557" t="s">
        <v>5444</v>
      </c>
      <c r="D2557" t="s">
        <v>239</v>
      </c>
      <c r="F2557">
        <v>7127680150</v>
      </c>
      <c r="G2557">
        <v>5564937831</v>
      </c>
      <c r="H2557">
        <v>4732241334</v>
      </c>
      <c r="I2557">
        <v>4373373421</v>
      </c>
      <c r="J2557">
        <v>3033026399</v>
      </c>
      <c r="K2557">
        <v>2969961958</v>
      </c>
      <c r="L2557">
        <v>3103106557</v>
      </c>
      <c r="M2557">
        <v>3363083486</v>
      </c>
      <c r="N2557">
        <v>3069411639</v>
      </c>
      <c r="O2557">
        <v>3425580045</v>
      </c>
      <c r="P2557">
        <v>278</v>
      </c>
      <c r="Q2557" t="s">
        <v>5445</v>
      </c>
    </row>
    <row r="2558" spans="1:17" x14ac:dyDescent="0.3">
      <c r="A2558" t="s">
        <v>4664</v>
      </c>
      <c r="B2558" t="str">
        <f>"000876"</f>
        <v>000876</v>
      </c>
      <c r="C2558" t="s">
        <v>5446</v>
      </c>
      <c r="D2558" t="s">
        <v>1894</v>
      </c>
      <c r="F2558">
        <v>95088015619</v>
      </c>
      <c r="G2558">
        <v>75985637409</v>
      </c>
      <c r="H2558">
        <v>59822855471</v>
      </c>
      <c r="I2558">
        <v>53066779433</v>
      </c>
      <c r="J2558">
        <v>48021861452</v>
      </c>
      <c r="K2558">
        <v>45917264250</v>
      </c>
      <c r="L2558">
        <v>48594200610</v>
      </c>
      <c r="M2558">
        <v>51745987348</v>
      </c>
      <c r="N2558">
        <v>50707285110</v>
      </c>
      <c r="O2558">
        <v>56412730797</v>
      </c>
      <c r="P2558">
        <v>2609</v>
      </c>
      <c r="Q2558" t="s">
        <v>5447</v>
      </c>
    </row>
    <row r="2559" spans="1:17" x14ac:dyDescent="0.3">
      <c r="A2559" t="s">
        <v>4664</v>
      </c>
      <c r="B2559" t="str">
        <f>"000877"</f>
        <v>000877</v>
      </c>
      <c r="C2559" t="s">
        <v>5448</v>
      </c>
      <c r="D2559" t="s">
        <v>731</v>
      </c>
      <c r="F2559">
        <v>119863460912</v>
      </c>
      <c r="G2559">
        <v>5998382711</v>
      </c>
      <c r="H2559">
        <v>5831543528</v>
      </c>
      <c r="I2559">
        <v>4156418250</v>
      </c>
      <c r="J2559">
        <v>3369633950</v>
      </c>
      <c r="K2559">
        <v>2984619176</v>
      </c>
      <c r="L2559">
        <v>3376948908</v>
      </c>
      <c r="M2559">
        <v>3831890044</v>
      </c>
      <c r="N2559">
        <v>4304461070</v>
      </c>
      <c r="O2559">
        <v>3991236744</v>
      </c>
      <c r="P2559">
        <v>742</v>
      </c>
      <c r="Q2559" t="s">
        <v>5449</v>
      </c>
    </row>
    <row r="2560" spans="1:17" x14ac:dyDescent="0.3">
      <c r="A2560" t="s">
        <v>4664</v>
      </c>
      <c r="B2560" t="str">
        <f>"000878"</f>
        <v>000878</v>
      </c>
      <c r="C2560" t="s">
        <v>5450</v>
      </c>
      <c r="D2560" t="s">
        <v>263</v>
      </c>
      <c r="F2560">
        <v>100092065497</v>
      </c>
      <c r="G2560">
        <v>71042847433</v>
      </c>
      <c r="H2560">
        <v>49532483600</v>
      </c>
      <c r="I2560">
        <v>35606648386</v>
      </c>
      <c r="J2560">
        <v>51059309919</v>
      </c>
      <c r="K2560">
        <v>43322814073</v>
      </c>
      <c r="L2560">
        <v>57778216044</v>
      </c>
      <c r="M2560">
        <v>53167129329</v>
      </c>
      <c r="N2560">
        <v>33587036557</v>
      </c>
      <c r="O2560">
        <v>33904973872</v>
      </c>
      <c r="P2560">
        <v>418</v>
      </c>
      <c r="Q2560" t="s">
        <v>5451</v>
      </c>
    </row>
    <row r="2561" spans="1:17" x14ac:dyDescent="0.3">
      <c r="A2561" t="s">
        <v>4664</v>
      </c>
      <c r="B2561" t="str">
        <f>"000880"</f>
        <v>000880</v>
      </c>
      <c r="C2561" t="s">
        <v>5452</v>
      </c>
      <c r="D2561" t="s">
        <v>348</v>
      </c>
      <c r="F2561">
        <v>1978189560</v>
      </c>
      <c r="G2561">
        <v>1889953434</v>
      </c>
      <c r="H2561">
        <v>2244306647</v>
      </c>
      <c r="I2561">
        <v>1619232915</v>
      </c>
      <c r="J2561">
        <v>1404092479</v>
      </c>
      <c r="K2561">
        <v>1433323490</v>
      </c>
      <c r="L2561">
        <v>2179263716</v>
      </c>
      <c r="M2561">
        <v>2516938252</v>
      </c>
      <c r="N2561">
        <v>1577695748</v>
      </c>
      <c r="O2561">
        <v>1535839369</v>
      </c>
      <c r="P2561">
        <v>102</v>
      </c>
      <c r="Q2561" t="s">
        <v>5453</v>
      </c>
    </row>
    <row r="2562" spans="1:17" x14ac:dyDescent="0.3">
      <c r="A2562" t="s">
        <v>4664</v>
      </c>
      <c r="B2562" t="str">
        <f>"000881"</f>
        <v>000881</v>
      </c>
      <c r="C2562" t="s">
        <v>5454</v>
      </c>
      <c r="D2562" t="s">
        <v>386</v>
      </c>
      <c r="F2562">
        <v>5202043744</v>
      </c>
      <c r="G2562">
        <v>5047959154</v>
      </c>
      <c r="H2562">
        <v>4547489393</v>
      </c>
      <c r="I2562">
        <v>4124170130</v>
      </c>
      <c r="J2562">
        <v>3587101492</v>
      </c>
      <c r="K2562">
        <v>1891276233</v>
      </c>
      <c r="L2562">
        <v>1299629750</v>
      </c>
      <c r="M2562">
        <v>1275479727</v>
      </c>
      <c r="N2562">
        <v>1296857905</v>
      </c>
      <c r="O2562">
        <v>1612945127</v>
      </c>
      <c r="P2562">
        <v>169</v>
      </c>
      <c r="Q2562" t="s">
        <v>5455</v>
      </c>
    </row>
    <row r="2563" spans="1:17" x14ac:dyDescent="0.3">
      <c r="A2563" t="s">
        <v>4664</v>
      </c>
      <c r="B2563" t="str">
        <f>"000882"</f>
        <v>000882</v>
      </c>
      <c r="C2563" t="s">
        <v>5456</v>
      </c>
      <c r="D2563" t="s">
        <v>633</v>
      </c>
      <c r="F2563">
        <v>924106640</v>
      </c>
      <c r="G2563">
        <v>712283582</v>
      </c>
      <c r="H2563">
        <v>975887556</v>
      </c>
      <c r="I2563">
        <v>1128902180</v>
      </c>
      <c r="J2563">
        <v>847403647</v>
      </c>
      <c r="K2563">
        <v>767921903</v>
      </c>
      <c r="L2563">
        <v>858061190</v>
      </c>
      <c r="M2563">
        <v>810568965</v>
      </c>
      <c r="N2563">
        <v>611580571</v>
      </c>
      <c r="O2563">
        <v>521483352</v>
      </c>
      <c r="P2563">
        <v>114</v>
      </c>
      <c r="Q2563" t="s">
        <v>5457</v>
      </c>
    </row>
    <row r="2564" spans="1:17" x14ac:dyDescent="0.3">
      <c r="A2564" t="s">
        <v>4664</v>
      </c>
      <c r="B2564" t="str">
        <f>"000883"</f>
        <v>000883</v>
      </c>
      <c r="C2564" t="s">
        <v>5458</v>
      </c>
      <c r="D2564" t="s">
        <v>239</v>
      </c>
      <c r="F2564">
        <v>26991925672</v>
      </c>
      <c r="G2564">
        <v>12417083277</v>
      </c>
      <c r="H2564">
        <v>12333585460</v>
      </c>
      <c r="I2564">
        <v>9739456210</v>
      </c>
      <c r="J2564">
        <v>9146362297</v>
      </c>
      <c r="K2564">
        <v>7235017851</v>
      </c>
      <c r="L2564">
        <v>6298521448</v>
      </c>
      <c r="M2564">
        <v>5798305848</v>
      </c>
      <c r="N2564">
        <v>8033010168</v>
      </c>
      <c r="O2564">
        <v>8648825995</v>
      </c>
      <c r="P2564">
        <v>419</v>
      </c>
      <c r="Q2564" t="s">
        <v>5459</v>
      </c>
    </row>
    <row r="2565" spans="1:17" x14ac:dyDescent="0.3">
      <c r="A2565" t="s">
        <v>4664</v>
      </c>
      <c r="B2565" t="str">
        <f>"000885"</f>
        <v>000885</v>
      </c>
      <c r="C2565" t="s">
        <v>5460</v>
      </c>
      <c r="D2565" t="s">
        <v>44</v>
      </c>
      <c r="F2565">
        <v>1916876365</v>
      </c>
      <c r="G2565">
        <v>1230330783</v>
      </c>
      <c r="H2565">
        <v>1676869620</v>
      </c>
      <c r="I2565">
        <v>1464364447</v>
      </c>
      <c r="J2565">
        <v>3664418810</v>
      </c>
      <c r="K2565">
        <v>2312065268</v>
      </c>
      <c r="L2565">
        <v>2198089716</v>
      </c>
      <c r="M2565">
        <v>2914796094</v>
      </c>
      <c r="N2565">
        <v>2467580450</v>
      </c>
      <c r="O2565">
        <v>3364271070</v>
      </c>
      <c r="P2565">
        <v>236</v>
      </c>
      <c r="Q2565" t="s">
        <v>5461</v>
      </c>
    </row>
    <row r="2566" spans="1:17" x14ac:dyDescent="0.3">
      <c r="A2566" t="s">
        <v>4664</v>
      </c>
      <c r="B2566" t="str">
        <f>"000886"</f>
        <v>000886</v>
      </c>
      <c r="C2566" t="s">
        <v>5462</v>
      </c>
      <c r="D2566" t="s">
        <v>44</v>
      </c>
      <c r="F2566">
        <v>56109596</v>
      </c>
      <c r="G2566">
        <v>47220663</v>
      </c>
      <c r="H2566">
        <v>114421010</v>
      </c>
      <c r="I2566">
        <v>413083844</v>
      </c>
      <c r="J2566">
        <v>402692202</v>
      </c>
      <c r="K2566">
        <v>183978177</v>
      </c>
      <c r="L2566">
        <v>200663474</v>
      </c>
      <c r="M2566">
        <v>253810861</v>
      </c>
      <c r="N2566">
        <v>217155916</v>
      </c>
      <c r="O2566">
        <v>242071093</v>
      </c>
      <c r="P2566">
        <v>130</v>
      </c>
      <c r="Q2566" t="s">
        <v>5463</v>
      </c>
    </row>
    <row r="2567" spans="1:17" x14ac:dyDescent="0.3">
      <c r="A2567" t="s">
        <v>4664</v>
      </c>
      <c r="B2567" t="str">
        <f>"000887"</f>
        <v>000887</v>
      </c>
      <c r="C2567" t="s">
        <v>5464</v>
      </c>
      <c r="D2567" t="s">
        <v>985</v>
      </c>
      <c r="F2567">
        <v>9119401889</v>
      </c>
      <c r="G2567">
        <v>8072592374</v>
      </c>
      <c r="H2567">
        <v>8317021919</v>
      </c>
      <c r="I2567">
        <v>8702066166</v>
      </c>
      <c r="J2567">
        <v>7853047748</v>
      </c>
      <c r="K2567">
        <v>5501592067</v>
      </c>
      <c r="L2567">
        <v>4517437001</v>
      </c>
      <c r="M2567">
        <v>3392029618</v>
      </c>
      <c r="N2567">
        <v>2606317451</v>
      </c>
      <c r="O2567">
        <v>2327283316</v>
      </c>
      <c r="P2567">
        <v>7118</v>
      </c>
      <c r="Q2567" t="s">
        <v>5465</v>
      </c>
    </row>
    <row r="2568" spans="1:17" x14ac:dyDescent="0.3">
      <c r="A2568" t="s">
        <v>4664</v>
      </c>
      <c r="B2568" t="str">
        <f>"000888"</f>
        <v>000888</v>
      </c>
      <c r="C2568" t="s">
        <v>5466</v>
      </c>
      <c r="D2568" t="s">
        <v>119</v>
      </c>
      <c r="F2568">
        <v>518644531</v>
      </c>
      <c r="G2568">
        <v>374372594</v>
      </c>
      <c r="H2568">
        <v>866618366</v>
      </c>
      <c r="I2568">
        <v>842592920</v>
      </c>
      <c r="J2568">
        <v>864736953</v>
      </c>
      <c r="K2568">
        <v>807521388</v>
      </c>
      <c r="L2568">
        <v>819106884</v>
      </c>
      <c r="M2568">
        <v>771091054</v>
      </c>
      <c r="N2568">
        <v>652080509</v>
      </c>
      <c r="O2568">
        <v>732296525</v>
      </c>
      <c r="P2568">
        <v>218</v>
      </c>
      <c r="Q2568" t="s">
        <v>5467</v>
      </c>
    </row>
    <row r="2569" spans="1:17" x14ac:dyDescent="0.3">
      <c r="A2569" t="s">
        <v>4664</v>
      </c>
      <c r="B2569" t="str">
        <f>"000889"</f>
        <v>000889</v>
      </c>
      <c r="C2569" t="s">
        <v>5468</v>
      </c>
      <c r="D2569" t="s">
        <v>654</v>
      </c>
      <c r="F2569">
        <v>1763854762</v>
      </c>
      <c r="G2569">
        <v>1868967331</v>
      </c>
      <c r="H2569">
        <v>2466222964</v>
      </c>
      <c r="I2569">
        <v>1905020357</v>
      </c>
      <c r="J2569">
        <v>1252704511</v>
      </c>
      <c r="K2569">
        <v>1233157736</v>
      </c>
      <c r="L2569">
        <v>1698912285</v>
      </c>
      <c r="M2569">
        <v>1464105272</v>
      </c>
      <c r="N2569">
        <v>1786842866</v>
      </c>
      <c r="O2569">
        <v>1254702068</v>
      </c>
      <c r="P2569">
        <v>157</v>
      </c>
      <c r="Q2569" t="s">
        <v>5469</v>
      </c>
    </row>
    <row r="2570" spans="1:17" x14ac:dyDescent="0.3">
      <c r="A2570" t="s">
        <v>4664</v>
      </c>
      <c r="B2570" t="str">
        <f>"000890"</f>
        <v>000890</v>
      </c>
      <c r="C2570" t="s">
        <v>5470</v>
      </c>
      <c r="D2570" t="s">
        <v>274</v>
      </c>
      <c r="F2570">
        <v>469535346</v>
      </c>
      <c r="G2570">
        <v>556019577</v>
      </c>
      <c r="H2570">
        <v>1156762916</v>
      </c>
      <c r="I2570">
        <v>1886505540</v>
      </c>
      <c r="J2570">
        <v>1904347509</v>
      </c>
      <c r="K2570">
        <v>1275936942</v>
      </c>
      <c r="L2570">
        <v>1501825304</v>
      </c>
      <c r="M2570">
        <v>1714843885</v>
      </c>
      <c r="N2570">
        <v>1173466249</v>
      </c>
      <c r="O2570">
        <v>1682511210</v>
      </c>
      <c r="P2570">
        <v>133</v>
      </c>
      <c r="Q2570" t="s">
        <v>5471</v>
      </c>
    </row>
    <row r="2571" spans="1:17" x14ac:dyDescent="0.3">
      <c r="A2571" t="s">
        <v>4664</v>
      </c>
      <c r="B2571" t="str">
        <f>"000892"</f>
        <v>000892</v>
      </c>
      <c r="C2571" t="s">
        <v>5472</v>
      </c>
      <c r="D2571" t="s">
        <v>113</v>
      </c>
      <c r="F2571">
        <v>606936582</v>
      </c>
      <c r="G2571">
        <v>339112528</v>
      </c>
      <c r="H2571">
        <v>939261402</v>
      </c>
      <c r="I2571">
        <v>716349116</v>
      </c>
      <c r="J2571">
        <v>757481531</v>
      </c>
      <c r="K2571">
        <v>13440132</v>
      </c>
      <c r="L2571">
        <v>733096</v>
      </c>
      <c r="M2571">
        <v>0</v>
      </c>
      <c r="N2571">
        <v>8162539</v>
      </c>
      <c r="O2571">
        <v>3391846</v>
      </c>
      <c r="P2571">
        <v>109</v>
      </c>
      <c r="Q2571" t="s">
        <v>5473</v>
      </c>
    </row>
    <row r="2572" spans="1:17" x14ac:dyDescent="0.3">
      <c r="A2572" t="s">
        <v>4664</v>
      </c>
      <c r="B2572" t="str">
        <f>"000893"</f>
        <v>000893</v>
      </c>
      <c r="C2572" t="s">
        <v>5474</v>
      </c>
      <c r="D2572" t="s">
        <v>3431</v>
      </c>
      <c r="F2572">
        <v>506330523</v>
      </c>
      <c r="G2572">
        <v>291301055</v>
      </c>
      <c r="H2572">
        <v>460525847</v>
      </c>
      <c r="I2572">
        <v>291274968</v>
      </c>
      <c r="J2572">
        <v>1218344070</v>
      </c>
      <c r="K2572">
        <v>2280128301</v>
      </c>
      <c r="L2572">
        <v>9835351307</v>
      </c>
      <c r="M2572">
        <v>11485351280</v>
      </c>
      <c r="N2572">
        <v>8763896089</v>
      </c>
      <c r="O2572">
        <v>7060067714</v>
      </c>
      <c r="P2572">
        <v>159</v>
      </c>
      <c r="Q2572" t="s">
        <v>5475</v>
      </c>
    </row>
    <row r="2573" spans="1:17" x14ac:dyDescent="0.3">
      <c r="A2573" t="s">
        <v>4664</v>
      </c>
      <c r="B2573" t="str">
        <f>"000895"</f>
        <v>000895</v>
      </c>
      <c r="C2573" t="s">
        <v>5476</v>
      </c>
      <c r="D2573" t="s">
        <v>170</v>
      </c>
      <c r="F2573">
        <v>54782226058</v>
      </c>
      <c r="G2573">
        <v>59640589296</v>
      </c>
      <c r="H2573">
        <v>45995420122</v>
      </c>
      <c r="I2573">
        <v>38936306338</v>
      </c>
      <c r="J2573">
        <v>40575143725</v>
      </c>
      <c r="K2573">
        <v>41766721716</v>
      </c>
      <c r="L2573">
        <v>35532077783</v>
      </c>
      <c r="M2573">
        <v>36336515541</v>
      </c>
      <c r="N2573">
        <v>35642802796</v>
      </c>
      <c r="O2573">
        <v>33413479789</v>
      </c>
      <c r="P2573">
        <v>37259</v>
      </c>
      <c r="Q2573" t="s">
        <v>5477</v>
      </c>
    </row>
    <row r="2574" spans="1:17" x14ac:dyDescent="0.3">
      <c r="A2574" t="s">
        <v>4664</v>
      </c>
      <c r="B2574" t="str">
        <f>"000897"</f>
        <v>000897</v>
      </c>
      <c r="C2574" t="s">
        <v>5478</v>
      </c>
      <c r="D2574" t="s">
        <v>104</v>
      </c>
      <c r="F2574">
        <v>1837297122</v>
      </c>
      <c r="G2574">
        <v>1436367525</v>
      </c>
      <c r="H2574">
        <v>1366332680</v>
      </c>
      <c r="I2574">
        <v>1209841198</v>
      </c>
      <c r="J2574">
        <v>467064502</v>
      </c>
      <c r="K2574">
        <v>899472170</v>
      </c>
      <c r="L2574">
        <v>669613891</v>
      </c>
      <c r="M2574">
        <v>797185156</v>
      </c>
      <c r="N2574">
        <v>1048870221</v>
      </c>
      <c r="O2574">
        <v>1995427368</v>
      </c>
      <c r="P2574">
        <v>170</v>
      </c>
      <c r="Q2574" t="s">
        <v>5479</v>
      </c>
    </row>
    <row r="2575" spans="1:17" x14ac:dyDescent="0.3">
      <c r="A2575" t="s">
        <v>4664</v>
      </c>
      <c r="B2575" t="str">
        <f>"000898"</f>
        <v>000898</v>
      </c>
      <c r="C2575" t="s">
        <v>5480</v>
      </c>
      <c r="D2575" t="s">
        <v>38</v>
      </c>
      <c r="F2575">
        <v>109582000000</v>
      </c>
      <c r="G2575">
        <v>73495000000</v>
      </c>
      <c r="H2575">
        <v>70082000000</v>
      </c>
      <c r="I2575">
        <v>64605000000</v>
      </c>
      <c r="J2575">
        <v>51045000000</v>
      </c>
      <c r="K2575">
        <v>38210000000</v>
      </c>
      <c r="L2575">
        <v>38520000000</v>
      </c>
      <c r="M2575">
        <v>51980000000</v>
      </c>
      <c r="N2575">
        <v>51433000000</v>
      </c>
      <c r="O2575">
        <v>54614000000</v>
      </c>
      <c r="P2575">
        <v>646</v>
      </c>
      <c r="Q2575" t="s">
        <v>5481</v>
      </c>
    </row>
    <row r="2576" spans="1:17" x14ac:dyDescent="0.3">
      <c r="A2576" t="s">
        <v>4664</v>
      </c>
      <c r="B2576" t="str">
        <f>"000899"</f>
        <v>000899</v>
      </c>
      <c r="C2576" t="s">
        <v>5482</v>
      </c>
      <c r="D2576" t="s">
        <v>41</v>
      </c>
      <c r="F2576">
        <v>2477862214</v>
      </c>
      <c r="G2576">
        <v>1806651839</v>
      </c>
      <c r="H2576">
        <v>2132358336</v>
      </c>
      <c r="I2576">
        <v>2011045258</v>
      </c>
      <c r="J2576">
        <v>1866337556</v>
      </c>
      <c r="K2576">
        <v>1647475499</v>
      </c>
      <c r="L2576">
        <v>2005593595</v>
      </c>
      <c r="M2576">
        <v>1951138028</v>
      </c>
      <c r="N2576">
        <v>2143219497</v>
      </c>
      <c r="O2576">
        <v>2149522923</v>
      </c>
      <c r="P2576">
        <v>174</v>
      </c>
      <c r="Q2576" t="s">
        <v>5483</v>
      </c>
    </row>
    <row r="2577" spans="1:17" x14ac:dyDescent="0.3">
      <c r="A2577" t="s">
        <v>4664</v>
      </c>
      <c r="B2577" t="str">
        <f>"000900"</f>
        <v>000900</v>
      </c>
      <c r="C2577" t="s">
        <v>5484</v>
      </c>
      <c r="D2577" t="s">
        <v>44</v>
      </c>
      <c r="F2577">
        <v>19838574257</v>
      </c>
      <c r="G2577">
        <v>10705927114</v>
      </c>
      <c r="H2577">
        <v>10297821334</v>
      </c>
      <c r="I2577">
        <v>9682918639</v>
      </c>
      <c r="J2577">
        <v>8549129051</v>
      </c>
      <c r="K2577">
        <v>7501696974</v>
      </c>
      <c r="L2577">
        <v>4909892160</v>
      </c>
      <c r="M2577">
        <v>1499233947</v>
      </c>
      <c r="N2577">
        <v>1343107941</v>
      </c>
      <c r="O2577">
        <v>1095227679</v>
      </c>
      <c r="P2577">
        <v>570</v>
      </c>
      <c r="Q2577" t="s">
        <v>5485</v>
      </c>
    </row>
    <row r="2578" spans="1:17" x14ac:dyDescent="0.3">
      <c r="A2578" t="s">
        <v>4664</v>
      </c>
      <c r="B2578" t="str">
        <f>"000901"</f>
        <v>000901</v>
      </c>
      <c r="C2578" t="s">
        <v>5486</v>
      </c>
      <c r="D2578" t="s">
        <v>1136</v>
      </c>
      <c r="F2578">
        <v>3948479590</v>
      </c>
      <c r="G2578">
        <v>3599060321</v>
      </c>
      <c r="H2578">
        <v>4132471082</v>
      </c>
      <c r="I2578">
        <v>4310407269</v>
      </c>
      <c r="J2578">
        <v>4263419438</v>
      </c>
      <c r="K2578">
        <v>1125383099</v>
      </c>
      <c r="L2578">
        <v>1231152097</v>
      </c>
      <c r="M2578">
        <v>855973548</v>
      </c>
      <c r="N2578">
        <v>724275590</v>
      </c>
      <c r="O2578">
        <v>509364826</v>
      </c>
      <c r="P2578">
        <v>224</v>
      </c>
      <c r="Q2578" t="s">
        <v>5487</v>
      </c>
    </row>
    <row r="2579" spans="1:17" x14ac:dyDescent="0.3">
      <c r="A2579" t="s">
        <v>4664</v>
      </c>
      <c r="B2579" t="str">
        <f>"000902"</f>
        <v>000902</v>
      </c>
      <c r="C2579" t="s">
        <v>5488</v>
      </c>
      <c r="D2579" t="s">
        <v>5489</v>
      </c>
      <c r="F2579">
        <v>8464402253</v>
      </c>
      <c r="G2579">
        <v>7084707609</v>
      </c>
      <c r="H2579">
        <v>6411083684</v>
      </c>
      <c r="I2579">
        <v>6717171118</v>
      </c>
      <c r="J2579">
        <v>6168064541</v>
      </c>
      <c r="K2579">
        <v>5588456512</v>
      </c>
      <c r="L2579">
        <v>5334067272</v>
      </c>
      <c r="M2579">
        <v>6289751762</v>
      </c>
      <c r="N2579">
        <v>1199227110</v>
      </c>
      <c r="O2579">
        <v>1422140186</v>
      </c>
      <c r="P2579">
        <v>406</v>
      </c>
      <c r="Q2579" t="s">
        <v>5490</v>
      </c>
    </row>
    <row r="2580" spans="1:17" x14ac:dyDescent="0.3">
      <c r="A2580" t="s">
        <v>4664</v>
      </c>
      <c r="B2580" t="str">
        <f>"000903"</f>
        <v>000903</v>
      </c>
      <c r="C2580" t="s">
        <v>5491</v>
      </c>
      <c r="D2580" t="s">
        <v>348</v>
      </c>
      <c r="F2580">
        <v>7643379667</v>
      </c>
      <c r="G2580">
        <v>6964045772</v>
      </c>
      <c r="H2580">
        <v>6130849083</v>
      </c>
      <c r="I2580">
        <v>5672597647</v>
      </c>
      <c r="J2580">
        <v>3638785736</v>
      </c>
      <c r="K2580">
        <v>2609331874</v>
      </c>
      <c r="L2580">
        <v>2434216759</v>
      </c>
      <c r="M2580">
        <v>1446895475</v>
      </c>
      <c r="N2580">
        <v>1194383360</v>
      </c>
      <c r="O2580">
        <v>1602461402</v>
      </c>
      <c r="P2580">
        <v>155</v>
      </c>
      <c r="Q2580" t="s">
        <v>5492</v>
      </c>
    </row>
    <row r="2581" spans="1:17" x14ac:dyDescent="0.3">
      <c r="A2581" t="s">
        <v>4664</v>
      </c>
      <c r="B2581" t="str">
        <f>"000905"</f>
        <v>000905</v>
      </c>
      <c r="C2581" t="s">
        <v>5493</v>
      </c>
      <c r="D2581" t="s">
        <v>51</v>
      </c>
      <c r="F2581">
        <v>19829239765</v>
      </c>
      <c r="G2581">
        <v>14380079986</v>
      </c>
      <c r="H2581">
        <v>11714042894</v>
      </c>
      <c r="I2581">
        <v>11643338719</v>
      </c>
      <c r="J2581">
        <v>11075490224</v>
      </c>
      <c r="K2581">
        <v>7228675707</v>
      </c>
      <c r="L2581">
        <v>5822085107</v>
      </c>
      <c r="M2581">
        <v>5515563586</v>
      </c>
      <c r="N2581">
        <v>3388363338</v>
      </c>
      <c r="O2581">
        <v>1904706848</v>
      </c>
      <c r="P2581">
        <v>213</v>
      </c>
      <c r="Q2581" t="s">
        <v>5494</v>
      </c>
    </row>
    <row r="2582" spans="1:17" x14ac:dyDescent="0.3">
      <c r="A2582" t="s">
        <v>4664</v>
      </c>
      <c r="B2582" t="str">
        <f>"000906"</f>
        <v>000906</v>
      </c>
      <c r="C2582" t="s">
        <v>5495</v>
      </c>
      <c r="D2582" t="s">
        <v>128</v>
      </c>
      <c r="F2582">
        <v>156606805984</v>
      </c>
      <c r="G2582">
        <v>81915654411</v>
      </c>
      <c r="H2582">
        <v>56239519644</v>
      </c>
      <c r="I2582">
        <v>51279191563</v>
      </c>
      <c r="J2582">
        <v>36406848422</v>
      </c>
      <c r="K2582">
        <v>24417233603</v>
      </c>
      <c r="L2582">
        <v>16834927001</v>
      </c>
      <c r="M2582">
        <v>15054004975</v>
      </c>
      <c r="N2582">
        <v>18210575652</v>
      </c>
      <c r="O2582">
        <v>16592723034</v>
      </c>
      <c r="P2582">
        <v>238</v>
      </c>
      <c r="Q2582" t="s">
        <v>5496</v>
      </c>
    </row>
    <row r="2583" spans="1:17" x14ac:dyDescent="0.3">
      <c r="A2583" t="s">
        <v>4664</v>
      </c>
      <c r="B2583" t="str">
        <f>"000908"</f>
        <v>000908</v>
      </c>
      <c r="C2583" t="s">
        <v>5497</v>
      </c>
      <c r="D2583" t="s">
        <v>143</v>
      </c>
      <c r="F2583">
        <v>713188392</v>
      </c>
      <c r="G2583">
        <v>771104458</v>
      </c>
      <c r="H2583">
        <v>1666074002</v>
      </c>
      <c r="I2583">
        <v>2178596611</v>
      </c>
      <c r="J2583">
        <v>2024297270</v>
      </c>
      <c r="K2583">
        <v>1773601381</v>
      </c>
      <c r="L2583">
        <v>1534114216</v>
      </c>
      <c r="M2583">
        <v>82463815</v>
      </c>
      <c r="N2583">
        <v>103367716</v>
      </c>
      <c r="O2583">
        <v>100869914</v>
      </c>
      <c r="P2583">
        <v>186</v>
      </c>
      <c r="Q2583" t="s">
        <v>5498</v>
      </c>
    </row>
    <row r="2584" spans="1:17" x14ac:dyDescent="0.3">
      <c r="A2584" t="s">
        <v>4664</v>
      </c>
      <c r="B2584" t="str">
        <f>"000909"</f>
        <v>000909</v>
      </c>
      <c r="C2584" t="s">
        <v>5499</v>
      </c>
      <c r="D2584" t="s">
        <v>104</v>
      </c>
      <c r="F2584">
        <v>1072795836</v>
      </c>
      <c r="G2584">
        <v>944803487</v>
      </c>
      <c r="H2584">
        <v>766416672</v>
      </c>
      <c r="I2584">
        <v>1081084312</v>
      </c>
      <c r="J2584">
        <v>1312933212</v>
      </c>
      <c r="K2584">
        <v>1517895877</v>
      </c>
      <c r="L2584">
        <v>820532194</v>
      </c>
      <c r="M2584">
        <v>1435345670</v>
      </c>
      <c r="N2584">
        <v>866205535</v>
      </c>
      <c r="O2584">
        <v>1153965677</v>
      </c>
      <c r="P2584">
        <v>206</v>
      </c>
      <c r="Q2584" t="s">
        <v>5500</v>
      </c>
    </row>
    <row r="2585" spans="1:17" x14ac:dyDescent="0.3">
      <c r="A2585" t="s">
        <v>4664</v>
      </c>
      <c r="B2585" t="str">
        <f>"000910"</f>
        <v>000910</v>
      </c>
      <c r="C2585" t="s">
        <v>5501</v>
      </c>
      <c r="D2585" t="s">
        <v>178</v>
      </c>
      <c r="F2585">
        <v>6017781976</v>
      </c>
      <c r="G2585">
        <v>4794869027</v>
      </c>
      <c r="H2585">
        <v>5032494027</v>
      </c>
      <c r="I2585">
        <v>5379969553</v>
      </c>
      <c r="J2585">
        <v>4797482236</v>
      </c>
      <c r="K2585">
        <v>4332550105</v>
      </c>
      <c r="L2585">
        <v>6174202850</v>
      </c>
      <c r="M2585">
        <v>5835686633</v>
      </c>
      <c r="N2585">
        <v>5548052912</v>
      </c>
      <c r="O2585">
        <v>5997172737</v>
      </c>
      <c r="P2585">
        <v>813</v>
      </c>
      <c r="Q2585" t="s">
        <v>5502</v>
      </c>
    </row>
    <row r="2586" spans="1:17" x14ac:dyDescent="0.3">
      <c r="A2586" t="s">
        <v>4664</v>
      </c>
      <c r="B2586" t="str">
        <f>"000911"</f>
        <v>000911</v>
      </c>
      <c r="C2586" t="s">
        <v>5503</v>
      </c>
      <c r="D2586" t="s">
        <v>445</v>
      </c>
      <c r="F2586">
        <v>2371960923</v>
      </c>
      <c r="G2586">
        <v>3417040684</v>
      </c>
      <c r="H2586">
        <v>3000661751</v>
      </c>
      <c r="I2586">
        <v>3533018563</v>
      </c>
      <c r="J2586">
        <v>2597263752</v>
      </c>
      <c r="K2586">
        <v>2083727091</v>
      </c>
      <c r="L2586">
        <v>2236169463</v>
      </c>
      <c r="M2586">
        <v>2507197052</v>
      </c>
      <c r="N2586">
        <v>3283360866</v>
      </c>
      <c r="O2586">
        <v>2910002944</v>
      </c>
      <c r="P2586">
        <v>334</v>
      </c>
      <c r="Q2586" t="s">
        <v>5504</v>
      </c>
    </row>
    <row r="2587" spans="1:17" x14ac:dyDescent="0.3">
      <c r="A2587" t="s">
        <v>4664</v>
      </c>
      <c r="B2587" t="str">
        <f>"000912"</f>
        <v>000912</v>
      </c>
      <c r="C2587" t="s">
        <v>5505</v>
      </c>
      <c r="D2587" t="s">
        <v>909</v>
      </c>
      <c r="F2587">
        <v>4661949245</v>
      </c>
      <c r="G2587">
        <v>3159606686</v>
      </c>
      <c r="H2587">
        <v>4212538165</v>
      </c>
      <c r="I2587">
        <v>4025693623</v>
      </c>
      <c r="J2587">
        <v>3299629033</v>
      </c>
      <c r="K2587">
        <v>2499631512</v>
      </c>
      <c r="L2587">
        <v>3330525991</v>
      </c>
      <c r="M2587">
        <v>3592998113</v>
      </c>
      <c r="N2587">
        <v>3864263264</v>
      </c>
      <c r="O2587">
        <v>3402716546</v>
      </c>
      <c r="P2587">
        <v>110</v>
      </c>
      <c r="Q2587" t="s">
        <v>5506</v>
      </c>
    </row>
    <row r="2588" spans="1:17" x14ac:dyDescent="0.3">
      <c r="A2588" t="s">
        <v>4664</v>
      </c>
      <c r="B2588" t="str">
        <f>"000913"</f>
        <v>000913</v>
      </c>
      <c r="C2588" t="s">
        <v>5507</v>
      </c>
      <c r="D2588" t="s">
        <v>1654</v>
      </c>
      <c r="F2588">
        <v>3398005697</v>
      </c>
      <c r="G2588">
        <v>2744243027</v>
      </c>
      <c r="H2588">
        <v>2813908226</v>
      </c>
      <c r="I2588">
        <v>2102050202</v>
      </c>
      <c r="J2588">
        <v>1655447824</v>
      </c>
      <c r="K2588">
        <v>1282084885</v>
      </c>
      <c r="L2588">
        <v>1133862739</v>
      </c>
      <c r="M2588">
        <v>1083143020</v>
      </c>
      <c r="N2588">
        <v>1578463257</v>
      </c>
      <c r="O2588">
        <v>2075730307</v>
      </c>
      <c r="P2588">
        <v>176</v>
      </c>
      <c r="Q2588" t="s">
        <v>5508</v>
      </c>
    </row>
    <row r="2589" spans="1:17" x14ac:dyDescent="0.3">
      <c r="A2589" t="s">
        <v>4664</v>
      </c>
      <c r="B2589" t="str">
        <f>"000915"</f>
        <v>000915</v>
      </c>
      <c r="C2589" t="s">
        <v>5509</v>
      </c>
      <c r="D2589" t="s">
        <v>143</v>
      </c>
      <c r="F2589">
        <v>1884252081</v>
      </c>
      <c r="G2589">
        <v>1563630538</v>
      </c>
      <c r="H2589">
        <v>1134045787</v>
      </c>
      <c r="I2589">
        <v>1623237570</v>
      </c>
      <c r="J2589">
        <v>1359654067</v>
      </c>
      <c r="K2589">
        <v>1242054512</v>
      </c>
      <c r="L2589">
        <v>950468193</v>
      </c>
      <c r="M2589">
        <v>980154179</v>
      </c>
      <c r="N2589">
        <v>796629812</v>
      </c>
      <c r="O2589">
        <v>629433654</v>
      </c>
      <c r="P2589">
        <v>648</v>
      </c>
      <c r="Q2589" t="s">
        <v>5510</v>
      </c>
    </row>
    <row r="2590" spans="1:17" x14ac:dyDescent="0.3">
      <c r="A2590" t="s">
        <v>4664</v>
      </c>
      <c r="B2590" t="str">
        <f>"000916"</f>
        <v>000916</v>
      </c>
      <c r="C2590" t="s">
        <v>5511</v>
      </c>
      <c r="J2590">
        <v>869446641</v>
      </c>
      <c r="K2590">
        <v>636524837.38999999</v>
      </c>
      <c r="L2590">
        <v>512516326.11000001</v>
      </c>
      <c r="M2590">
        <v>547515995.30999994</v>
      </c>
      <c r="N2590">
        <v>488825278.83999997</v>
      </c>
      <c r="O2590">
        <v>493180028.19</v>
      </c>
      <c r="P2590">
        <v>27</v>
      </c>
      <c r="Q2590" t="s">
        <v>5512</v>
      </c>
    </row>
    <row r="2591" spans="1:17" x14ac:dyDescent="0.3">
      <c r="A2591" t="s">
        <v>4664</v>
      </c>
      <c r="B2591" t="str">
        <f>"000917"</f>
        <v>000917</v>
      </c>
      <c r="C2591" t="s">
        <v>5513</v>
      </c>
      <c r="D2591" t="s">
        <v>95</v>
      </c>
      <c r="F2591">
        <v>3651747927</v>
      </c>
      <c r="G2591">
        <v>4395994253</v>
      </c>
      <c r="H2591">
        <v>4739253217</v>
      </c>
      <c r="I2591">
        <v>7252360410</v>
      </c>
      <c r="J2591">
        <v>6004217679</v>
      </c>
      <c r="K2591">
        <v>5111679101</v>
      </c>
      <c r="L2591">
        <v>4109559877</v>
      </c>
      <c r="M2591">
        <v>3798503755</v>
      </c>
      <c r="N2591">
        <v>3739609609</v>
      </c>
      <c r="O2591">
        <v>2438286653</v>
      </c>
      <c r="P2591">
        <v>267</v>
      </c>
      <c r="Q2591" t="s">
        <v>5514</v>
      </c>
    </row>
    <row r="2592" spans="1:17" x14ac:dyDescent="0.3">
      <c r="A2592" t="s">
        <v>4664</v>
      </c>
      <c r="B2592" t="str">
        <f>"000918"</f>
        <v>000918</v>
      </c>
      <c r="C2592" t="s">
        <v>5515</v>
      </c>
      <c r="D2592" t="s">
        <v>104</v>
      </c>
      <c r="F2592">
        <v>851328651</v>
      </c>
      <c r="G2592">
        <v>619044100</v>
      </c>
      <c r="H2592">
        <v>1258206391</v>
      </c>
      <c r="I2592">
        <v>417028531</v>
      </c>
      <c r="J2592">
        <v>429764173</v>
      </c>
      <c r="K2592">
        <v>2708154125</v>
      </c>
      <c r="L2592">
        <v>4360387405</v>
      </c>
      <c r="M2592">
        <v>6645704908</v>
      </c>
      <c r="N2592">
        <v>5337413974</v>
      </c>
      <c r="O2592">
        <v>5858880120</v>
      </c>
      <c r="P2592">
        <v>123</v>
      </c>
      <c r="Q2592" t="s">
        <v>5516</v>
      </c>
    </row>
    <row r="2593" spans="1:17" x14ac:dyDescent="0.3">
      <c r="A2593" t="s">
        <v>4664</v>
      </c>
      <c r="B2593" t="str">
        <f>"000919"</f>
        <v>000919</v>
      </c>
      <c r="C2593" t="s">
        <v>5517</v>
      </c>
      <c r="D2593" t="s">
        <v>188</v>
      </c>
      <c r="F2593">
        <v>2061084626</v>
      </c>
      <c r="G2593">
        <v>1803881357</v>
      </c>
      <c r="H2593">
        <v>1993127036</v>
      </c>
      <c r="I2593">
        <v>2472770184</v>
      </c>
      <c r="J2593">
        <v>2563052963</v>
      </c>
      <c r="K2593">
        <v>2617302176</v>
      </c>
      <c r="L2593">
        <v>2237592967</v>
      </c>
      <c r="M2593">
        <v>2021483176</v>
      </c>
      <c r="N2593">
        <v>1817728035</v>
      </c>
      <c r="O2593">
        <v>1406362536</v>
      </c>
      <c r="P2593">
        <v>179</v>
      </c>
      <c r="Q2593" t="s">
        <v>5518</v>
      </c>
    </row>
    <row r="2594" spans="1:17" x14ac:dyDescent="0.3">
      <c r="A2594" t="s">
        <v>4664</v>
      </c>
      <c r="B2594" t="str">
        <f>"000920"</f>
        <v>000920</v>
      </c>
      <c r="C2594" t="s">
        <v>5519</v>
      </c>
      <c r="D2594" t="s">
        <v>33</v>
      </c>
      <c r="F2594">
        <v>1050908070</v>
      </c>
      <c r="G2594">
        <v>766717077</v>
      </c>
      <c r="H2594">
        <v>683978109</v>
      </c>
      <c r="I2594">
        <v>624976963</v>
      </c>
      <c r="J2594">
        <v>671394752</v>
      </c>
      <c r="K2594">
        <v>674731081</v>
      </c>
      <c r="L2594">
        <v>582362551</v>
      </c>
      <c r="M2594">
        <v>1370141021</v>
      </c>
      <c r="N2594">
        <v>1213332494</v>
      </c>
      <c r="O2594">
        <v>1367905517</v>
      </c>
      <c r="P2594">
        <v>122</v>
      </c>
      <c r="Q2594" t="s">
        <v>5520</v>
      </c>
    </row>
    <row r="2595" spans="1:17" x14ac:dyDescent="0.3">
      <c r="A2595" t="s">
        <v>4664</v>
      </c>
      <c r="B2595" t="str">
        <f>"000921"</f>
        <v>000921</v>
      </c>
      <c r="C2595" t="s">
        <v>5521</v>
      </c>
      <c r="D2595" t="s">
        <v>1723</v>
      </c>
      <c r="F2595">
        <v>38114936553</v>
      </c>
      <c r="G2595">
        <v>28232092745</v>
      </c>
      <c r="H2595">
        <v>20123036276</v>
      </c>
      <c r="I2595">
        <v>20721341577</v>
      </c>
      <c r="J2595">
        <v>18495604134</v>
      </c>
      <c r="K2595">
        <v>15045245226</v>
      </c>
      <c r="L2595">
        <v>10286199335</v>
      </c>
      <c r="M2595">
        <v>9950491242</v>
      </c>
      <c r="N2595">
        <v>9353601448</v>
      </c>
      <c r="O2595">
        <v>6405592569</v>
      </c>
      <c r="P2595">
        <v>13182</v>
      </c>
      <c r="Q2595" t="s">
        <v>5522</v>
      </c>
    </row>
    <row r="2596" spans="1:17" x14ac:dyDescent="0.3">
      <c r="A2596" t="s">
        <v>4664</v>
      </c>
      <c r="B2596" t="str">
        <f>"000922"</f>
        <v>000922</v>
      </c>
      <c r="C2596" t="s">
        <v>5523</v>
      </c>
      <c r="D2596" t="s">
        <v>1171</v>
      </c>
      <c r="F2596">
        <v>678339791</v>
      </c>
      <c r="G2596">
        <v>723836549</v>
      </c>
      <c r="H2596">
        <v>758109859</v>
      </c>
      <c r="I2596">
        <v>551974262</v>
      </c>
      <c r="J2596">
        <v>498990672</v>
      </c>
      <c r="K2596">
        <v>445232375</v>
      </c>
      <c r="L2596">
        <v>684596182</v>
      </c>
      <c r="M2596">
        <v>763293647</v>
      </c>
      <c r="N2596">
        <v>914834019</v>
      </c>
      <c r="O2596">
        <v>1070569389</v>
      </c>
      <c r="P2596">
        <v>261</v>
      </c>
      <c r="Q2596" t="s">
        <v>5524</v>
      </c>
    </row>
    <row r="2597" spans="1:17" x14ac:dyDescent="0.3">
      <c r="A2597" t="s">
        <v>4664</v>
      </c>
      <c r="B2597" t="str">
        <f>"000923"</f>
        <v>000923</v>
      </c>
      <c r="C2597" t="s">
        <v>5525</v>
      </c>
      <c r="D2597" t="s">
        <v>2367</v>
      </c>
      <c r="F2597">
        <v>7005047613</v>
      </c>
      <c r="G2597">
        <v>4803322141</v>
      </c>
      <c r="H2597">
        <v>3659076522</v>
      </c>
      <c r="I2597">
        <v>3457742206</v>
      </c>
      <c r="J2597">
        <v>3608376823</v>
      </c>
      <c r="K2597">
        <v>251761474</v>
      </c>
      <c r="L2597">
        <v>103257334</v>
      </c>
      <c r="M2597">
        <v>217719434</v>
      </c>
      <c r="N2597">
        <v>202516971</v>
      </c>
      <c r="O2597">
        <v>247592727</v>
      </c>
      <c r="P2597">
        <v>224</v>
      </c>
      <c r="Q2597" t="s">
        <v>5526</v>
      </c>
    </row>
    <row r="2598" spans="1:17" x14ac:dyDescent="0.3">
      <c r="A2598" t="s">
        <v>4664</v>
      </c>
      <c r="B2598" t="str">
        <f>"000925"</f>
        <v>000925</v>
      </c>
      <c r="C2598" t="s">
        <v>5527</v>
      </c>
      <c r="D2598" t="s">
        <v>1012</v>
      </c>
      <c r="F2598">
        <v>1394403381</v>
      </c>
      <c r="G2598">
        <v>1717775409</v>
      </c>
      <c r="H2598">
        <v>1556796632</v>
      </c>
      <c r="I2598">
        <v>1374764652</v>
      </c>
      <c r="J2598">
        <v>858412120</v>
      </c>
      <c r="K2598">
        <v>745403761</v>
      </c>
      <c r="L2598">
        <v>1052098828</v>
      </c>
      <c r="M2598">
        <v>1274343016</v>
      </c>
      <c r="N2598">
        <v>1015453248</v>
      </c>
      <c r="O2598">
        <v>995842693</v>
      </c>
      <c r="P2598">
        <v>188</v>
      </c>
      <c r="Q2598" t="s">
        <v>5528</v>
      </c>
    </row>
    <row r="2599" spans="1:17" x14ac:dyDescent="0.3">
      <c r="A2599" t="s">
        <v>4664</v>
      </c>
      <c r="B2599" t="str">
        <f>"000926"</f>
        <v>000926</v>
      </c>
      <c r="C2599" t="s">
        <v>5529</v>
      </c>
      <c r="D2599" t="s">
        <v>104</v>
      </c>
      <c r="F2599">
        <v>9716747276</v>
      </c>
      <c r="G2599">
        <v>8372048989</v>
      </c>
      <c r="H2599">
        <v>10754386205</v>
      </c>
      <c r="I2599">
        <v>8867311191</v>
      </c>
      <c r="J2599">
        <v>5910787593</v>
      </c>
      <c r="K2599">
        <v>9134215018</v>
      </c>
      <c r="L2599">
        <v>5737432052</v>
      </c>
      <c r="M2599">
        <v>4049332502</v>
      </c>
      <c r="N2599">
        <v>4762779278</v>
      </c>
      <c r="O2599">
        <v>5817132447</v>
      </c>
      <c r="P2599">
        <v>239</v>
      </c>
      <c r="Q2599" t="s">
        <v>5530</v>
      </c>
    </row>
    <row r="2600" spans="1:17" x14ac:dyDescent="0.3">
      <c r="A2600" t="s">
        <v>4664</v>
      </c>
      <c r="B2600" t="str">
        <f>"000927"</f>
        <v>000927</v>
      </c>
      <c r="C2600" t="s">
        <v>5531</v>
      </c>
      <c r="D2600" t="s">
        <v>247</v>
      </c>
      <c r="F2600">
        <v>44171599650</v>
      </c>
      <c r="G2600">
        <v>131123895</v>
      </c>
      <c r="H2600">
        <v>289784288</v>
      </c>
      <c r="I2600">
        <v>754230019</v>
      </c>
      <c r="J2600">
        <v>721662212</v>
      </c>
      <c r="K2600">
        <v>981732730</v>
      </c>
      <c r="L2600">
        <v>2412590239</v>
      </c>
      <c r="M2600">
        <v>2246399205</v>
      </c>
      <c r="N2600">
        <v>2671355050</v>
      </c>
      <c r="O2600">
        <v>2724115935</v>
      </c>
      <c r="P2600">
        <v>131</v>
      </c>
      <c r="Q2600" t="s">
        <v>5532</v>
      </c>
    </row>
    <row r="2601" spans="1:17" x14ac:dyDescent="0.3">
      <c r="A2601" t="s">
        <v>4664</v>
      </c>
      <c r="B2601" t="str">
        <f>"000928"</f>
        <v>000928</v>
      </c>
      <c r="C2601" t="s">
        <v>5533</v>
      </c>
      <c r="D2601" t="s">
        <v>1887</v>
      </c>
      <c r="F2601">
        <v>6740598720</v>
      </c>
      <c r="G2601">
        <v>8157780738</v>
      </c>
      <c r="H2601">
        <v>7790856656</v>
      </c>
      <c r="I2601">
        <v>7147187996</v>
      </c>
      <c r="J2601">
        <v>7099626130</v>
      </c>
      <c r="K2601">
        <v>4653551723</v>
      </c>
      <c r="L2601">
        <v>5901347898</v>
      </c>
      <c r="M2601">
        <v>5577679312</v>
      </c>
      <c r="N2601">
        <v>726388655</v>
      </c>
      <c r="O2601">
        <v>1327741610</v>
      </c>
      <c r="P2601">
        <v>271</v>
      </c>
      <c r="Q2601" t="s">
        <v>5534</v>
      </c>
    </row>
    <row r="2602" spans="1:17" x14ac:dyDescent="0.3">
      <c r="A2602" t="s">
        <v>4664</v>
      </c>
      <c r="B2602" t="str">
        <f>"000929"</f>
        <v>000929</v>
      </c>
      <c r="C2602" t="s">
        <v>5535</v>
      </c>
      <c r="D2602" t="s">
        <v>319</v>
      </c>
      <c r="F2602">
        <v>317066579</v>
      </c>
      <c r="G2602">
        <v>287489385</v>
      </c>
      <c r="H2602">
        <v>408007694</v>
      </c>
      <c r="I2602">
        <v>479560364</v>
      </c>
      <c r="J2602">
        <v>568613341</v>
      </c>
      <c r="K2602">
        <v>623978093</v>
      </c>
      <c r="L2602">
        <v>689628385</v>
      </c>
      <c r="M2602">
        <v>790956950</v>
      </c>
      <c r="N2602">
        <v>927596733</v>
      </c>
      <c r="O2602">
        <v>782407958</v>
      </c>
      <c r="P2602">
        <v>144</v>
      </c>
      <c r="Q2602" t="s">
        <v>5536</v>
      </c>
    </row>
    <row r="2603" spans="1:17" x14ac:dyDescent="0.3">
      <c r="A2603" t="s">
        <v>4664</v>
      </c>
      <c r="B2603" t="str">
        <f>"000930"</f>
        <v>000930</v>
      </c>
      <c r="C2603" t="s">
        <v>5537</v>
      </c>
      <c r="D2603" t="s">
        <v>445</v>
      </c>
      <c r="F2603">
        <v>19560820031</v>
      </c>
      <c r="G2603">
        <v>15140616050</v>
      </c>
      <c r="H2603">
        <v>15604241467</v>
      </c>
      <c r="I2603">
        <v>5943634015</v>
      </c>
      <c r="J2603">
        <v>5123296935</v>
      </c>
      <c r="K2603">
        <v>4718841121</v>
      </c>
      <c r="L2603">
        <v>5541930724</v>
      </c>
      <c r="M2603">
        <v>5931350549</v>
      </c>
      <c r="N2603">
        <v>6561352623</v>
      </c>
      <c r="O2603">
        <v>6652493761</v>
      </c>
      <c r="P2603">
        <v>378</v>
      </c>
      <c r="Q2603" t="s">
        <v>5538</v>
      </c>
    </row>
    <row r="2604" spans="1:17" x14ac:dyDescent="0.3">
      <c r="A2604" t="s">
        <v>4664</v>
      </c>
      <c r="B2604" t="str">
        <f>"000931"</f>
        <v>000931</v>
      </c>
      <c r="C2604" t="s">
        <v>5539</v>
      </c>
      <c r="D2604" t="s">
        <v>143</v>
      </c>
      <c r="F2604">
        <v>1422155248</v>
      </c>
      <c r="G2604">
        <v>1217536817</v>
      </c>
      <c r="H2604">
        <v>1361308303</v>
      </c>
      <c r="I2604">
        <v>1003103542</v>
      </c>
      <c r="J2604">
        <v>911323417</v>
      </c>
      <c r="K2604">
        <v>798355265</v>
      </c>
      <c r="L2604">
        <v>490625237</v>
      </c>
      <c r="M2604">
        <v>1819507998</v>
      </c>
      <c r="N2604">
        <v>1651239435</v>
      </c>
      <c r="O2604">
        <v>1858832519</v>
      </c>
      <c r="P2604">
        <v>142</v>
      </c>
      <c r="Q2604" t="s">
        <v>5540</v>
      </c>
    </row>
    <row r="2605" spans="1:17" x14ac:dyDescent="0.3">
      <c r="A2605" t="s">
        <v>4664</v>
      </c>
      <c r="B2605" t="str">
        <f>"000932"</f>
        <v>000932</v>
      </c>
      <c r="C2605" t="s">
        <v>5541</v>
      </c>
      <c r="D2605" t="s">
        <v>38</v>
      </c>
      <c r="F2605">
        <v>150843757411</v>
      </c>
      <c r="G2605">
        <v>92800228861</v>
      </c>
      <c r="H2605">
        <v>114997936279</v>
      </c>
      <c r="I2605">
        <v>77296245696</v>
      </c>
      <c r="J2605">
        <v>63309559252</v>
      </c>
      <c r="K2605">
        <v>42171754352</v>
      </c>
      <c r="L2605">
        <v>36292715440</v>
      </c>
      <c r="M2605">
        <v>51243489202</v>
      </c>
      <c r="N2605">
        <v>47106341322</v>
      </c>
      <c r="O2605">
        <v>56737379400</v>
      </c>
      <c r="P2605">
        <v>1039</v>
      </c>
      <c r="Q2605" t="s">
        <v>5542</v>
      </c>
    </row>
    <row r="2606" spans="1:17" x14ac:dyDescent="0.3">
      <c r="A2606" t="s">
        <v>4664</v>
      </c>
      <c r="B2606" t="str">
        <f>"000933"</f>
        <v>000933</v>
      </c>
      <c r="C2606" t="s">
        <v>5543</v>
      </c>
      <c r="D2606" t="s">
        <v>504</v>
      </c>
      <c r="F2606">
        <v>25499050526</v>
      </c>
      <c r="G2606">
        <v>11412356198</v>
      </c>
      <c r="H2606">
        <v>9935078266</v>
      </c>
      <c r="I2606">
        <v>10522842890</v>
      </c>
      <c r="J2606">
        <v>11060833779</v>
      </c>
      <c r="K2606">
        <v>9242421232</v>
      </c>
      <c r="L2606">
        <v>8350147038</v>
      </c>
      <c r="M2606">
        <v>9585247878</v>
      </c>
      <c r="N2606">
        <v>13405653621</v>
      </c>
      <c r="O2606">
        <v>14612624383</v>
      </c>
      <c r="P2606">
        <v>461</v>
      </c>
      <c r="Q2606" t="s">
        <v>5544</v>
      </c>
    </row>
    <row r="2607" spans="1:17" x14ac:dyDescent="0.3">
      <c r="A2607" t="s">
        <v>4664</v>
      </c>
      <c r="B2607" t="str">
        <f>"000935"</f>
        <v>000935</v>
      </c>
      <c r="C2607" t="s">
        <v>5545</v>
      </c>
      <c r="D2607" t="s">
        <v>731</v>
      </c>
      <c r="F2607">
        <v>785409008</v>
      </c>
      <c r="G2607">
        <v>1059119443</v>
      </c>
      <c r="H2607">
        <v>1157644041</v>
      </c>
      <c r="I2607">
        <v>1159159626</v>
      </c>
      <c r="J2607">
        <v>1574096428</v>
      </c>
      <c r="K2607">
        <v>1219098043</v>
      </c>
      <c r="L2607">
        <v>1352513511</v>
      </c>
      <c r="M2607">
        <v>1529596865</v>
      </c>
      <c r="N2607">
        <v>1148597240</v>
      </c>
      <c r="O2607">
        <v>1003986884</v>
      </c>
      <c r="P2607">
        <v>230</v>
      </c>
      <c r="Q2607" t="s">
        <v>5546</v>
      </c>
    </row>
    <row r="2608" spans="1:17" x14ac:dyDescent="0.3">
      <c r="A2608" t="s">
        <v>4664</v>
      </c>
      <c r="B2608" t="str">
        <f>"000936"</f>
        <v>000936</v>
      </c>
      <c r="C2608" t="s">
        <v>5547</v>
      </c>
      <c r="D2608" t="s">
        <v>2708</v>
      </c>
      <c r="F2608">
        <v>1993958292</v>
      </c>
      <c r="G2608">
        <v>2270273235</v>
      </c>
      <c r="H2608">
        <v>3032783492</v>
      </c>
      <c r="I2608">
        <v>2334722503</v>
      </c>
      <c r="J2608">
        <v>2476196927</v>
      </c>
      <c r="K2608">
        <v>1592372226</v>
      </c>
      <c r="L2608">
        <v>1775320594</v>
      </c>
      <c r="M2608">
        <v>1662991413</v>
      </c>
      <c r="N2608">
        <v>1847253578</v>
      </c>
      <c r="O2608">
        <v>2276724152</v>
      </c>
      <c r="P2608">
        <v>226</v>
      </c>
      <c r="Q2608" t="s">
        <v>5548</v>
      </c>
    </row>
    <row r="2609" spans="1:17" x14ac:dyDescent="0.3">
      <c r="A2609" t="s">
        <v>4664</v>
      </c>
      <c r="B2609" t="str">
        <f>"000937"</f>
        <v>000937</v>
      </c>
      <c r="C2609" t="s">
        <v>5549</v>
      </c>
      <c r="D2609" t="s">
        <v>298</v>
      </c>
      <c r="F2609">
        <v>21232011626</v>
      </c>
      <c r="G2609">
        <v>16778740274</v>
      </c>
      <c r="H2609">
        <v>16426339152</v>
      </c>
      <c r="I2609">
        <v>15905929212</v>
      </c>
      <c r="J2609">
        <v>13961969037</v>
      </c>
      <c r="K2609">
        <v>7779323806</v>
      </c>
      <c r="L2609">
        <v>9744003599</v>
      </c>
      <c r="M2609">
        <v>12709795746</v>
      </c>
      <c r="N2609">
        <v>21514877566</v>
      </c>
      <c r="O2609">
        <v>23887522658</v>
      </c>
      <c r="P2609">
        <v>350</v>
      </c>
      <c r="Q2609" t="s">
        <v>5550</v>
      </c>
    </row>
    <row r="2610" spans="1:17" x14ac:dyDescent="0.3">
      <c r="A2610" t="s">
        <v>4664</v>
      </c>
      <c r="B2610" t="str">
        <f>"000938"</f>
        <v>000938</v>
      </c>
      <c r="C2610" t="s">
        <v>5551</v>
      </c>
      <c r="D2610" t="s">
        <v>316</v>
      </c>
      <c r="F2610">
        <v>53494158845</v>
      </c>
      <c r="G2610">
        <v>48197489807</v>
      </c>
      <c r="H2610">
        <v>50274453383</v>
      </c>
      <c r="I2610">
        <v>39397600975</v>
      </c>
      <c r="J2610">
        <v>32959010151</v>
      </c>
      <c r="K2610">
        <v>21442759900</v>
      </c>
      <c r="L2610">
        <v>11298583300</v>
      </c>
      <c r="M2610">
        <v>9179954234</v>
      </c>
      <c r="N2610">
        <v>6806069056</v>
      </c>
      <c r="O2610">
        <v>4883853644</v>
      </c>
      <c r="P2610">
        <v>3894</v>
      </c>
      <c r="Q2610" t="s">
        <v>5552</v>
      </c>
    </row>
    <row r="2611" spans="1:17" x14ac:dyDescent="0.3">
      <c r="A2611" t="s">
        <v>4664</v>
      </c>
      <c r="B2611" t="str">
        <f>"000939"</f>
        <v>000939</v>
      </c>
      <c r="C2611" t="s">
        <v>5553</v>
      </c>
      <c r="G2611">
        <v>1346817257</v>
      </c>
      <c r="H2611">
        <v>1624795123</v>
      </c>
      <c r="I2611">
        <v>1852566590</v>
      </c>
      <c r="J2611">
        <v>3163822509</v>
      </c>
      <c r="K2611">
        <v>3323552060</v>
      </c>
      <c r="L2611">
        <v>2547129677</v>
      </c>
      <c r="M2611">
        <v>2013599221</v>
      </c>
      <c r="N2611">
        <v>1746976510</v>
      </c>
      <c r="O2611">
        <v>1676216621</v>
      </c>
      <c r="P2611">
        <v>61</v>
      </c>
      <c r="Q2611" t="s">
        <v>5554</v>
      </c>
    </row>
    <row r="2612" spans="1:17" x14ac:dyDescent="0.3">
      <c r="A2612" t="s">
        <v>4664</v>
      </c>
      <c r="B2612" t="str">
        <f>"000948"</f>
        <v>000948</v>
      </c>
      <c r="C2612" t="s">
        <v>5555</v>
      </c>
      <c r="D2612" t="s">
        <v>945</v>
      </c>
      <c r="F2612">
        <v>2839693170</v>
      </c>
      <c r="G2612">
        <v>2059507480</v>
      </c>
      <c r="H2612">
        <v>1752598820</v>
      </c>
      <c r="I2612">
        <v>1590480139</v>
      </c>
      <c r="J2612">
        <v>1105653928</v>
      </c>
      <c r="K2612">
        <v>1005724478</v>
      </c>
      <c r="L2612">
        <v>1295867019</v>
      </c>
      <c r="M2612">
        <v>1052226901</v>
      </c>
      <c r="N2612">
        <v>1314538045</v>
      </c>
      <c r="O2612">
        <v>1040035930</v>
      </c>
      <c r="P2612">
        <v>213</v>
      </c>
      <c r="Q2612" t="s">
        <v>5556</v>
      </c>
    </row>
    <row r="2613" spans="1:17" x14ac:dyDescent="0.3">
      <c r="A2613" t="s">
        <v>4664</v>
      </c>
      <c r="B2613" t="str">
        <f>"000949"</f>
        <v>000949</v>
      </c>
      <c r="C2613" t="s">
        <v>5557</v>
      </c>
      <c r="D2613" t="s">
        <v>5558</v>
      </c>
      <c r="F2613">
        <v>4236603089</v>
      </c>
      <c r="G2613">
        <v>1401495898</v>
      </c>
      <c r="H2613">
        <v>1710673053</v>
      </c>
      <c r="I2613">
        <v>1563837987</v>
      </c>
      <c r="J2613">
        <v>2066065352</v>
      </c>
      <c r="K2613">
        <v>2368649798</v>
      </c>
      <c r="L2613">
        <v>1672402646</v>
      </c>
      <c r="M2613">
        <v>1784546979</v>
      </c>
      <c r="N2613">
        <v>1337453765</v>
      </c>
      <c r="O2613">
        <v>2010307307</v>
      </c>
      <c r="P2613">
        <v>157</v>
      </c>
      <c r="Q2613" t="s">
        <v>5559</v>
      </c>
    </row>
    <row r="2614" spans="1:17" x14ac:dyDescent="0.3">
      <c r="A2614" t="s">
        <v>4664</v>
      </c>
      <c r="B2614" t="str">
        <f>"000950"</f>
        <v>000950</v>
      </c>
      <c r="C2614" t="s">
        <v>5560</v>
      </c>
      <c r="D2614" t="s">
        <v>125</v>
      </c>
      <c r="F2614">
        <v>46246853838</v>
      </c>
      <c r="G2614">
        <v>32498312009</v>
      </c>
      <c r="H2614">
        <v>24675289366</v>
      </c>
      <c r="I2614">
        <v>19855884252</v>
      </c>
      <c r="J2614">
        <v>18685857683</v>
      </c>
      <c r="K2614">
        <v>2027786347</v>
      </c>
      <c r="L2614">
        <v>2470012954</v>
      </c>
      <c r="M2614">
        <v>2242474968</v>
      </c>
      <c r="N2614">
        <v>2499121405</v>
      </c>
      <c r="O2614">
        <v>2612960446</v>
      </c>
      <c r="P2614">
        <v>145</v>
      </c>
      <c r="Q2614" t="s">
        <v>5561</v>
      </c>
    </row>
    <row r="2615" spans="1:17" x14ac:dyDescent="0.3">
      <c r="A2615" t="s">
        <v>4664</v>
      </c>
      <c r="B2615" t="str">
        <f>"000951"</f>
        <v>000951</v>
      </c>
      <c r="C2615" t="s">
        <v>5562</v>
      </c>
      <c r="D2615" t="s">
        <v>27</v>
      </c>
      <c r="F2615">
        <v>31963007626</v>
      </c>
      <c r="G2615">
        <v>44022493372</v>
      </c>
      <c r="H2615">
        <v>33542962486</v>
      </c>
      <c r="I2615">
        <v>37058377737</v>
      </c>
      <c r="J2615">
        <v>29952471989</v>
      </c>
      <c r="K2615">
        <v>16061081133</v>
      </c>
      <c r="L2615">
        <v>16648636367</v>
      </c>
      <c r="M2615">
        <v>19798939994</v>
      </c>
      <c r="N2615">
        <v>17667877998</v>
      </c>
      <c r="O2615">
        <v>16135862612</v>
      </c>
      <c r="P2615">
        <v>856</v>
      </c>
      <c r="Q2615" t="s">
        <v>5563</v>
      </c>
    </row>
    <row r="2616" spans="1:17" x14ac:dyDescent="0.3">
      <c r="A2616" t="s">
        <v>4664</v>
      </c>
      <c r="B2616" t="str">
        <f>"000952"</f>
        <v>000952</v>
      </c>
      <c r="C2616" t="s">
        <v>5564</v>
      </c>
      <c r="D2616" t="s">
        <v>496</v>
      </c>
      <c r="F2616">
        <v>472206760</v>
      </c>
      <c r="G2616">
        <v>504866145</v>
      </c>
      <c r="H2616">
        <v>517520924</v>
      </c>
      <c r="I2616">
        <v>585789841</v>
      </c>
      <c r="J2616">
        <v>508880273</v>
      </c>
      <c r="K2616">
        <v>486588140</v>
      </c>
      <c r="L2616">
        <v>251859456</v>
      </c>
      <c r="M2616">
        <v>423541701</v>
      </c>
      <c r="N2616">
        <v>338311086</v>
      </c>
      <c r="O2616">
        <v>321629122</v>
      </c>
      <c r="P2616">
        <v>169</v>
      </c>
      <c r="Q2616" t="s">
        <v>5565</v>
      </c>
    </row>
    <row r="2617" spans="1:17" x14ac:dyDescent="0.3">
      <c r="A2617" t="s">
        <v>4664</v>
      </c>
      <c r="B2617" t="str">
        <f>"000953"</f>
        <v>000953</v>
      </c>
      <c r="C2617" t="s">
        <v>5566</v>
      </c>
      <c r="D2617" t="s">
        <v>909</v>
      </c>
      <c r="F2617">
        <v>126546483</v>
      </c>
      <c r="G2617">
        <v>238169818</v>
      </c>
      <c r="H2617">
        <v>129124011</v>
      </c>
      <c r="I2617">
        <v>242185540</v>
      </c>
      <c r="J2617">
        <v>226535517</v>
      </c>
      <c r="K2617">
        <v>572131416</v>
      </c>
      <c r="L2617">
        <v>470940469</v>
      </c>
      <c r="M2617">
        <v>319151305</v>
      </c>
      <c r="N2617">
        <v>636898733</v>
      </c>
      <c r="O2617">
        <v>684048980</v>
      </c>
      <c r="P2617">
        <v>90</v>
      </c>
      <c r="Q2617" t="s">
        <v>5567</v>
      </c>
    </row>
    <row r="2618" spans="1:17" x14ac:dyDescent="0.3">
      <c r="A2618" t="s">
        <v>4664</v>
      </c>
      <c r="B2618" t="str">
        <f>"000955"</f>
        <v>000955</v>
      </c>
      <c r="C2618" t="s">
        <v>5568</v>
      </c>
      <c r="D2618" t="s">
        <v>366</v>
      </c>
      <c r="F2618">
        <v>781366270</v>
      </c>
      <c r="G2618">
        <v>1284820598</v>
      </c>
      <c r="H2618">
        <v>618655958</v>
      </c>
      <c r="I2618">
        <v>555483303</v>
      </c>
      <c r="J2618">
        <v>489385305</v>
      </c>
      <c r="K2618">
        <v>342698097</v>
      </c>
      <c r="L2618">
        <v>205613100</v>
      </c>
      <c r="M2618">
        <v>192561449</v>
      </c>
      <c r="N2618">
        <v>169095470</v>
      </c>
      <c r="O2618">
        <v>185635159</v>
      </c>
      <c r="P2618">
        <v>241</v>
      </c>
      <c r="Q2618" t="s">
        <v>5569</v>
      </c>
    </row>
    <row r="2619" spans="1:17" x14ac:dyDescent="0.3">
      <c r="A2619" t="s">
        <v>4664</v>
      </c>
      <c r="B2619" t="str">
        <f>"000957"</f>
        <v>000957</v>
      </c>
      <c r="C2619" t="s">
        <v>5570</v>
      </c>
      <c r="D2619" t="s">
        <v>153</v>
      </c>
      <c r="F2619">
        <v>3287979422</v>
      </c>
      <c r="G2619">
        <v>4156360482</v>
      </c>
      <c r="H2619">
        <v>4887603489</v>
      </c>
      <c r="I2619">
        <v>3283251516</v>
      </c>
      <c r="J2619">
        <v>1833522047</v>
      </c>
      <c r="K2619">
        <v>2340591568</v>
      </c>
      <c r="L2619">
        <v>3028685222</v>
      </c>
      <c r="M2619">
        <v>1587553095</v>
      </c>
      <c r="N2619">
        <v>1479699059</v>
      </c>
      <c r="O2619">
        <v>1655687567</v>
      </c>
      <c r="P2619">
        <v>227</v>
      </c>
      <c r="Q2619" t="s">
        <v>5571</v>
      </c>
    </row>
    <row r="2620" spans="1:17" x14ac:dyDescent="0.3">
      <c r="A2620" t="s">
        <v>4664</v>
      </c>
      <c r="B2620" t="str">
        <f>"000958"</f>
        <v>000958</v>
      </c>
      <c r="C2620" t="s">
        <v>5572</v>
      </c>
      <c r="D2620" t="s">
        <v>41</v>
      </c>
      <c r="F2620">
        <v>5157296089</v>
      </c>
      <c r="G2620">
        <v>6501003605</v>
      </c>
      <c r="H2620">
        <v>1784386392</v>
      </c>
      <c r="I2620">
        <v>1697684589</v>
      </c>
      <c r="J2620">
        <v>1723629300</v>
      </c>
      <c r="K2620">
        <v>1623039407</v>
      </c>
      <c r="L2620">
        <v>549655182</v>
      </c>
      <c r="M2620">
        <v>472519472</v>
      </c>
      <c r="N2620">
        <v>857236178</v>
      </c>
      <c r="O2620">
        <v>644047649</v>
      </c>
      <c r="P2620">
        <v>162</v>
      </c>
      <c r="Q2620" t="s">
        <v>5573</v>
      </c>
    </row>
    <row r="2621" spans="1:17" x14ac:dyDescent="0.3">
      <c r="A2621" t="s">
        <v>4664</v>
      </c>
      <c r="B2621" t="str">
        <f>"000959"</f>
        <v>000959</v>
      </c>
      <c r="C2621" t="s">
        <v>5574</v>
      </c>
      <c r="D2621" t="s">
        <v>38</v>
      </c>
      <c r="F2621">
        <v>56959547408</v>
      </c>
      <c r="G2621">
        <v>29539211488</v>
      </c>
      <c r="H2621">
        <v>22944274091</v>
      </c>
      <c r="I2621">
        <v>22084299732</v>
      </c>
      <c r="J2621">
        <v>16763301311</v>
      </c>
      <c r="K2621">
        <v>16807687219</v>
      </c>
      <c r="L2621">
        <v>12697276633</v>
      </c>
      <c r="M2621">
        <v>17332698382</v>
      </c>
      <c r="N2621">
        <v>1727226621</v>
      </c>
      <c r="O2621">
        <v>8923228650</v>
      </c>
      <c r="P2621">
        <v>254</v>
      </c>
      <c r="Q2621" t="s">
        <v>5575</v>
      </c>
    </row>
    <row r="2622" spans="1:17" x14ac:dyDescent="0.3">
      <c r="A2622" t="s">
        <v>4664</v>
      </c>
      <c r="B2622" t="str">
        <f>"000960"</f>
        <v>000960</v>
      </c>
      <c r="C2622" t="s">
        <v>5576</v>
      </c>
      <c r="D2622" t="s">
        <v>636</v>
      </c>
      <c r="F2622">
        <v>47253876364</v>
      </c>
      <c r="G2622">
        <v>38849717967</v>
      </c>
      <c r="H2622">
        <v>35973183548</v>
      </c>
      <c r="I2622">
        <v>33815339561</v>
      </c>
      <c r="J2622">
        <v>30346934636</v>
      </c>
      <c r="K2622">
        <v>29105453713</v>
      </c>
      <c r="L2622">
        <v>22965910305</v>
      </c>
      <c r="M2622">
        <v>19535457110</v>
      </c>
      <c r="N2622">
        <v>17375341298</v>
      </c>
      <c r="O2622">
        <v>11148703828</v>
      </c>
      <c r="P2622">
        <v>356</v>
      </c>
      <c r="Q2622" t="s">
        <v>5577</v>
      </c>
    </row>
    <row r="2623" spans="1:17" x14ac:dyDescent="0.3">
      <c r="A2623" t="s">
        <v>4664</v>
      </c>
      <c r="B2623" t="str">
        <f>"000961"</f>
        <v>000961</v>
      </c>
      <c r="C2623" t="s">
        <v>5578</v>
      </c>
      <c r="D2623" t="s">
        <v>104</v>
      </c>
      <c r="F2623">
        <v>77678436466</v>
      </c>
      <c r="G2623">
        <v>68998520060</v>
      </c>
      <c r="H2623">
        <v>61144583366</v>
      </c>
      <c r="I2623">
        <v>67581762754</v>
      </c>
      <c r="J2623">
        <v>42576957761</v>
      </c>
      <c r="K2623">
        <v>26255552160</v>
      </c>
      <c r="L2623">
        <v>15537517081</v>
      </c>
      <c r="M2623">
        <v>13963912582</v>
      </c>
      <c r="N2623">
        <v>12416412042</v>
      </c>
      <c r="O2623">
        <v>10114660115</v>
      </c>
      <c r="P2623">
        <v>898</v>
      </c>
      <c r="Q2623" t="s">
        <v>5579</v>
      </c>
    </row>
    <row r="2624" spans="1:17" x14ac:dyDescent="0.3">
      <c r="A2624" t="s">
        <v>4664</v>
      </c>
      <c r="B2624" t="str">
        <f>"000962"</f>
        <v>000962</v>
      </c>
      <c r="C2624" t="s">
        <v>5580</v>
      </c>
      <c r="D2624" t="s">
        <v>636</v>
      </c>
      <c r="F2624">
        <v>478937274</v>
      </c>
      <c r="G2624">
        <v>368104401</v>
      </c>
      <c r="H2624">
        <v>444035839</v>
      </c>
      <c r="I2624">
        <v>566567752</v>
      </c>
      <c r="J2624">
        <v>627697558</v>
      </c>
      <c r="K2624">
        <v>579736936</v>
      </c>
      <c r="L2624">
        <v>829043020</v>
      </c>
      <c r="M2624">
        <v>1958608506</v>
      </c>
      <c r="N2624">
        <v>1719148127</v>
      </c>
      <c r="O2624">
        <v>1313216136</v>
      </c>
      <c r="P2624">
        <v>131</v>
      </c>
      <c r="Q2624" t="s">
        <v>5581</v>
      </c>
    </row>
    <row r="2625" spans="1:17" x14ac:dyDescent="0.3">
      <c r="A2625" t="s">
        <v>4664</v>
      </c>
      <c r="B2625" t="str">
        <f>"000963"</f>
        <v>000963</v>
      </c>
      <c r="C2625" t="s">
        <v>5582</v>
      </c>
      <c r="D2625" t="s">
        <v>143</v>
      </c>
      <c r="F2625">
        <v>27674577148</v>
      </c>
      <c r="G2625">
        <v>26358487943</v>
      </c>
      <c r="H2625">
        <v>27974289686</v>
      </c>
      <c r="I2625">
        <v>25878097338</v>
      </c>
      <c r="J2625">
        <v>22822542403</v>
      </c>
      <c r="K2625">
        <v>20396089838</v>
      </c>
      <c r="L2625">
        <v>16912580411</v>
      </c>
      <c r="M2625">
        <v>15078461344</v>
      </c>
      <c r="N2625">
        <v>13076765378</v>
      </c>
      <c r="O2625">
        <v>11836414952</v>
      </c>
      <c r="P2625">
        <v>59262</v>
      </c>
      <c r="Q2625" t="s">
        <v>5583</v>
      </c>
    </row>
    <row r="2626" spans="1:17" x14ac:dyDescent="0.3">
      <c r="A2626" t="s">
        <v>4664</v>
      </c>
      <c r="B2626" t="str">
        <f>"000965"</f>
        <v>000965</v>
      </c>
      <c r="C2626" t="s">
        <v>5584</v>
      </c>
      <c r="D2626" t="s">
        <v>104</v>
      </c>
      <c r="F2626">
        <v>2480317543</v>
      </c>
      <c r="G2626">
        <v>327992476</v>
      </c>
      <c r="H2626">
        <v>333047295</v>
      </c>
      <c r="I2626">
        <v>1371021386</v>
      </c>
      <c r="J2626">
        <v>1924153589</v>
      </c>
      <c r="K2626">
        <v>1011100908</v>
      </c>
      <c r="L2626">
        <v>1057278237</v>
      </c>
      <c r="M2626">
        <v>855540110</v>
      </c>
      <c r="N2626">
        <v>1072519632</v>
      </c>
      <c r="O2626">
        <v>669373247</v>
      </c>
      <c r="P2626">
        <v>116</v>
      </c>
      <c r="Q2626" t="s">
        <v>5585</v>
      </c>
    </row>
    <row r="2627" spans="1:17" x14ac:dyDescent="0.3">
      <c r="A2627" t="s">
        <v>4664</v>
      </c>
      <c r="B2627" t="str">
        <f>"000966"</f>
        <v>000966</v>
      </c>
      <c r="C2627" t="s">
        <v>5586</v>
      </c>
      <c r="D2627" t="s">
        <v>41</v>
      </c>
      <c r="F2627">
        <v>10891362670</v>
      </c>
      <c r="G2627">
        <v>4620200924</v>
      </c>
      <c r="H2627">
        <v>6554494051</v>
      </c>
      <c r="I2627">
        <v>5326471126</v>
      </c>
      <c r="J2627">
        <v>4934859704</v>
      </c>
      <c r="K2627">
        <v>4358587211</v>
      </c>
      <c r="L2627">
        <v>5111421153</v>
      </c>
      <c r="M2627">
        <v>6203170622</v>
      </c>
      <c r="N2627">
        <v>7183459709</v>
      </c>
      <c r="O2627">
        <v>6543403259</v>
      </c>
      <c r="P2627">
        <v>398</v>
      </c>
      <c r="Q2627" t="s">
        <v>5587</v>
      </c>
    </row>
    <row r="2628" spans="1:17" x14ac:dyDescent="0.3">
      <c r="A2628" t="s">
        <v>4664</v>
      </c>
      <c r="B2628" t="str">
        <f>"000967"</f>
        <v>000967</v>
      </c>
      <c r="C2628" t="s">
        <v>5588</v>
      </c>
      <c r="D2628" t="s">
        <v>1070</v>
      </c>
      <c r="F2628">
        <v>7803960234</v>
      </c>
      <c r="G2628">
        <v>9044009856</v>
      </c>
      <c r="H2628">
        <v>8481165839</v>
      </c>
      <c r="I2628">
        <v>3057311011</v>
      </c>
      <c r="J2628">
        <v>2515676871</v>
      </c>
      <c r="K2628">
        <v>2828126461</v>
      </c>
      <c r="L2628">
        <v>2109402589</v>
      </c>
      <c r="M2628">
        <v>2453415479</v>
      </c>
      <c r="N2628">
        <v>1960583943</v>
      </c>
      <c r="O2628">
        <v>2282999663</v>
      </c>
      <c r="P2628">
        <v>329</v>
      </c>
      <c r="Q2628" t="s">
        <v>5589</v>
      </c>
    </row>
    <row r="2629" spans="1:17" x14ac:dyDescent="0.3">
      <c r="A2629" t="s">
        <v>4664</v>
      </c>
      <c r="B2629" t="str">
        <f>"000968"</f>
        <v>000968</v>
      </c>
      <c r="C2629" t="s">
        <v>5590</v>
      </c>
      <c r="D2629" t="s">
        <v>1541</v>
      </c>
      <c r="F2629">
        <v>888536408</v>
      </c>
      <c r="G2629">
        <v>728077357</v>
      </c>
      <c r="H2629">
        <v>1254697935</v>
      </c>
      <c r="I2629">
        <v>853738299</v>
      </c>
      <c r="J2629">
        <v>805925816</v>
      </c>
      <c r="K2629">
        <v>908491117</v>
      </c>
      <c r="L2629">
        <v>1488293623</v>
      </c>
      <c r="M2629">
        <v>1655665474</v>
      </c>
      <c r="N2629">
        <v>2093179729</v>
      </c>
      <c r="O2629">
        <v>3690149087</v>
      </c>
      <c r="P2629">
        <v>244</v>
      </c>
      <c r="Q2629" t="s">
        <v>5591</v>
      </c>
    </row>
    <row r="2630" spans="1:17" x14ac:dyDescent="0.3">
      <c r="A2630" t="s">
        <v>4664</v>
      </c>
      <c r="B2630" t="str">
        <f>"000969"</f>
        <v>000969</v>
      </c>
      <c r="C2630" t="s">
        <v>5592</v>
      </c>
      <c r="D2630" t="s">
        <v>581</v>
      </c>
      <c r="F2630">
        <v>4474603942</v>
      </c>
      <c r="G2630">
        <v>3128814370</v>
      </c>
      <c r="H2630">
        <v>3349935422</v>
      </c>
      <c r="I2630">
        <v>3213367918</v>
      </c>
      <c r="J2630">
        <v>3404615102</v>
      </c>
      <c r="K2630">
        <v>2861544914</v>
      </c>
      <c r="L2630">
        <v>2581938032</v>
      </c>
      <c r="M2630">
        <v>2708232039</v>
      </c>
      <c r="N2630">
        <v>2851414497</v>
      </c>
      <c r="O2630">
        <v>3035967856</v>
      </c>
      <c r="P2630">
        <v>224</v>
      </c>
      <c r="Q2630" t="s">
        <v>5593</v>
      </c>
    </row>
    <row r="2631" spans="1:17" x14ac:dyDescent="0.3">
      <c r="A2631" t="s">
        <v>4664</v>
      </c>
      <c r="B2631" t="str">
        <f>"000970"</f>
        <v>000970</v>
      </c>
      <c r="C2631" t="s">
        <v>5594</v>
      </c>
      <c r="D2631" t="s">
        <v>808</v>
      </c>
      <c r="F2631">
        <v>4362726534</v>
      </c>
      <c r="G2631">
        <v>2791209005</v>
      </c>
      <c r="H2631">
        <v>2978457860</v>
      </c>
      <c r="I2631">
        <v>3254480539</v>
      </c>
      <c r="J2631">
        <v>3056707524</v>
      </c>
      <c r="K2631">
        <v>2794631786</v>
      </c>
      <c r="L2631">
        <v>2917516105</v>
      </c>
      <c r="M2631">
        <v>3120165681</v>
      </c>
      <c r="N2631">
        <v>2829526816</v>
      </c>
      <c r="O2631">
        <v>4379503116</v>
      </c>
      <c r="P2631">
        <v>364</v>
      </c>
      <c r="Q2631" t="s">
        <v>5595</v>
      </c>
    </row>
    <row r="2632" spans="1:17" x14ac:dyDescent="0.3">
      <c r="A2632" t="s">
        <v>4664</v>
      </c>
      <c r="B2632" t="str">
        <f>"000971"</f>
        <v>000971</v>
      </c>
      <c r="C2632" t="s">
        <v>5596</v>
      </c>
      <c r="D2632" t="s">
        <v>5597</v>
      </c>
      <c r="F2632">
        <v>505915210</v>
      </c>
      <c r="G2632">
        <v>518931262</v>
      </c>
      <c r="H2632">
        <v>614304638</v>
      </c>
      <c r="I2632">
        <v>708932335</v>
      </c>
      <c r="J2632">
        <v>665700301</v>
      </c>
      <c r="K2632">
        <v>405007589</v>
      </c>
      <c r="L2632">
        <v>31697252</v>
      </c>
      <c r="M2632">
        <v>31834412</v>
      </c>
      <c r="N2632">
        <v>89712732</v>
      </c>
      <c r="O2632">
        <v>213843315</v>
      </c>
      <c r="P2632">
        <v>74</v>
      </c>
      <c r="Q2632" t="s">
        <v>5598</v>
      </c>
    </row>
    <row r="2633" spans="1:17" x14ac:dyDescent="0.3">
      <c r="A2633" t="s">
        <v>4664</v>
      </c>
      <c r="B2633" t="str">
        <f>"000972"</f>
        <v>000972</v>
      </c>
      <c r="C2633" t="s">
        <v>5599</v>
      </c>
      <c r="D2633" t="s">
        <v>574</v>
      </c>
      <c r="F2633">
        <v>15093065</v>
      </c>
      <c r="G2633">
        <v>14893861</v>
      </c>
      <c r="H2633">
        <v>108777384</v>
      </c>
      <c r="I2633">
        <v>481701891</v>
      </c>
      <c r="J2633">
        <v>416304671</v>
      </c>
      <c r="K2633">
        <v>332155822</v>
      </c>
      <c r="L2633">
        <v>377780303</v>
      </c>
      <c r="M2633">
        <v>226444738</v>
      </c>
      <c r="N2633">
        <v>829426377</v>
      </c>
      <c r="O2633">
        <v>1044113003</v>
      </c>
      <c r="P2633">
        <v>78</v>
      </c>
      <c r="Q2633" t="s">
        <v>5600</v>
      </c>
    </row>
    <row r="2634" spans="1:17" x14ac:dyDescent="0.3">
      <c r="A2634" t="s">
        <v>4664</v>
      </c>
      <c r="B2634" t="str">
        <f>"000973"</f>
        <v>000973</v>
      </c>
      <c r="C2634" t="s">
        <v>5601</v>
      </c>
      <c r="D2634" t="s">
        <v>324</v>
      </c>
      <c r="F2634">
        <v>1823797103</v>
      </c>
      <c r="G2634">
        <v>1709366976</v>
      </c>
      <c r="H2634">
        <v>1963886603</v>
      </c>
      <c r="I2634">
        <v>2784380071</v>
      </c>
      <c r="J2634">
        <v>2212677485</v>
      </c>
      <c r="K2634">
        <v>1826236147</v>
      </c>
      <c r="L2634">
        <v>2212093274</v>
      </c>
      <c r="M2634">
        <v>2179804170</v>
      </c>
      <c r="N2634">
        <v>2319657624</v>
      </c>
      <c r="O2634">
        <v>3115305584</v>
      </c>
      <c r="P2634">
        <v>123</v>
      </c>
      <c r="Q2634" t="s">
        <v>5602</v>
      </c>
    </row>
    <row r="2635" spans="1:17" x14ac:dyDescent="0.3">
      <c r="A2635" t="s">
        <v>4664</v>
      </c>
      <c r="B2635" t="str">
        <f>"000975"</f>
        <v>000975</v>
      </c>
      <c r="C2635" t="s">
        <v>5603</v>
      </c>
      <c r="D2635" t="s">
        <v>701</v>
      </c>
      <c r="F2635">
        <v>5957500796</v>
      </c>
      <c r="G2635">
        <v>6965357102</v>
      </c>
      <c r="H2635">
        <v>4478694582</v>
      </c>
      <c r="I2635">
        <v>4085790572</v>
      </c>
      <c r="J2635">
        <v>1158944276</v>
      </c>
      <c r="K2635">
        <v>1080616320</v>
      </c>
      <c r="L2635">
        <v>479541839</v>
      </c>
      <c r="M2635">
        <v>229819897</v>
      </c>
      <c r="N2635">
        <v>673777086</v>
      </c>
      <c r="O2635">
        <v>172093228</v>
      </c>
      <c r="P2635">
        <v>391</v>
      </c>
      <c r="Q2635" t="s">
        <v>5604</v>
      </c>
    </row>
    <row r="2636" spans="1:17" x14ac:dyDescent="0.3">
      <c r="A2636" t="s">
        <v>4664</v>
      </c>
      <c r="B2636" t="str">
        <f>"000976"</f>
        <v>000976</v>
      </c>
      <c r="C2636" t="s">
        <v>5605</v>
      </c>
      <c r="D2636" t="s">
        <v>1012</v>
      </c>
      <c r="F2636">
        <v>1759651749</v>
      </c>
      <c r="G2636">
        <v>1154616668</v>
      </c>
      <c r="H2636">
        <v>786683491</v>
      </c>
      <c r="I2636">
        <v>799905857</v>
      </c>
      <c r="J2636">
        <v>825848561</v>
      </c>
      <c r="K2636">
        <v>1004218571</v>
      </c>
      <c r="L2636">
        <v>593127974</v>
      </c>
      <c r="M2636">
        <v>950785367</v>
      </c>
      <c r="N2636">
        <v>1017322996</v>
      </c>
      <c r="O2636">
        <v>1141141752</v>
      </c>
      <c r="P2636">
        <v>146</v>
      </c>
      <c r="Q2636" t="s">
        <v>5606</v>
      </c>
    </row>
    <row r="2637" spans="1:17" x14ac:dyDescent="0.3">
      <c r="A2637" t="s">
        <v>4664</v>
      </c>
      <c r="B2637" t="str">
        <f>"000977"</f>
        <v>000977</v>
      </c>
      <c r="C2637" t="s">
        <v>5607</v>
      </c>
      <c r="D2637" t="s">
        <v>236</v>
      </c>
      <c r="F2637">
        <v>45556732340</v>
      </c>
      <c r="G2637">
        <v>56803874725</v>
      </c>
      <c r="H2637">
        <v>39389286689</v>
      </c>
      <c r="I2637">
        <v>34940896523</v>
      </c>
      <c r="J2637">
        <v>16831446108</v>
      </c>
      <c r="K2637">
        <v>9819941295</v>
      </c>
      <c r="L2637">
        <v>6914794788</v>
      </c>
      <c r="M2637">
        <v>5112341515</v>
      </c>
      <c r="N2637">
        <v>3211932846</v>
      </c>
      <c r="O2637">
        <v>1433682231</v>
      </c>
      <c r="P2637">
        <v>4425</v>
      </c>
      <c r="Q2637" t="s">
        <v>5608</v>
      </c>
    </row>
    <row r="2638" spans="1:17" x14ac:dyDescent="0.3">
      <c r="A2638" t="s">
        <v>4664</v>
      </c>
      <c r="B2638" t="str">
        <f>"000978"</f>
        <v>000978</v>
      </c>
      <c r="C2638" t="s">
        <v>5609</v>
      </c>
      <c r="D2638" t="s">
        <v>119</v>
      </c>
      <c r="F2638">
        <v>240304524</v>
      </c>
      <c r="G2638">
        <v>142935991</v>
      </c>
      <c r="H2638">
        <v>498736995</v>
      </c>
      <c r="I2638">
        <v>434822855</v>
      </c>
      <c r="J2638">
        <v>423454634</v>
      </c>
      <c r="K2638">
        <v>411025503</v>
      </c>
      <c r="L2638">
        <v>382355860</v>
      </c>
      <c r="M2638">
        <v>335548481</v>
      </c>
      <c r="N2638">
        <v>349465275</v>
      </c>
      <c r="O2638">
        <v>346155711</v>
      </c>
      <c r="P2638">
        <v>140</v>
      </c>
      <c r="Q2638" t="s">
        <v>5610</v>
      </c>
    </row>
    <row r="2639" spans="1:17" x14ac:dyDescent="0.3">
      <c r="A2639" t="s">
        <v>4664</v>
      </c>
      <c r="B2639" t="str">
        <f>"000979"</f>
        <v>000979</v>
      </c>
      <c r="C2639" t="s">
        <v>5611</v>
      </c>
      <c r="I2639">
        <v>3825158975</v>
      </c>
      <c r="J2639">
        <v>2178821762</v>
      </c>
      <c r="K2639">
        <v>2575969132.9200001</v>
      </c>
      <c r="L2639">
        <v>2934358006.71</v>
      </c>
      <c r="M2639">
        <v>304571652.91000003</v>
      </c>
      <c r="N2639">
        <v>1231627681.03</v>
      </c>
      <c r="O2639">
        <v>2922620177.52</v>
      </c>
      <c r="P2639">
        <v>30</v>
      </c>
      <c r="Q2639" t="s">
        <v>5612</v>
      </c>
    </row>
    <row r="2640" spans="1:17" x14ac:dyDescent="0.3">
      <c r="A2640" t="s">
        <v>4664</v>
      </c>
      <c r="B2640" t="str">
        <f>"000980"</f>
        <v>000980</v>
      </c>
      <c r="C2640" t="s">
        <v>5613</v>
      </c>
      <c r="D2640" t="s">
        <v>1415</v>
      </c>
      <c r="F2640">
        <v>660611004</v>
      </c>
      <c r="G2640">
        <v>727980217</v>
      </c>
      <c r="H2640">
        <v>2610964057</v>
      </c>
      <c r="I2640">
        <v>5290208424</v>
      </c>
      <c r="J2640">
        <v>4764002756</v>
      </c>
      <c r="K2640">
        <v>623862901</v>
      </c>
      <c r="L2640">
        <v>811795834</v>
      </c>
      <c r="M2640">
        <v>729035457</v>
      </c>
      <c r="N2640">
        <v>749691975</v>
      </c>
      <c r="O2640">
        <v>795596121</v>
      </c>
      <c r="P2640">
        <v>161</v>
      </c>
      <c r="Q2640" t="s">
        <v>5614</v>
      </c>
    </row>
    <row r="2641" spans="1:17" x14ac:dyDescent="0.3">
      <c r="A2641" t="s">
        <v>4664</v>
      </c>
      <c r="B2641" t="str">
        <f>"000981"</f>
        <v>000981</v>
      </c>
      <c r="C2641" t="s">
        <v>5615</v>
      </c>
      <c r="D2641" t="s">
        <v>104</v>
      </c>
      <c r="F2641">
        <v>3141190559</v>
      </c>
      <c r="G2641">
        <v>3634029963</v>
      </c>
      <c r="H2641">
        <v>5400798518</v>
      </c>
      <c r="I2641">
        <v>10040579920</v>
      </c>
      <c r="J2641">
        <v>5503303259</v>
      </c>
      <c r="K2641">
        <v>5525255927</v>
      </c>
      <c r="L2641">
        <v>5054645015</v>
      </c>
      <c r="M2641">
        <v>3559782474</v>
      </c>
      <c r="N2641">
        <v>3666883602</v>
      </c>
      <c r="O2641">
        <v>2262905225</v>
      </c>
      <c r="P2641">
        <v>118</v>
      </c>
      <c r="Q2641" t="s">
        <v>5616</v>
      </c>
    </row>
    <row r="2642" spans="1:17" x14ac:dyDescent="0.3">
      <c r="A2642" t="s">
        <v>4664</v>
      </c>
      <c r="B2642" t="str">
        <f>"000982"</f>
        <v>000982</v>
      </c>
      <c r="C2642" t="s">
        <v>5617</v>
      </c>
      <c r="D2642" t="s">
        <v>366</v>
      </c>
      <c r="F2642">
        <v>270149244</v>
      </c>
      <c r="G2642">
        <v>63916621</v>
      </c>
      <c r="H2642">
        <v>819433135</v>
      </c>
      <c r="I2642">
        <v>1657018380</v>
      </c>
      <c r="J2642">
        <v>1839326198</v>
      </c>
      <c r="K2642">
        <v>2459900055</v>
      </c>
      <c r="L2642">
        <v>2576715767</v>
      </c>
      <c r="M2642">
        <v>2198930443</v>
      </c>
      <c r="N2642">
        <v>2417151108</v>
      </c>
      <c r="O2642">
        <v>1731038565</v>
      </c>
      <c r="P2642">
        <v>83</v>
      </c>
      <c r="Q2642" t="s">
        <v>5618</v>
      </c>
    </row>
    <row r="2643" spans="1:17" x14ac:dyDescent="0.3">
      <c r="A2643" t="s">
        <v>4664</v>
      </c>
      <c r="B2643" t="str">
        <f>"000983"</f>
        <v>000983</v>
      </c>
      <c r="C2643" t="s">
        <v>5619</v>
      </c>
      <c r="D2643" t="s">
        <v>298</v>
      </c>
      <c r="F2643">
        <v>26814241610</v>
      </c>
      <c r="G2643">
        <v>20813171550</v>
      </c>
      <c r="H2643">
        <v>22580514931</v>
      </c>
      <c r="I2643">
        <v>18680388804</v>
      </c>
      <c r="J2643">
        <v>13013533359</v>
      </c>
      <c r="K2643">
        <v>10882764601</v>
      </c>
      <c r="L2643">
        <v>12183625388</v>
      </c>
      <c r="M2643">
        <v>14146363071</v>
      </c>
      <c r="N2643">
        <v>17589028783</v>
      </c>
      <c r="O2643">
        <v>28016329285</v>
      </c>
      <c r="P2643">
        <v>688</v>
      </c>
      <c r="Q2643" t="s">
        <v>5620</v>
      </c>
    </row>
    <row r="2644" spans="1:17" x14ac:dyDescent="0.3">
      <c r="A2644" t="s">
        <v>4664</v>
      </c>
      <c r="B2644" t="str">
        <f>"000985"</f>
        <v>000985</v>
      </c>
      <c r="C2644" t="s">
        <v>5621</v>
      </c>
      <c r="D2644" t="s">
        <v>1615</v>
      </c>
      <c r="F2644">
        <v>1767161059</v>
      </c>
      <c r="G2644">
        <v>1507685615</v>
      </c>
      <c r="H2644">
        <v>1933401957</v>
      </c>
      <c r="I2644">
        <v>1333489277</v>
      </c>
      <c r="J2644">
        <v>1295385776</v>
      </c>
      <c r="K2644">
        <v>813041105</v>
      </c>
      <c r="L2644">
        <v>694838079</v>
      </c>
      <c r="M2644">
        <v>1319587869</v>
      </c>
      <c r="N2644">
        <v>984360923</v>
      </c>
      <c r="O2644">
        <v>1017441592</v>
      </c>
      <c r="P2644">
        <v>82</v>
      </c>
      <c r="Q2644" t="s">
        <v>5622</v>
      </c>
    </row>
    <row r="2645" spans="1:17" x14ac:dyDescent="0.3">
      <c r="A2645" t="s">
        <v>4664</v>
      </c>
      <c r="B2645" t="str">
        <f>"000987"</f>
        <v>000987</v>
      </c>
      <c r="C2645" t="s">
        <v>5623</v>
      </c>
      <c r="D2645" t="s">
        <v>140</v>
      </c>
      <c r="F2645">
        <v>11274085769</v>
      </c>
      <c r="G2645">
        <v>6283971509</v>
      </c>
      <c r="H2645">
        <v>7701037283</v>
      </c>
      <c r="I2645">
        <v>2939017704</v>
      </c>
      <c r="J2645">
        <v>2616345524</v>
      </c>
      <c r="K2645">
        <v>2290379509</v>
      </c>
      <c r="L2645">
        <v>2120695617</v>
      </c>
      <c r="M2645">
        <v>2598015673</v>
      </c>
      <c r="N2645">
        <v>3330246542</v>
      </c>
      <c r="O2645">
        <v>3674547051</v>
      </c>
      <c r="P2645">
        <v>520</v>
      </c>
      <c r="Q2645" t="s">
        <v>5624</v>
      </c>
    </row>
    <row r="2646" spans="1:17" x14ac:dyDescent="0.3">
      <c r="A2646" t="s">
        <v>4664</v>
      </c>
      <c r="B2646" t="str">
        <f>"000988"</f>
        <v>000988</v>
      </c>
      <c r="C2646" t="s">
        <v>5625</v>
      </c>
      <c r="D2646" t="s">
        <v>3784</v>
      </c>
      <c r="F2646">
        <v>6013827750</v>
      </c>
      <c r="G2646">
        <v>3817862776</v>
      </c>
      <c r="H2646">
        <v>3668464226</v>
      </c>
      <c r="I2646">
        <v>3315745941</v>
      </c>
      <c r="J2646">
        <v>2267158532</v>
      </c>
      <c r="K2646">
        <v>2081864874</v>
      </c>
      <c r="L2646">
        <v>1723272022</v>
      </c>
      <c r="M2646">
        <v>1573763445</v>
      </c>
      <c r="N2646">
        <v>1243589758</v>
      </c>
      <c r="O2646">
        <v>1229172357</v>
      </c>
      <c r="P2646">
        <v>710</v>
      </c>
      <c r="Q2646" t="s">
        <v>5626</v>
      </c>
    </row>
    <row r="2647" spans="1:17" x14ac:dyDescent="0.3">
      <c r="A2647" t="s">
        <v>4664</v>
      </c>
      <c r="B2647" t="str">
        <f>"000989"</f>
        <v>000989</v>
      </c>
      <c r="C2647" t="s">
        <v>5627</v>
      </c>
      <c r="D2647" t="s">
        <v>188</v>
      </c>
      <c r="F2647">
        <v>3046096912</v>
      </c>
      <c r="G2647">
        <v>2808549992</v>
      </c>
      <c r="H2647">
        <v>2820710173</v>
      </c>
      <c r="I2647">
        <v>2743521199</v>
      </c>
      <c r="J2647">
        <v>1997344980</v>
      </c>
      <c r="K2647">
        <v>1947210269</v>
      </c>
      <c r="L2647">
        <v>1153617545</v>
      </c>
      <c r="M2647">
        <v>994891768</v>
      </c>
      <c r="N2647">
        <v>933667140</v>
      </c>
      <c r="O2647">
        <v>848253476</v>
      </c>
      <c r="P2647">
        <v>370</v>
      </c>
      <c r="Q2647" t="s">
        <v>5628</v>
      </c>
    </row>
    <row r="2648" spans="1:17" x14ac:dyDescent="0.3">
      <c r="A2648" t="s">
        <v>4664</v>
      </c>
      <c r="B2648" t="str">
        <f>"000990"</f>
        <v>000990</v>
      </c>
      <c r="C2648" t="s">
        <v>5629</v>
      </c>
      <c r="D2648" t="s">
        <v>914</v>
      </c>
      <c r="F2648">
        <v>10543288078</v>
      </c>
      <c r="G2648">
        <v>7408105557</v>
      </c>
      <c r="H2648">
        <v>5200817936</v>
      </c>
      <c r="I2648">
        <v>4987772628</v>
      </c>
      <c r="J2648">
        <v>4939912039</v>
      </c>
      <c r="K2648">
        <v>1835805406</v>
      </c>
      <c r="L2648">
        <v>2833997304</v>
      </c>
      <c r="M2648">
        <v>3196811359</v>
      </c>
      <c r="N2648">
        <v>3174262354</v>
      </c>
      <c r="O2648">
        <v>3269329560</v>
      </c>
      <c r="P2648">
        <v>194</v>
      </c>
      <c r="Q2648" t="s">
        <v>5630</v>
      </c>
    </row>
    <row r="2649" spans="1:17" x14ac:dyDescent="0.3">
      <c r="A2649" t="s">
        <v>4664</v>
      </c>
      <c r="B2649" t="str">
        <f>"000993"</f>
        <v>000993</v>
      </c>
      <c r="C2649" t="s">
        <v>5631</v>
      </c>
      <c r="D2649" t="s">
        <v>66</v>
      </c>
      <c r="F2649">
        <v>697522054</v>
      </c>
      <c r="G2649">
        <v>716314715</v>
      </c>
      <c r="H2649">
        <v>514345267</v>
      </c>
      <c r="I2649">
        <v>361962610</v>
      </c>
      <c r="J2649">
        <v>635357935</v>
      </c>
      <c r="K2649">
        <v>562293162</v>
      </c>
      <c r="L2649">
        <v>330568567</v>
      </c>
      <c r="M2649">
        <v>706172533</v>
      </c>
      <c r="N2649">
        <v>1438806424</v>
      </c>
      <c r="O2649">
        <v>1106289805</v>
      </c>
      <c r="P2649">
        <v>163</v>
      </c>
      <c r="Q2649" t="s">
        <v>5632</v>
      </c>
    </row>
    <row r="2650" spans="1:17" x14ac:dyDescent="0.3">
      <c r="A2650" t="s">
        <v>4664</v>
      </c>
      <c r="B2650" t="str">
        <f>"000995"</f>
        <v>000995</v>
      </c>
      <c r="C2650" t="s">
        <v>5633</v>
      </c>
      <c r="D2650" t="s">
        <v>458</v>
      </c>
      <c r="F2650">
        <v>82724776</v>
      </c>
      <c r="G2650">
        <v>58249870</v>
      </c>
      <c r="H2650">
        <v>26245756</v>
      </c>
      <c r="I2650">
        <v>14790089</v>
      </c>
      <c r="J2650">
        <v>41734073</v>
      </c>
      <c r="K2650">
        <v>153474335</v>
      </c>
      <c r="L2650">
        <v>55243130</v>
      </c>
      <c r="M2650">
        <v>62070638</v>
      </c>
      <c r="N2650">
        <v>74669208</v>
      </c>
      <c r="O2650">
        <v>101903007</v>
      </c>
      <c r="P2650">
        <v>175</v>
      </c>
      <c r="Q2650" t="s">
        <v>5634</v>
      </c>
    </row>
    <row r="2651" spans="1:17" x14ac:dyDescent="0.3">
      <c r="A2651" t="s">
        <v>4664</v>
      </c>
      <c r="B2651" t="str">
        <f>"000996"</f>
        <v>000996</v>
      </c>
      <c r="C2651" t="s">
        <v>5635</v>
      </c>
      <c r="D2651" t="s">
        <v>672</v>
      </c>
      <c r="F2651">
        <v>32669792</v>
      </c>
      <c r="G2651">
        <v>32622620</v>
      </c>
      <c r="H2651">
        <v>57503963</v>
      </c>
      <c r="I2651">
        <v>53221106</v>
      </c>
      <c r="J2651">
        <v>70390969</v>
      </c>
      <c r="K2651">
        <v>92855587</v>
      </c>
      <c r="L2651">
        <v>63127553</v>
      </c>
      <c r="M2651">
        <v>63524433</v>
      </c>
      <c r="N2651">
        <v>77053061</v>
      </c>
      <c r="O2651">
        <v>56940269</v>
      </c>
      <c r="P2651">
        <v>70</v>
      </c>
      <c r="Q2651" t="s">
        <v>5636</v>
      </c>
    </row>
    <row r="2652" spans="1:17" x14ac:dyDescent="0.3">
      <c r="A2652" t="s">
        <v>4664</v>
      </c>
      <c r="B2652" t="str">
        <f>"000997"</f>
        <v>000997</v>
      </c>
      <c r="C2652" t="s">
        <v>5637</v>
      </c>
      <c r="D2652" t="s">
        <v>236</v>
      </c>
      <c r="F2652">
        <v>5046514260</v>
      </c>
      <c r="G2652">
        <v>4280122447</v>
      </c>
      <c r="H2652">
        <v>3903769933</v>
      </c>
      <c r="I2652">
        <v>4000987897</v>
      </c>
      <c r="J2652">
        <v>3061033974</v>
      </c>
      <c r="K2652">
        <v>2376100690</v>
      </c>
      <c r="L2652">
        <v>2487839587</v>
      </c>
      <c r="M2652">
        <v>1804373183</v>
      </c>
      <c r="N2652">
        <v>1453242563</v>
      </c>
      <c r="O2652">
        <v>976590595</v>
      </c>
      <c r="P2652">
        <v>581</v>
      </c>
      <c r="Q2652" t="s">
        <v>5638</v>
      </c>
    </row>
    <row r="2653" spans="1:17" x14ac:dyDescent="0.3">
      <c r="A2653" t="s">
        <v>4664</v>
      </c>
      <c r="B2653" t="str">
        <f>"000998"</f>
        <v>000998</v>
      </c>
      <c r="C2653" t="s">
        <v>5639</v>
      </c>
      <c r="D2653" t="s">
        <v>706</v>
      </c>
      <c r="F2653">
        <v>2276668525</v>
      </c>
      <c r="G2653">
        <v>2020911244</v>
      </c>
      <c r="H2653">
        <v>1860188213</v>
      </c>
      <c r="I2653">
        <v>1853445894</v>
      </c>
      <c r="J2653">
        <v>1662466017</v>
      </c>
      <c r="K2653">
        <v>1304520229</v>
      </c>
      <c r="L2653">
        <v>943059728</v>
      </c>
      <c r="M2653">
        <v>795483327</v>
      </c>
      <c r="N2653">
        <v>923412116</v>
      </c>
      <c r="O2653">
        <v>935462117</v>
      </c>
      <c r="P2653">
        <v>649</v>
      </c>
      <c r="Q2653" t="s">
        <v>5640</v>
      </c>
    </row>
    <row r="2654" spans="1:17" x14ac:dyDescent="0.3">
      <c r="A2654" t="s">
        <v>4664</v>
      </c>
      <c r="B2654" t="str">
        <f>"000999"</f>
        <v>000999</v>
      </c>
      <c r="C2654" t="s">
        <v>5641</v>
      </c>
      <c r="D2654" t="s">
        <v>188</v>
      </c>
      <c r="F2654">
        <v>11518505962</v>
      </c>
      <c r="G2654">
        <v>10185384646</v>
      </c>
      <c r="H2654">
        <v>10810246282</v>
      </c>
      <c r="I2654">
        <v>10535608559</v>
      </c>
      <c r="J2654">
        <v>7712419488</v>
      </c>
      <c r="K2654">
        <v>6365903568</v>
      </c>
      <c r="L2654">
        <v>5626598668</v>
      </c>
      <c r="M2654">
        <v>5196860410</v>
      </c>
      <c r="N2654">
        <v>5152633361</v>
      </c>
      <c r="O2654">
        <v>4463038729</v>
      </c>
      <c r="P2654">
        <v>5773</v>
      </c>
      <c r="Q2654" t="s">
        <v>5642</v>
      </c>
    </row>
    <row r="2655" spans="1:17" x14ac:dyDescent="0.3">
      <c r="A2655" t="s">
        <v>4664</v>
      </c>
      <c r="B2655" t="str">
        <f>"001201"</f>
        <v>001201</v>
      </c>
      <c r="C2655" t="s">
        <v>5643</v>
      </c>
      <c r="D2655" t="s">
        <v>1894</v>
      </c>
      <c r="F2655">
        <v>800317079</v>
      </c>
      <c r="P2655">
        <v>61</v>
      </c>
      <c r="Q2655" t="s">
        <v>5644</v>
      </c>
    </row>
    <row r="2656" spans="1:17" x14ac:dyDescent="0.3">
      <c r="A2656" t="s">
        <v>4664</v>
      </c>
      <c r="B2656" t="str">
        <f>"001202"</f>
        <v>001202</v>
      </c>
      <c r="C2656" t="s">
        <v>5645</v>
      </c>
      <c r="D2656" t="s">
        <v>128</v>
      </c>
      <c r="F2656">
        <v>494696914</v>
      </c>
      <c r="P2656">
        <v>32</v>
      </c>
      <c r="Q2656" t="s">
        <v>5646</v>
      </c>
    </row>
    <row r="2657" spans="1:17" x14ac:dyDescent="0.3">
      <c r="A2657" t="s">
        <v>4664</v>
      </c>
      <c r="B2657" t="str">
        <f>"001203"</f>
        <v>001203</v>
      </c>
      <c r="C2657" t="s">
        <v>5647</v>
      </c>
      <c r="D2657" t="s">
        <v>2367</v>
      </c>
      <c r="F2657">
        <v>4311785913</v>
      </c>
      <c r="P2657">
        <v>80</v>
      </c>
      <c r="Q2657" t="s">
        <v>5648</v>
      </c>
    </row>
    <row r="2658" spans="1:17" x14ac:dyDescent="0.3">
      <c r="A2658" t="s">
        <v>4664</v>
      </c>
      <c r="B2658" t="str">
        <f>"001205"</f>
        <v>001205</v>
      </c>
      <c r="C2658" t="s">
        <v>5649</v>
      </c>
      <c r="D2658" t="s">
        <v>69</v>
      </c>
      <c r="F2658">
        <v>463133378</v>
      </c>
      <c r="P2658">
        <v>44</v>
      </c>
      <c r="Q2658" t="s">
        <v>5650</v>
      </c>
    </row>
    <row r="2659" spans="1:17" x14ac:dyDescent="0.3">
      <c r="A2659" t="s">
        <v>4664</v>
      </c>
      <c r="B2659" t="str">
        <f>"001206"</f>
        <v>001206</v>
      </c>
      <c r="C2659" t="s">
        <v>5651</v>
      </c>
      <c r="D2659" t="s">
        <v>2728</v>
      </c>
      <c r="F2659">
        <v>942124587</v>
      </c>
      <c r="P2659">
        <v>53</v>
      </c>
      <c r="Q2659" t="s">
        <v>5652</v>
      </c>
    </row>
    <row r="2660" spans="1:17" x14ac:dyDescent="0.3">
      <c r="A2660" t="s">
        <v>4664</v>
      </c>
      <c r="B2660" t="str">
        <f>"001207"</f>
        <v>001207</v>
      </c>
      <c r="C2660" t="s">
        <v>5653</v>
      </c>
      <c r="D2660" t="s">
        <v>3619</v>
      </c>
      <c r="F2660">
        <v>541042443</v>
      </c>
      <c r="P2660">
        <v>25</v>
      </c>
      <c r="Q2660" t="s">
        <v>5654</v>
      </c>
    </row>
    <row r="2661" spans="1:17" x14ac:dyDescent="0.3">
      <c r="A2661" t="s">
        <v>4664</v>
      </c>
      <c r="B2661" t="str">
        <f>"001208"</f>
        <v>001208</v>
      </c>
      <c r="C2661" t="s">
        <v>5655</v>
      </c>
      <c r="D2661" t="s">
        <v>1164</v>
      </c>
      <c r="F2661">
        <v>1120522410</v>
      </c>
      <c r="P2661">
        <v>66</v>
      </c>
      <c r="Q2661" t="s">
        <v>5656</v>
      </c>
    </row>
    <row r="2662" spans="1:17" x14ac:dyDescent="0.3">
      <c r="A2662" t="s">
        <v>4664</v>
      </c>
      <c r="B2662" t="str">
        <f>"001209"</f>
        <v>001209</v>
      </c>
      <c r="C2662" t="s">
        <v>5657</v>
      </c>
      <c r="D2662" t="s">
        <v>255</v>
      </c>
      <c r="F2662">
        <v>795384769</v>
      </c>
      <c r="P2662">
        <v>22</v>
      </c>
      <c r="Q2662" t="s">
        <v>5658</v>
      </c>
    </row>
    <row r="2663" spans="1:17" x14ac:dyDescent="0.3">
      <c r="A2663" t="s">
        <v>4664</v>
      </c>
      <c r="B2663" t="str">
        <f>"001210"</f>
        <v>001210</v>
      </c>
      <c r="C2663" t="s">
        <v>5659</v>
      </c>
      <c r="D2663" t="s">
        <v>351</v>
      </c>
      <c r="F2663">
        <v>269519493</v>
      </c>
      <c r="P2663">
        <v>27</v>
      </c>
      <c r="Q2663" t="s">
        <v>5660</v>
      </c>
    </row>
    <row r="2664" spans="1:17" x14ac:dyDescent="0.3">
      <c r="A2664" t="s">
        <v>4664</v>
      </c>
      <c r="B2664" t="str">
        <f>"001211"</f>
        <v>001211</v>
      </c>
      <c r="C2664" t="s">
        <v>5661</v>
      </c>
      <c r="D2664" t="s">
        <v>2436</v>
      </c>
      <c r="F2664">
        <v>657292530</v>
      </c>
      <c r="P2664">
        <v>13</v>
      </c>
      <c r="Q2664" t="s">
        <v>5662</v>
      </c>
    </row>
    <row r="2665" spans="1:17" x14ac:dyDescent="0.3">
      <c r="A2665" t="s">
        <v>4664</v>
      </c>
      <c r="B2665" t="str">
        <f>"001212"</f>
        <v>001212</v>
      </c>
      <c r="C2665" t="s">
        <v>5663</v>
      </c>
      <c r="D2665" t="s">
        <v>722</v>
      </c>
      <c r="F2665">
        <v>484945971</v>
      </c>
      <c r="P2665">
        <v>19</v>
      </c>
      <c r="Q2665" t="s">
        <v>5664</v>
      </c>
    </row>
    <row r="2666" spans="1:17" x14ac:dyDescent="0.3">
      <c r="A2666" t="s">
        <v>4664</v>
      </c>
      <c r="B2666" t="str">
        <f>"001213"</f>
        <v>001213</v>
      </c>
      <c r="C2666" t="s">
        <v>5665</v>
      </c>
      <c r="D2666" t="s">
        <v>301</v>
      </c>
      <c r="F2666">
        <v>6835202853</v>
      </c>
      <c r="P2666">
        <v>27</v>
      </c>
      <c r="Q2666" t="s">
        <v>5666</v>
      </c>
    </row>
    <row r="2667" spans="1:17" x14ac:dyDescent="0.3">
      <c r="A2667" t="s">
        <v>4664</v>
      </c>
      <c r="B2667" t="str">
        <f>"001215"</f>
        <v>001215</v>
      </c>
      <c r="C2667" t="s">
        <v>5667</v>
      </c>
      <c r="D2667" t="s">
        <v>2838</v>
      </c>
      <c r="F2667">
        <v>1085190566</v>
      </c>
      <c r="P2667">
        <v>59</v>
      </c>
      <c r="Q2667" t="s">
        <v>5668</v>
      </c>
    </row>
    <row r="2668" spans="1:17" x14ac:dyDescent="0.3">
      <c r="A2668" t="s">
        <v>4664</v>
      </c>
      <c r="B2668" t="str">
        <f>"001216"</f>
        <v>001216</v>
      </c>
      <c r="C2668" t="s">
        <v>5669</v>
      </c>
      <c r="D2668" t="s">
        <v>2436</v>
      </c>
      <c r="F2668">
        <v>834323212</v>
      </c>
      <c r="P2668">
        <v>19</v>
      </c>
      <c r="Q2668" t="s">
        <v>5670</v>
      </c>
    </row>
    <row r="2669" spans="1:17" x14ac:dyDescent="0.3">
      <c r="A2669" t="s">
        <v>4664</v>
      </c>
      <c r="B2669" t="str">
        <f>"001217"</f>
        <v>001217</v>
      </c>
      <c r="C2669" t="s">
        <v>5671</v>
      </c>
      <c r="D2669" t="s">
        <v>1233</v>
      </c>
      <c r="F2669">
        <v>918909562</v>
      </c>
      <c r="P2669">
        <v>27</v>
      </c>
      <c r="Q2669" t="s">
        <v>5672</v>
      </c>
    </row>
    <row r="2670" spans="1:17" x14ac:dyDescent="0.3">
      <c r="A2670" t="s">
        <v>4664</v>
      </c>
      <c r="B2670" t="str">
        <f>"001218"</f>
        <v>001218</v>
      </c>
      <c r="C2670" t="s">
        <v>5673</v>
      </c>
      <c r="D2670" t="s">
        <v>386</v>
      </c>
      <c r="F2670">
        <v>1838777526</v>
      </c>
      <c r="G2670">
        <v>1627895841</v>
      </c>
      <c r="P2670">
        <v>15</v>
      </c>
      <c r="Q2670" t="s">
        <v>5674</v>
      </c>
    </row>
    <row r="2671" spans="1:17" x14ac:dyDescent="0.3">
      <c r="A2671" t="s">
        <v>4664</v>
      </c>
      <c r="B2671" t="str">
        <f>"001219"</f>
        <v>001219</v>
      </c>
      <c r="C2671" t="s">
        <v>5675</v>
      </c>
      <c r="D2671" t="s">
        <v>2479</v>
      </c>
      <c r="F2671">
        <v>337333887</v>
      </c>
      <c r="P2671">
        <v>33</v>
      </c>
      <c r="Q2671" t="s">
        <v>5676</v>
      </c>
    </row>
    <row r="2672" spans="1:17" x14ac:dyDescent="0.3">
      <c r="A2672" t="s">
        <v>4664</v>
      </c>
      <c r="B2672" t="str">
        <f>"001227"</f>
        <v>001227</v>
      </c>
      <c r="C2672" t="s">
        <v>5677</v>
      </c>
      <c r="D2672" t="s">
        <v>1838</v>
      </c>
      <c r="F2672">
        <v>0</v>
      </c>
      <c r="G2672">
        <v>0</v>
      </c>
      <c r="P2672">
        <v>31</v>
      </c>
      <c r="Q2672" t="s">
        <v>5678</v>
      </c>
    </row>
    <row r="2673" spans="1:17" x14ac:dyDescent="0.3">
      <c r="A2673" t="s">
        <v>4664</v>
      </c>
      <c r="B2673" t="str">
        <f>"001234"</f>
        <v>001234</v>
      </c>
      <c r="C2673" t="s">
        <v>5679</v>
      </c>
      <c r="D2673" t="s">
        <v>366</v>
      </c>
      <c r="F2673">
        <v>663675070</v>
      </c>
      <c r="G2673">
        <v>526571736</v>
      </c>
      <c r="P2673">
        <v>16</v>
      </c>
      <c r="Q2673" t="s">
        <v>5680</v>
      </c>
    </row>
    <row r="2674" spans="1:17" x14ac:dyDescent="0.3">
      <c r="A2674" t="s">
        <v>4664</v>
      </c>
      <c r="B2674" t="str">
        <f>"001267"</f>
        <v>001267</v>
      </c>
      <c r="C2674" t="s">
        <v>5681</v>
      </c>
      <c r="D2674" t="s">
        <v>2408</v>
      </c>
      <c r="F2674">
        <v>343065481</v>
      </c>
      <c r="P2674">
        <v>10</v>
      </c>
      <c r="Q2674" t="s">
        <v>5682</v>
      </c>
    </row>
    <row r="2675" spans="1:17" x14ac:dyDescent="0.3">
      <c r="A2675" t="s">
        <v>4664</v>
      </c>
      <c r="B2675" t="str">
        <f>"001288"</f>
        <v>001288</v>
      </c>
      <c r="C2675" t="s">
        <v>5683</v>
      </c>
      <c r="D2675" t="s">
        <v>395</v>
      </c>
      <c r="F2675">
        <v>485677399</v>
      </c>
      <c r="P2675">
        <v>14</v>
      </c>
      <c r="Q2675" t="s">
        <v>5684</v>
      </c>
    </row>
    <row r="2676" spans="1:17" x14ac:dyDescent="0.3">
      <c r="A2676" t="s">
        <v>4664</v>
      </c>
      <c r="B2676" t="str">
        <f>"001296"</f>
        <v>001296</v>
      </c>
      <c r="C2676" t="s">
        <v>5685</v>
      </c>
      <c r="D2676" t="s">
        <v>2739</v>
      </c>
      <c r="F2676">
        <v>505255030</v>
      </c>
      <c r="G2676">
        <v>470945011</v>
      </c>
      <c r="P2676">
        <v>15</v>
      </c>
      <c r="Q2676" t="s">
        <v>5686</v>
      </c>
    </row>
    <row r="2677" spans="1:17" x14ac:dyDescent="0.3">
      <c r="A2677" t="s">
        <v>4664</v>
      </c>
      <c r="B2677" t="str">
        <f>"001313"</f>
        <v>001313</v>
      </c>
      <c r="C2677" t="s">
        <v>5687</v>
      </c>
      <c r="F2677">
        <v>4370315869</v>
      </c>
      <c r="G2677">
        <v>3505440968</v>
      </c>
      <c r="P2677">
        <v>10</v>
      </c>
      <c r="Q2677" t="s">
        <v>5688</v>
      </c>
    </row>
    <row r="2678" spans="1:17" x14ac:dyDescent="0.3">
      <c r="A2678" t="s">
        <v>4664</v>
      </c>
      <c r="B2678" t="str">
        <f>"001317"</f>
        <v>001317</v>
      </c>
      <c r="C2678" t="s">
        <v>5689</v>
      </c>
      <c r="D2678" t="s">
        <v>301</v>
      </c>
      <c r="F2678">
        <v>621151330</v>
      </c>
      <c r="P2678">
        <v>23</v>
      </c>
      <c r="Q2678" t="s">
        <v>5690</v>
      </c>
    </row>
    <row r="2679" spans="1:17" x14ac:dyDescent="0.3">
      <c r="A2679" t="s">
        <v>4664</v>
      </c>
      <c r="B2679" t="str">
        <f>"001696"</f>
        <v>001696</v>
      </c>
      <c r="C2679" t="s">
        <v>5691</v>
      </c>
      <c r="D2679" t="s">
        <v>560</v>
      </c>
      <c r="F2679">
        <v>6119253614</v>
      </c>
      <c r="G2679">
        <v>4643589124</v>
      </c>
      <c r="H2679">
        <v>3980269419</v>
      </c>
      <c r="I2679">
        <v>4063221787</v>
      </c>
      <c r="J2679">
        <v>3937580334</v>
      </c>
      <c r="K2679">
        <v>3604540102</v>
      </c>
      <c r="L2679">
        <v>3546861497</v>
      </c>
      <c r="M2679">
        <v>3645388608</v>
      </c>
      <c r="N2679">
        <v>3473458113</v>
      </c>
      <c r="O2679">
        <v>3549051991</v>
      </c>
      <c r="P2679">
        <v>274</v>
      </c>
      <c r="Q2679" t="s">
        <v>5692</v>
      </c>
    </row>
    <row r="2680" spans="1:17" x14ac:dyDescent="0.3">
      <c r="A2680" t="s">
        <v>4664</v>
      </c>
      <c r="B2680" t="str">
        <f>"001872"</f>
        <v>001872</v>
      </c>
      <c r="C2680" t="s">
        <v>5693</v>
      </c>
      <c r="D2680" t="s">
        <v>51</v>
      </c>
      <c r="F2680">
        <v>10888133178</v>
      </c>
      <c r="G2680">
        <v>8868939926</v>
      </c>
      <c r="H2680">
        <v>8883879809</v>
      </c>
      <c r="I2680">
        <v>1597741056</v>
      </c>
      <c r="J2680">
        <v>1886755851</v>
      </c>
      <c r="K2680">
        <v>1403015694</v>
      </c>
      <c r="L2680">
        <v>1349697267</v>
      </c>
      <c r="M2680">
        <v>1318404335</v>
      </c>
      <c r="N2680">
        <v>1334327806</v>
      </c>
      <c r="O2680">
        <v>1298153414</v>
      </c>
      <c r="P2680">
        <v>254</v>
      </c>
      <c r="Q2680" t="s">
        <v>5694</v>
      </c>
    </row>
    <row r="2681" spans="1:17" x14ac:dyDescent="0.3">
      <c r="A2681" t="s">
        <v>4664</v>
      </c>
      <c r="B2681" t="str">
        <f>"001896"</f>
        <v>001896</v>
      </c>
      <c r="C2681" t="s">
        <v>5695</v>
      </c>
      <c r="D2681" t="s">
        <v>41</v>
      </c>
      <c r="F2681">
        <v>9761904786</v>
      </c>
      <c r="G2681">
        <v>6073157695</v>
      </c>
      <c r="H2681">
        <v>6415804397</v>
      </c>
      <c r="I2681">
        <v>6665216322</v>
      </c>
      <c r="J2681">
        <v>5941991754</v>
      </c>
      <c r="K2681">
        <v>3854688486</v>
      </c>
      <c r="L2681">
        <v>2574998360</v>
      </c>
      <c r="M2681">
        <v>2770761359</v>
      </c>
      <c r="N2681">
        <v>2750222977</v>
      </c>
      <c r="O2681">
        <v>3170842790</v>
      </c>
      <c r="P2681">
        <v>202</v>
      </c>
      <c r="Q2681" t="s">
        <v>5696</v>
      </c>
    </row>
    <row r="2682" spans="1:17" x14ac:dyDescent="0.3">
      <c r="A2682" t="s">
        <v>4664</v>
      </c>
      <c r="B2682" t="str">
        <f>"001914"</f>
        <v>001914</v>
      </c>
      <c r="C2682" t="s">
        <v>5697</v>
      </c>
      <c r="D2682" t="s">
        <v>2948</v>
      </c>
      <c r="F2682">
        <v>7488189515</v>
      </c>
      <c r="G2682">
        <v>6118620806</v>
      </c>
      <c r="H2682">
        <v>3575830824</v>
      </c>
      <c r="I2682">
        <v>3599997897</v>
      </c>
      <c r="J2682">
        <v>4206167134</v>
      </c>
      <c r="K2682">
        <v>5938540108</v>
      </c>
      <c r="L2682">
        <v>3884308024</v>
      </c>
      <c r="M2682">
        <v>3838822548</v>
      </c>
      <c r="N2682">
        <v>4432853496</v>
      </c>
      <c r="O2682">
        <v>3213702689</v>
      </c>
      <c r="P2682">
        <v>264</v>
      </c>
      <c r="Q2682" t="s">
        <v>5698</v>
      </c>
    </row>
    <row r="2683" spans="1:17" x14ac:dyDescent="0.3">
      <c r="A2683" t="s">
        <v>4664</v>
      </c>
      <c r="B2683" t="str">
        <f>"001965"</f>
        <v>001965</v>
      </c>
      <c r="C2683" t="s">
        <v>5699</v>
      </c>
      <c r="D2683" t="s">
        <v>44</v>
      </c>
      <c r="F2683">
        <v>5783521091</v>
      </c>
      <c r="G2683">
        <v>4197157258</v>
      </c>
      <c r="H2683">
        <v>5343046499</v>
      </c>
      <c r="I2683">
        <v>4385691323</v>
      </c>
      <c r="J2683">
        <v>4094329547</v>
      </c>
      <c r="K2683">
        <v>0</v>
      </c>
      <c r="P2683">
        <v>359</v>
      </c>
      <c r="Q2683" t="s">
        <v>5700</v>
      </c>
    </row>
    <row r="2684" spans="1:17" x14ac:dyDescent="0.3">
      <c r="A2684" t="s">
        <v>4664</v>
      </c>
      <c r="B2684" t="str">
        <f>"001979"</f>
        <v>001979</v>
      </c>
      <c r="C2684" t="s">
        <v>5701</v>
      </c>
      <c r="D2684" t="s">
        <v>30</v>
      </c>
      <c r="F2684">
        <v>135355897643</v>
      </c>
      <c r="G2684">
        <v>116307911384</v>
      </c>
      <c r="H2684">
        <v>83687344884</v>
      </c>
      <c r="I2684">
        <v>66601984785</v>
      </c>
      <c r="J2684">
        <v>56004182612</v>
      </c>
      <c r="K2684">
        <v>46521192046</v>
      </c>
      <c r="L2684">
        <v>39857924374</v>
      </c>
      <c r="M2684">
        <v>29685188523</v>
      </c>
      <c r="P2684">
        <v>1456</v>
      </c>
      <c r="Q2684" t="s">
        <v>5702</v>
      </c>
    </row>
    <row r="2685" spans="1:17" x14ac:dyDescent="0.3">
      <c r="A2685" t="s">
        <v>4664</v>
      </c>
      <c r="B2685" t="str">
        <f>"002001"</f>
        <v>002001</v>
      </c>
      <c r="C2685" t="s">
        <v>5703</v>
      </c>
      <c r="D2685" t="s">
        <v>496</v>
      </c>
      <c r="F2685">
        <v>10346764132</v>
      </c>
      <c r="G2685">
        <v>7767181132</v>
      </c>
      <c r="H2685">
        <v>5482404376</v>
      </c>
      <c r="I2685">
        <v>6496257696</v>
      </c>
      <c r="J2685">
        <v>3974603562</v>
      </c>
      <c r="K2685">
        <v>3604174048</v>
      </c>
      <c r="L2685">
        <v>2669661022</v>
      </c>
      <c r="M2685">
        <v>3047571258</v>
      </c>
      <c r="N2685">
        <v>2946632513</v>
      </c>
      <c r="O2685">
        <v>2508338991</v>
      </c>
      <c r="P2685">
        <v>1984</v>
      </c>
      <c r="Q2685" t="s">
        <v>5704</v>
      </c>
    </row>
    <row r="2686" spans="1:17" x14ac:dyDescent="0.3">
      <c r="A2686" t="s">
        <v>4664</v>
      </c>
      <c r="B2686" t="str">
        <f>"002002"</f>
        <v>002002</v>
      </c>
      <c r="C2686" t="s">
        <v>5705</v>
      </c>
      <c r="D2686" t="s">
        <v>175</v>
      </c>
      <c r="F2686">
        <v>3927263225</v>
      </c>
      <c r="G2686">
        <v>2871765811</v>
      </c>
      <c r="H2686">
        <v>2660868770</v>
      </c>
      <c r="I2686">
        <v>2690399592</v>
      </c>
      <c r="J2686">
        <v>2208958255</v>
      </c>
      <c r="K2686">
        <v>1814859198</v>
      </c>
      <c r="L2686">
        <v>1305974153</v>
      </c>
      <c r="M2686">
        <v>808959392</v>
      </c>
      <c r="N2686">
        <v>953807713</v>
      </c>
      <c r="O2686">
        <v>161672618</v>
      </c>
      <c r="P2686">
        <v>451</v>
      </c>
      <c r="Q2686" t="s">
        <v>5706</v>
      </c>
    </row>
    <row r="2687" spans="1:17" x14ac:dyDescent="0.3">
      <c r="A2687" t="s">
        <v>4664</v>
      </c>
      <c r="B2687" t="str">
        <f>"002003"</f>
        <v>002003</v>
      </c>
      <c r="C2687" t="s">
        <v>5707</v>
      </c>
      <c r="D2687" t="s">
        <v>2929</v>
      </c>
      <c r="F2687">
        <v>2310487323</v>
      </c>
      <c r="G2687">
        <v>1889082335</v>
      </c>
      <c r="H2687">
        <v>2026190202</v>
      </c>
      <c r="I2687">
        <v>1864808776</v>
      </c>
      <c r="J2687">
        <v>1776950297</v>
      </c>
      <c r="K2687">
        <v>1573176408</v>
      </c>
      <c r="L2687">
        <v>1394235113</v>
      </c>
      <c r="M2687">
        <v>1440640062</v>
      </c>
      <c r="N2687">
        <v>1447978024</v>
      </c>
      <c r="O2687">
        <v>1488446085</v>
      </c>
      <c r="P2687">
        <v>761</v>
      </c>
      <c r="Q2687" t="s">
        <v>5708</v>
      </c>
    </row>
    <row r="2688" spans="1:17" x14ac:dyDescent="0.3">
      <c r="A2688" t="s">
        <v>4664</v>
      </c>
      <c r="B2688" t="str">
        <f>"002004"</f>
        <v>002004</v>
      </c>
      <c r="C2688" t="s">
        <v>5709</v>
      </c>
      <c r="D2688" t="s">
        <v>143</v>
      </c>
      <c r="F2688">
        <v>7426278912</v>
      </c>
      <c r="G2688">
        <v>7181632958</v>
      </c>
      <c r="H2688">
        <v>7353249990</v>
      </c>
      <c r="I2688">
        <v>7381818629</v>
      </c>
      <c r="J2688">
        <v>5977450733</v>
      </c>
      <c r="K2688">
        <v>4575085767</v>
      </c>
      <c r="L2688">
        <v>3947169886</v>
      </c>
      <c r="M2688">
        <v>3569964828</v>
      </c>
      <c r="N2688">
        <v>3210911821</v>
      </c>
      <c r="O2688">
        <v>2655931943</v>
      </c>
      <c r="P2688">
        <v>328</v>
      </c>
      <c r="Q2688" t="s">
        <v>5710</v>
      </c>
    </row>
    <row r="2689" spans="1:17" x14ac:dyDescent="0.3">
      <c r="A2689" t="s">
        <v>4664</v>
      </c>
      <c r="B2689" t="str">
        <f>"002005"</f>
        <v>002005</v>
      </c>
      <c r="C2689" t="s">
        <v>5711</v>
      </c>
      <c r="D2689" t="s">
        <v>5712</v>
      </c>
      <c r="F2689">
        <v>1791391954</v>
      </c>
      <c r="G2689">
        <v>1670479756</v>
      </c>
      <c r="H2689">
        <v>2611758227</v>
      </c>
      <c r="I2689">
        <v>3150351250</v>
      </c>
      <c r="J2689">
        <v>3060685765</v>
      </c>
      <c r="K2689">
        <v>2696523641</v>
      </c>
      <c r="L2689">
        <v>2690410393</v>
      </c>
      <c r="M2689">
        <v>2712543380</v>
      </c>
      <c r="N2689">
        <v>2153168158</v>
      </c>
      <c r="O2689">
        <v>1861886544</v>
      </c>
      <c r="P2689">
        <v>74</v>
      </c>
      <c r="Q2689" t="s">
        <v>5713</v>
      </c>
    </row>
    <row r="2690" spans="1:17" x14ac:dyDescent="0.3">
      <c r="A2690" t="s">
        <v>4664</v>
      </c>
      <c r="B2690" t="str">
        <f>"002006"</f>
        <v>002006</v>
      </c>
      <c r="C2690" t="s">
        <v>5714</v>
      </c>
      <c r="D2690" t="s">
        <v>741</v>
      </c>
      <c r="F2690">
        <v>762636089</v>
      </c>
      <c r="G2690">
        <v>619345195</v>
      </c>
      <c r="H2690">
        <v>540546351</v>
      </c>
      <c r="I2690">
        <v>576422945</v>
      </c>
      <c r="J2690">
        <v>352984670</v>
      </c>
      <c r="K2690">
        <v>416876567</v>
      </c>
      <c r="L2690">
        <v>413144249</v>
      </c>
      <c r="M2690">
        <v>443234496</v>
      </c>
      <c r="N2690">
        <v>465625846</v>
      </c>
      <c r="O2690">
        <v>634594226</v>
      </c>
      <c r="P2690">
        <v>127</v>
      </c>
      <c r="Q2690" t="s">
        <v>5715</v>
      </c>
    </row>
    <row r="2691" spans="1:17" x14ac:dyDescent="0.3">
      <c r="A2691" t="s">
        <v>4664</v>
      </c>
      <c r="B2691" t="str">
        <f>"002007"</f>
        <v>002007</v>
      </c>
      <c r="C2691" t="s">
        <v>5716</v>
      </c>
      <c r="D2691" t="s">
        <v>378</v>
      </c>
      <c r="F2691">
        <v>3252152167</v>
      </c>
      <c r="G2691">
        <v>2292802324</v>
      </c>
      <c r="H2691">
        <v>2348764412</v>
      </c>
      <c r="I2691">
        <v>1903363187</v>
      </c>
      <c r="J2691">
        <v>1151969788</v>
      </c>
      <c r="K2691">
        <v>1115454558</v>
      </c>
      <c r="L2691">
        <v>1054526295</v>
      </c>
      <c r="M2691">
        <v>901377837</v>
      </c>
      <c r="N2691">
        <v>790738878</v>
      </c>
      <c r="O2691">
        <v>855789786</v>
      </c>
      <c r="P2691">
        <v>13194</v>
      </c>
      <c r="Q2691" t="s">
        <v>5717</v>
      </c>
    </row>
    <row r="2692" spans="1:17" x14ac:dyDescent="0.3">
      <c r="A2692" t="s">
        <v>4664</v>
      </c>
      <c r="B2692" t="str">
        <f>"002008"</f>
        <v>002008</v>
      </c>
      <c r="C2692" t="s">
        <v>5718</v>
      </c>
      <c r="D2692" t="s">
        <v>3784</v>
      </c>
      <c r="F2692">
        <v>9651022986</v>
      </c>
      <c r="G2692">
        <v>8310631457</v>
      </c>
      <c r="H2692">
        <v>6971515614</v>
      </c>
      <c r="I2692">
        <v>6736365898</v>
      </c>
      <c r="J2692">
        <v>5819148264</v>
      </c>
      <c r="K2692">
        <v>4268545530</v>
      </c>
      <c r="L2692">
        <v>3619964645</v>
      </c>
      <c r="M2692">
        <v>2982666791</v>
      </c>
      <c r="N2692">
        <v>3280470009</v>
      </c>
      <c r="O2692">
        <v>2783273866</v>
      </c>
      <c r="P2692">
        <v>4830</v>
      </c>
      <c r="Q2692" t="s">
        <v>5719</v>
      </c>
    </row>
    <row r="2693" spans="1:17" x14ac:dyDescent="0.3">
      <c r="A2693" t="s">
        <v>4664</v>
      </c>
      <c r="B2693" t="str">
        <f>"002009"</f>
        <v>002009</v>
      </c>
      <c r="C2693" t="s">
        <v>5720</v>
      </c>
      <c r="D2693" t="s">
        <v>741</v>
      </c>
      <c r="F2693">
        <v>2646628842</v>
      </c>
      <c r="G2693">
        <v>1784384251</v>
      </c>
      <c r="H2693">
        <v>1841646191</v>
      </c>
      <c r="I2693">
        <v>2020716047</v>
      </c>
      <c r="J2693">
        <v>1394349688</v>
      </c>
      <c r="K2693">
        <v>1393111823</v>
      </c>
      <c r="L2693">
        <v>1411709986</v>
      </c>
      <c r="M2693">
        <v>1185006617</v>
      </c>
      <c r="N2693">
        <v>980152043</v>
      </c>
      <c r="O2693">
        <v>969904709</v>
      </c>
      <c r="P2693">
        <v>148</v>
      </c>
      <c r="Q2693" t="s">
        <v>5721</v>
      </c>
    </row>
    <row r="2694" spans="1:17" x14ac:dyDescent="0.3">
      <c r="A2694" t="s">
        <v>4664</v>
      </c>
      <c r="B2694" t="str">
        <f>"002010"</f>
        <v>002010</v>
      </c>
      <c r="C2694" t="s">
        <v>5722</v>
      </c>
      <c r="D2694" t="s">
        <v>2492</v>
      </c>
      <c r="F2694">
        <v>26861523876</v>
      </c>
      <c r="G2694">
        <v>14960526275</v>
      </c>
      <c r="H2694">
        <v>16201707245</v>
      </c>
      <c r="I2694">
        <v>17833527876</v>
      </c>
      <c r="J2694">
        <v>19708898867</v>
      </c>
      <c r="K2694">
        <v>4249524061</v>
      </c>
      <c r="L2694">
        <v>2425402099</v>
      </c>
      <c r="M2694">
        <v>2057511135</v>
      </c>
      <c r="N2694">
        <v>1664245520</v>
      </c>
      <c r="O2694">
        <v>1499103444</v>
      </c>
      <c r="P2694">
        <v>279</v>
      </c>
      <c r="Q2694" t="s">
        <v>5723</v>
      </c>
    </row>
    <row r="2695" spans="1:17" x14ac:dyDescent="0.3">
      <c r="A2695" t="s">
        <v>4664</v>
      </c>
      <c r="B2695" t="str">
        <f>"002011"</f>
        <v>002011</v>
      </c>
      <c r="C2695" t="s">
        <v>5724</v>
      </c>
      <c r="D2695" t="s">
        <v>1253</v>
      </c>
      <c r="F2695">
        <v>4413134927</v>
      </c>
      <c r="G2695">
        <v>2729782621</v>
      </c>
      <c r="H2695">
        <v>3652169055</v>
      </c>
      <c r="I2695">
        <v>4065304146</v>
      </c>
      <c r="J2695">
        <v>3330558995</v>
      </c>
      <c r="K2695">
        <v>2340083544</v>
      </c>
      <c r="L2695">
        <v>3812190421</v>
      </c>
      <c r="M2695">
        <v>3355975494</v>
      </c>
      <c r="N2695">
        <v>2904346943</v>
      </c>
      <c r="O2695">
        <v>3478861389</v>
      </c>
      <c r="P2695">
        <v>201</v>
      </c>
      <c r="Q2695" t="s">
        <v>5725</v>
      </c>
    </row>
    <row r="2696" spans="1:17" x14ac:dyDescent="0.3">
      <c r="A2696" t="s">
        <v>4664</v>
      </c>
      <c r="B2696" t="str">
        <f>"002012"</f>
        <v>002012</v>
      </c>
      <c r="C2696" t="s">
        <v>5726</v>
      </c>
      <c r="D2696" t="s">
        <v>244</v>
      </c>
      <c r="F2696">
        <v>1327118479</v>
      </c>
      <c r="G2696">
        <v>888850947</v>
      </c>
      <c r="H2696">
        <v>780040660</v>
      </c>
      <c r="I2696">
        <v>764894557</v>
      </c>
      <c r="J2696">
        <v>632342708</v>
      </c>
      <c r="K2696">
        <v>542227938</v>
      </c>
      <c r="L2696">
        <v>525503203</v>
      </c>
      <c r="M2696">
        <v>570631100</v>
      </c>
      <c r="N2696">
        <v>583886269</v>
      </c>
      <c r="O2696">
        <v>543943286</v>
      </c>
      <c r="P2696">
        <v>131</v>
      </c>
      <c r="Q2696" t="s">
        <v>5727</v>
      </c>
    </row>
    <row r="2697" spans="1:17" x14ac:dyDescent="0.3">
      <c r="A2697" t="s">
        <v>4664</v>
      </c>
      <c r="B2697" t="str">
        <f>"002013"</f>
        <v>002013</v>
      </c>
      <c r="C2697" t="s">
        <v>5728</v>
      </c>
      <c r="D2697" t="s">
        <v>98</v>
      </c>
      <c r="F2697">
        <v>14094348669</v>
      </c>
      <c r="G2697">
        <v>5349193157</v>
      </c>
      <c r="H2697">
        <v>5631416641</v>
      </c>
      <c r="I2697">
        <v>5017929194</v>
      </c>
      <c r="J2697">
        <v>4721952866</v>
      </c>
      <c r="K2697">
        <v>3312349167</v>
      </c>
      <c r="L2697">
        <v>3236026764</v>
      </c>
      <c r="M2697">
        <v>3055533012</v>
      </c>
      <c r="N2697">
        <v>3019413331</v>
      </c>
      <c r="O2697">
        <v>448652073</v>
      </c>
      <c r="P2697">
        <v>656</v>
      </c>
      <c r="Q2697" t="s">
        <v>5729</v>
      </c>
    </row>
    <row r="2698" spans="1:17" x14ac:dyDescent="0.3">
      <c r="A2698" t="s">
        <v>4664</v>
      </c>
      <c r="B2698" t="str">
        <f>"002014"</f>
        <v>002014</v>
      </c>
      <c r="C2698" t="s">
        <v>5730</v>
      </c>
      <c r="D2698" t="s">
        <v>485</v>
      </c>
      <c r="F2698">
        <v>1939567231</v>
      </c>
      <c r="G2698">
        <v>1972404386</v>
      </c>
      <c r="H2698">
        <v>1694247801</v>
      </c>
      <c r="I2698">
        <v>1712011027</v>
      </c>
      <c r="J2698">
        <v>1378715919</v>
      </c>
      <c r="K2698">
        <v>1322192725</v>
      </c>
      <c r="L2698">
        <v>1244534472</v>
      </c>
      <c r="M2698">
        <v>1173277527</v>
      </c>
      <c r="N2698">
        <v>1086260739</v>
      </c>
      <c r="O2698">
        <v>1036966121</v>
      </c>
      <c r="P2698">
        <v>467</v>
      </c>
      <c r="Q2698" t="s">
        <v>5731</v>
      </c>
    </row>
    <row r="2699" spans="1:17" x14ac:dyDescent="0.3">
      <c r="A2699" t="s">
        <v>4664</v>
      </c>
      <c r="B2699" t="str">
        <f>"002015"</f>
        <v>002015</v>
      </c>
      <c r="C2699" t="s">
        <v>5732</v>
      </c>
      <c r="D2699" t="s">
        <v>351</v>
      </c>
      <c r="F2699">
        <v>8692470523</v>
      </c>
      <c r="G2699">
        <v>9111715485</v>
      </c>
      <c r="H2699">
        <v>8090073180</v>
      </c>
      <c r="I2699">
        <v>166435223</v>
      </c>
      <c r="J2699">
        <v>170974772</v>
      </c>
      <c r="K2699">
        <v>265750229</v>
      </c>
      <c r="L2699">
        <v>314173555</v>
      </c>
      <c r="M2699">
        <v>1025931494</v>
      </c>
      <c r="N2699">
        <v>1911377851</v>
      </c>
      <c r="O2699">
        <v>1546181187</v>
      </c>
      <c r="P2699">
        <v>239</v>
      </c>
      <c r="Q2699" t="s">
        <v>5733</v>
      </c>
    </row>
    <row r="2700" spans="1:17" x14ac:dyDescent="0.3">
      <c r="A2700" t="s">
        <v>4664</v>
      </c>
      <c r="B2700" t="str">
        <f>"002016"</f>
        <v>002016</v>
      </c>
      <c r="C2700" t="s">
        <v>5734</v>
      </c>
      <c r="D2700" t="s">
        <v>104</v>
      </c>
      <c r="F2700">
        <v>1151889593</v>
      </c>
      <c r="G2700">
        <v>1750494574</v>
      </c>
      <c r="H2700">
        <v>3125537821</v>
      </c>
      <c r="I2700">
        <v>1407629768</v>
      </c>
      <c r="J2700">
        <v>1237683921</v>
      </c>
      <c r="K2700">
        <v>3414879804</v>
      </c>
      <c r="L2700">
        <v>1030447361</v>
      </c>
      <c r="M2700">
        <v>706053883</v>
      </c>
      <c r="N2700">
        <v>875161413</v>
      </c>
      <c r="O2700">
        <v>339858498</v>
      </c>
      <c r="P2700">
        <v>457</v>
      </c>
      <c r="Q2700" t="s">
        <v>5735</v>
      </c>
    </row>
    <row r="2701" spans="1:17" x14ac:dyDescent="0.3">
      <c r="A2701" t="s">
        <v>4664</v>
      </c>
      <c r="B2701" t="str">
        <f>"002017"</f>
        <v>002017</v>
      </c>
      <c r="C2701" t="s">
        <v>5736</v>
      </c>
      <c r="D2701" t="s">
        <v>786</v>
      </c>
      <c r="F2701">
        <v>812136208</v>
      </c>
      <c r="G2701">
        <v>762882522</v>
      </c>
      <c r="H2701">
        <v>811763283</v>
      </c>
      <c r="I2701">
        <v>785891031</v>
      </c>
      <c r="J2701">
        <v>866236677</v>
      </c>
      <c r="K2701">
        <v>1039165187</v>
      </c>
      <c r="L2701">
        <v>967196728</v>
      </c>
      <c r="M2701">
        <v>914565459</v>
      </c>
      <c r="N2701">
        <v>791075437</v>
      </c>
      <c r="O2701">
        <v>766538163</v>
      </c>
      <c r="P2701">
        <v>216</v>
      </c>
      <c r="Q2701" t="s">
        <v>5737</v>
      </c>
    </row>
    <row r="2702" spans="1:17" x14ac:dyDescent="0.3">
      <c r="A2702" t="s">
        <v>4664</v>
      </c>
      <c r="B2702" t="str">
        <f>"002018"</f>
        <v>002018</v>
      </c>
      <c r="C2702" t="s">
        <v>5738</v>
      </c>
      <c r="H2702">
        <v>96064594</v>
      </c>
      <c r="I2702">
        <v>906708052</v>
      </c>
      <c r="J2702">
        <v>12625014685</v>
      </c>
      <c r="K2702">
        <v>10293756844</v>
      </c>
      <c r="L2702">
        <v>5129375253</v>
      </c>
      <c r="M2702">
        <v>3105696359</v>
      </c>
      <c r="N2702">
        <v>1165565531</v>
      </c>
      <c r="O2702">
        <v>662244921</v>
      </c>
      <c r="P2702">
        <v>40</v>
      </c>
      <c r="Q2702" t="s">
        <v>5739</v>
      </c>
    </row>
    <row r="2703" spans="1:17" x14ac:dyDescent="0.3">
      <c r="A2703" t="s">
        <v>4664</v>
      </c>
      <c r="B2703" t="str">
        <f>"002019"</f>
        <v>002019</v>
      </c>
      <c r="C2703" t="s">
        <v>5740</v>
      </c>
      <c r="D2703" t="s">
        <v>143</v>
      </c>
      <c r="F2703">
        <v>3426907811</v>
      </c>
      <c r="G2703">
        <v>4041122510</v>
      </c>
      <c r="H2703">
        <v>3771337662</v>
      </c>
      <c r="I2703">
        <v>3929915501</v>
      </c>
      <c r="J2703">
        <v>3032877104</v>
      </c>
      <c r="K2703">
        <v>2679463980</v>
      </c>
      <c r="L2703">
        <v>2017969988</v>
      </c>
      <c r="M2703">
        <v>1164866881</v>
      </c>
      <c r="N2703">
        <v>444016196</v>
      </c>
      <c r="O2703">
        <v>408282357</v>
      </c>
      <c r="P2703">
        <v>974</v>
      </c>
      <c r="Q2703" t="s">
        <v>5741</v>
      </c>
    </row>
    <row r="2704" spans="1:17" x14ac:dyDescent="0.3">
      <c r="A2704" t="s">
        <v>4664</v>
      </c>
      <c r="B2704" t="str">
        <f>"002020"</f>
        <v>002020</v>
      </c>
      <c r="C2704" t="s">
        <v>5742</v>
      </c>
      <c r="D2704" t="s">
        <v>143</v>
      </c>
      <c r="F2704">
        <v>2331255056</v>
      </c>
      <c r="G2704">
        <v>2874795201</v>
      </c>
      <c r="H2704">
        <v>3052539685</v>
      </c>
      <c r="I2704">
        <v>2424987056</v>
      </c>
      <c r="J2704">
        <v>1703230379</v>
      </c>
      <c r="K2704">
        <v>1511031854</v>
      </c>
      <c r="L2704">
        <v>1161686548</v>
      </c>
      <c r="M2704">
        <v>1010892020</v>
      </c>
      <c r="N2704">
        <v>778008227</v>
      </c>
      <c r="O2704">
        <v>721715371</v>
      </c>
      <c r="P2704">
        <v>619</v>
      </c>
      <c r="Q2704" t="s">
        <v>5743</v>
      </c>
    </row>
    <row r="2705" spans="1:17" x14ac:dyDescent="0.3">
      <c r="A2705" t="s">
        <v>4664</v>
      </c>
      <c r="B2705" t="str">
        <f>"002021"</f>
        <v>002021</v>
      </c>
      <c r="C2705" t="s">
        <v>5744</v>
      </c>
      <c r="D2705" t="s">
        <v>534</v>
      </c>
      <c r="F2705">
        <v>2378756605</v>
      </c>
      <c r="G2705">
        <v>407357546</v>
      </c>
      <c r="H2705">
        <v>627172619</v>
      </c>
      <c r="I2705">
        <v>1029234876</v>
      </c>
      <c r="J2705">
        <v>727877714</v>
      </c>
      <c r="K2705">
        <v>530576714</v>
      </c>
      <c r="L2705">
        <v>580490795</v>
      </c>
      <c r="M2705">
        <v>1373098289</v>
      </c>
      <c r="N2705">
        <v>981165418</v>
      </c>
      <c r="O2705">
        <v>785875482</v>
      </c>
      <c r="P2705">
        <v>57</v>
      </c>
      <c r="Q2705" t="s">
        <v>5745</v>
      </c>
    </row>
    <row r="2706" spans="1:17" x14ac:dyDescent="0.3">
      <c r="A2706" t="s">
        <v>4664</v>
      </c>
      <c r="B2706" t="str">
        <f>"002022"</f>
        <v>002022</v>
      </c>
      <c r="C2706" t="s">
        <v>5746</v>
      </c>
      <c r="D2706" t="s">
        <v>1305</v>
      </c>
      <c r="F2706">
        <v>3683635010</v>
      </c>
      <c r="G2706">
        <v>2798826151</v>
      </c>
      <c r="H2706">
        <v>1833392521</v>
      </c>
      <c r="I2706">
        <v>1455530830</v>
      </c>
      <c r="J2706">
        <v>1184305424</v>
      </c>
      <c r="K2706">
        <v>1218036935</v>
      </c>
      <c r="L2706">
        <v>1027963319</v>
      </c>
      <c r="M2706">
        <v>994055413</v>
      </c>
      <c r="N2706">
        <v>924155589</v>
      </c>
      <c r="O2706">
        <v>867362075</v>
      </c>
      <c r="P2706">
        <v>1024</v>
      </c>
      <c r="Q2706" t="s">
        <v>5747</v>
      </c>
    </row>
    <row r="2707" spans="1:17" x14ac:dyDescent="0.3">
      <c r="A2707" t="s">
        <v>4664</v>
      </c>
      <c r="B2707" t="str">
        <f>"002023"</f>
        <v>002023</v>
      </c>
      <c r="C2707" t="s">
        <v>5748</v>
      </c>
      <c r="D2707" t="s">
        <v>98</v>
      </c>
      <c r="F2707">
        <v>592321156</v>
      </c>
      <c r="G2707">
        <v>492418264</v>
      </c>
      <c r="H2707">
        <v>519327275</v>
      </c>
      <c r="I2707">
        <v>336480796</v>
      </c>
      <c r="J2707">
        <v>271095107</v>
      </c>
      <c r="K2707">
        <v>251472046</v>
      </c>
      <c r="L2707">
        <v>205833041</v>
      </c>
      <c r="M2707">
        <v>239596656</v>
      </c>
      <c r="N2707">
        <v>188753155</v>
      </c>
      <c r="O2707">
        <v>185667723</v>
      </c>
      <c r="P2707">
        <v>580</v>
      </c>
      <c r="Q2707" t="s">
        <v>5749</v>
      </c>
    </row>
    <row r="2708" spans="1:17" x14ac:dyDescent="0.3">
      <c r="A2708" t="s">
        <v>4664</v>
      </c>
      <c r="B2708" t="str">
        <f>"002024"</f>
        <v>002024</v>
      </c>
      <c r="C2708" t="s">
        <v>5750</v>
      </c>
      <c r="D2708" t="s">
        <v>3066</v>
      </c>
      <c r="F2708">
        <v>155993638000</v>
      </c>
      <c r="G2708">
        <v>221329672000</v>
      </c>
      <c r="H2708">
        <v>220231854000</v>
      </c>
      <c r="I2708">
        <v>206867349000</v>
      </c>
      <c r="J2708">
        <v>153222479000</v>
      </c>
      <c r="K2708">
        <v>120846435000</v>
      </c>
      <c r="L2708">
        <v>108592834000</v>
      </c>
      <c r="M2708">
        <v>91372978000</v>
      </c>
      <c r="N2708">
        <v>92387083000</v>
      </c>
      <c r="O2708">
        <v>83918551000</v>
      </c>
      <c r="P2708">
        <v>1902</v>
      </c>
      <c r="Q2708" t="s">
        <v>5751</v>
      </c>
    </row>
    <row r="2709" spans="1:17" x14ac:dyDescent="0.3">
      <c r="A2709" t="s">
        <v>4664</v>
      </c>
      <c r="B2709" t="str">
        <f>"002025"</f>
        <v>002025</v>
      </c>
      <c r="C2709" t="s">
        <v>5752</v>
      </c>
      <c r="D2709" t="s">
        <v>1136</v>
      </c>
      <c r="F2709">
        <v>2969399660</v>
      </c>
      <c r="G2709">
        <v>1578198915</v>
      </c>
      <c r="H2709">
        <v>1383205371</v>
      </c>
      <c r="I2709">
        <v>1044102319</v>
      </c>
      <c r="J2709">
        <v>965200636</v>
      </c>
      <c r="K2709">
        <v>1216053935</v>
      </c>
      <c r="L2709">
        <v>1064951399</v>
      </c>
      <c r="M2709">
        <v>779207417</v>
      </c>
      <c r="N2709">
        <v>602308601</v>
      </c>
      <c r="O2709">
        <v>465634888</v>
      </c>
      <c r="P2709">
        <v>468</v>
      </c>
      <c r="Q2709" t="s">
        <v>5753</v>
      </c>
    </row>
    <row r="2710" spans="1:17" x14ac:dyDescent="0.3">
      <c r="A2710" t="s">
        <v>4664</v>
      </c>
      <c r="B2710" t="str">
        <f>"002026"</f>
        <v>002026</v>
      </c>
      <c r="C2710" t="s">
        <v>5754</v>
      </c>
      <c r="D2710" t="s">
        <v>274</v>
      </c>
      <c r="F2710">
        <v>1886686037</v>
      </c>
      <c r="G2710">
        <v>1353681292</v>
      </c>
      <c r="H2710">
        <v>1167110054</v>
      </c>
      <c r="I2710">
        <v>1215718202</v>
      </c>
      <c r="J2710">
        <v>1033274504</v>
      </c>
      <c r="K2710">
        <v>767638498</v>
      </c>
      <c r="L2710">
        <v>583622852</v>
      </c>
      <c r="M2710">
        <v>490364799</v>
      </c>
      <c r="N2710">
        <v>444229386</v>
      </c>
      <c r="O2710">
        <v>389068965</v>
      </c>
      <c r="P2710">
        <v>208</v>
      </c>
      <c r="Q2710" t="s">
        <v>5755</v>
      </c>
    </row>
    <row r="2711" spans="1:17" x14ac:dyDescent="0.3">
      <c r="A2711" t="s">
        <v>4664</v>
      </c>
      <c r="B2711" t="str">
        <f>"002027"</f>
        <v>002027</v>
      </c>
      <c r="C2711" t="s">
        <v>5756</v>
      </c>
      <c r="D2711" t="s">
        <v>5063</v>
      </c>
      <c r="F2711">
        <v>11989693715</v>
      </c>
      <c r="G2711">
        <v>8640786518</v>
      </c>
      <c r="H2711">
        <v>9715824562</v>
      </c>
      <c r="I2711">
        <v>9206737959</v>
      </c>
      <c r="J2711">
        <v>8134918963</v>
      </c>
      <c r="K2711">
        <v>7791075618</v>
      </c>
      <c r="L2711">
        <v>378966356</v>
      </c>
      <c r="M2711">
        <v>352380070</v>
      </c>
      <c r="N2711">
        <v>1464859609</v>
      </c>
      <c r="O2711">
        <v>1226261883</v>
      </c>
      <c r="P2711">
        <v>5236</v>
      </c>
      <c r="Q2711" t="s">
        <v>5757</v>
      </c>
    </row>
    <row r="2712" spans="1:17" x14ac:dyDescent="0.3">
      <c r="A2712" t="s">
        <v>4664</v>
      </c>
      <c r="B2712" t="str">
        <f>"002028"</f>
        <v>002028</v>
      </c>
      <c r="C2712" t="s">
        <v>5758</v>
      </c>
      <c r="D2712" t="s">
        <v>210</v>
      </c>
      <c r="F2712">
        <v>5282995552</v>
      </c>
      <c r="G2712">
        <v>4498973522</v>
      </c>
      <c r="H2712">
        <v>4223140537</v>
      </c>
      <c r="I2712">
        <v>3077873282</v>
      </c>
      <c r="J2712">
        <v>3196734562</v>
      </c>
      <c r="K2712">
        <v>2727831359</v>
      </c>
      <c r="L2712">
        <v>2674098261</v>
      </c>
      <c r="M2712">
        <v>2051055586</v>
      </c>
      <c r="N2712">
        <v>2129632797</v>
      </c>
      <c r="O2712">
        <v>1538371107</v>
      </c>
      <c r="P2712">
        <v>603</v>
      </c>
      <c r="Q2712" t="s">
        <v>5759</v>
      </c>
    </row>
    <row r="2713" spans="1:17" x14ac:dyDescent="0.3">
      <c r="A2713" t="s">
        <v>4664</v>
      </c>
      <c r="B2713" t="str">
        <f>"002029"</f>
        <v>002029</v>
      </c>
      <c r="C2713" t="s">
        <v>5760</v>
      </c>
      <c r="D2713" t="s">
        <v>255</v>
      </c>
      <c r="F2713">
        <v>2561279730</v>
      </c>
      <c r="G2713">
        <v>2252836243</v>
      </c>
      <c r="H2713">
        <v>2542472227</v>
      </c>
      <c r="I2713">
        <v>2439991035</v>
      </c>
      <c r="J2713">
        <v>2141357895</v>
      </c>
      <c r="K2713">
        <v>1939984776</v>
      </c>
      <c r="L2713">
        <v>2008585295</v>
      </c>
      <c r="M2713">
        <v>2128032008</v>
      </c>
      <c r="N2713">
        <v>2310334549</v>
      </c>
      <c r="O2713">
        <v>2040823164</v>
      </c>
      <c r="P2713">
        <v>217</v>
      </c>
      <c r="Q2713" t="s">
        <v>5761</v>
      </c>
    </row>
    <row r="2714" spans="1:17" x14ac:dyDescent="0.3">
      <c r="A2714" t="s">
        <v>4664</v>
      </c>
      <c r="B2714" t="str">
        <f>"002030"</f>
        <v>002030</v>
      </c>
      <c r="C2714" t="s">
        <v>5762</v>
      </c>
      <c r="D2714" t="s">
        <v>1305</v>
      </c>
      <c r="F2714">
        <v>4933555068</v>
      </c>
      <c r="G2714">
        <v>2837577705</v>
      </c>
      <c r="H2714">
        <v>755596791</v>
      </c>
      <c r="I2714">
        <v>1193922821</v>
      </c>
      <c r="J2714">
        <v>1193758409</v>
      </c>
      <c r="K2714">
        <v>1030883305</v>
      </c>
      <c r="L2714">
        <v>836341548</v>
      </c>
      <c r="M2714">
        <v>630254707</v>
      </c>
      <c r="N2714">
        <v>568098916</v>
      </c>
      <c r="O2714">
        <v>391517035</v>
      </c>
      <c r="P2714">
        <v>1177</v>
      </c>
      <c r="Q2714" t="s">
        <v>5763</v>
      </c>
    </row>
    <row r="2715" spans="1:17" x14ac:dyDescent="0.3">
      <c r="A2715" t="s">
        <v>4664</v>
      </c>
      <c r="B2715" t="str">
        <f>"002031"</f>
        <v>002031</v>
      </c>
      <c r="C2715" t="s">
        <v>5764</v>
      </c>
      <c r="D2715" t="s">
        <v>741</v>
      </c>
      <c r="F2715">
        <v>1471598412</v>
      </c>
      <c r="G2715">
        <v>1064454335</v>
      </c>
      <c r="H2715">
        <v>1062169795</v>
      </c>
      <c r="I2715">
        <v>883709632</v>
      </c>
      <c r="J2715">
        <v>791332165</v>
      </c>
      <c r="K2715">
        <v>556783632</v>
      </c>
      <c r="L2715">
        <v>423171527</v>
      </c>
      <c r="M2715">
        <v>501127577</v>
      </c>
      <c r="N2715">
        <v>496106423</v>
      </c>
      <c r="O2715">
        <v>236173265</v>
      </c>
      <c r="P2715">
        <v>137</v>
      </c>
      <c r="Q2715" t="s">
        <v>5765</v>
      </c>
    </row>
    <row r="2716" spans="1:17" x14ac:dyDescent="0.3">
      <c r="A2716" t="s">
        <v>4664</v>
      </c>
      <c r="B2716" t="str">
        <f>"002032"</f>
        <v>002032</v>
      </c>
      <c r="C2716" t="s">
        <v>5766</v>
      </c>
      <c r="D2716" t="s">
        <v>5712</v>
      </c>
      <c r="F2716">
        <v>11860419108</v>
      </c>
      <c r="G2716">
        <v>8495154843</v>
      </c>
      <c r="H2716">
        <v>9319051772</v>
      </c>
      <c r="I2716">
        <v>8696143447</v>
      </c>
      <c r="J2716">
        <v>7425785070</v>
      </c>
      <c r="K2716">
        <v>5638079005</v>
      </c>
      <c r="L2716">
        <v>5060179788</v>
      </c>
      <c r="M2716">
        <v>4747029327</v>
      </c>
      <c r="N2716">
        <v>4351071085</v>
      </c>
      <c r="O2716">
        <v>3823817764</v>
      </c>
      <c r="P2716">
        <v>52892</v>
      </c>
      <c r="Q2716" t="s">
        <v>5767</v>
      </c>
    </row>
    <row r="2717" spans="1:17" x14ac:dyDescent="0.3">
      <c r="A2717" t="s">
        <v>4664</v>
      </c>
      <c r="B2717" t="str">
        <f>"002033"</f>
        <v>002033</v>
      </c>
      <c r="C2717" t="s">
        <v>5768</v>
      </c>
      <c r="D2717" t="s">
        <v>119</v>
      </c>
      <c r="F2717">
        <v>344330725</v>
      </c>
      <c r="G2717">
        <v>327152314</v>
      </c>
      <c r="H2717">
        <v>692077576</v>
      </c>
      <c r="I2717">
        <v>644601394</v>
      </c>
      <c r="J2717">
        <v>617108904</v>
      </c>
      <c r="K2717">
        <v>681540637</v>
      </c>
      <c r="L2717">
        <v>618395939</v>
      </c>
      <c r="M2717">
        <v>579133333</v>
      </c>
      <c r="N2717">
        <v>546001824</v>
      </c>
      <c r="O2717">
        <v>467128636</v>
      </c>
      <c r="P2717">
        <v>278</v>
      </c>
      <c r="Q2717" t="s">
        <v>5769</v>
      </c>
    </row>
    <row r="2718" spans="1:17" x14ac:dyDescent="0.3">
      <c r="A2718" t="s">
        <v>4664</v>
      </c>
      <c r="B2718" t="str">
        <f>"002034"</f>
        <v>002034</v>
      </c>
      <c r="C2718" t="s">
        <v>5770</v>
      </c>
      <c r="D2718" t="s">
        <v>499</v>
      </c>
      <c r="F2718">
        <v>1704058949</v>
      </c>
      <c r="G2718">
        <v>1097509992</v>
      </c>
      <c r="H2718">
        <v>831757001</v>
      </c>
      <c r="I2718">
        <v>639043925</v>
      </c>
      <c r="J2718">
        <v>564824306</v>
      </c>
      <c r="K2718">
        <v>592580716</v>
      </c>
      <c r="L2718">
        <v>571249428</v>
      </c>
      <c r="M2718">
        <v>666054484</v>
      </c>
      <c r="N2718">
        <v>863195319</v>
      </c>
      <c r="O2718">
        <v>849607367</v>
      </c>
      <c r="P2718">
        <v>244</v>
      </c>
      <c r="Q2718" t="s">
        <v>5771</v>
      </c>
    </row>
    <row r="2719" spans="1:17" x14ac:dyDescent="0.3">
      <c r="A2719" t="s">
        <v>4664</v>
      </c>
      <c r="B2719" t="str">
        <f>"002035"</f>
        <v>002035</v>
      </c>
      <c r="C2719" t="s">
        <v>5772</v>
      </c>
      <c r="D2719" t="s">
        <v>3680</v>
      </c>
      <c r="F2719">
        <v>4103088354</v>
      </c>
      <c r="G2719">
        <v>2791193732</v>
      </c>
      <c r="H2719">
        <v>3706709417</v>
      </c>
      <c r="I2719">
        <v>3056306741</v>
      </c>
      <c r="J2719">
        <v>2744227634</v>
      </c>
      <c r="K2719">
        <v>2466396059</v>
      </c>
      <c r="L2719">
        <v>2163118634</v>
      </c>
      <c r="M2719">
        <v>2418421230</v>
      </c>
      <c r="N2719">
        <v>2123289018</v>
      </c>
      <c r="O2719">
        <v>1461481224</v>
      </c>
      <c r="P2719">
        <v>1344</v>
      </c>
      <c r="Q2719" t="s">
        <v>5773</v>
      </c>
    </row>
    <row r="2720" spans="1:17" x14ac:dyDescent="0.3">
      <c r="A2720" t="s">
        <v>4664</v>
      </c>
      <c r="B2720" t="str">
        <f>"002036"</f>
        <v>002036</v>
      </c>
      <c r="C2720" t="s">
        <v>5774</v>
      </c>
      <c r="D2720" t="s">
        <v>164</v>
      </c>
      <c r="F2720">
        <v>7592371523</v>
      </c>
      <c r="G2720">
        <v>4728229863</v>
      </c>
      <c r="H2720">
        <v>4182582273</v>
      </c>
      <c r="I2720">
        <v>3882218741</v>
      </c>
      <c r="J2720">
        <v>3724730011</v>
      </c>
      <c r="K2720">
        <v>1461238404</v>
      </c>
      <c r="L2720">
        <v>304124449</v>
      </c>
      <c r="M2720">
        <v>250412656</v>
      </c>
      <c r="N2720">
        <v>269021942</v>
      </c>
      <c r="O2720">
        <v>293752102</v>
      </c>
      <c r="P2720">
        <v>548</v>
      </c>
      <c r="Q2720" t="s">
        <v>5775</v>
      </c>
    </row>
    <row r="2721" spans="1:17" x14ac:dyDescent="0.3">
      <c r="A2721" t="s">
        <v>4664</v>
      </c>
      <c r="B2721" t="str">
        <f>"002037"</f>
        <v>002037</v>
      </c>
      <c r="C2721" t="s">
        <v>5776</v>
      </c>
      <c r="D2721" t="s">
        <v>2713</v>
      </c>
      <c r="F2721">
        <v>3621422322</v>
      </c>
      <c r="G2721">
        <v>3265280283</v>
      </c>
      <c r="H2721">
        <v>2563497897</v>
      </c>
      <c r="I2721">
        <v>2412405092</v>
      </c>
      <c r="J2721">
        <v>2656671975</v>
      </c>
      <c r="K2721">
        <v>3170266192</v>
      </c>
      <c r="L2721">
        <v>1746785497</v>
      </c>
      <c r="M2721">
        <v>1928075843</v>
      </c>
      <c r="N2721">
        <v>1957753694</v>
      </c>
      <c r="O2721">
        <v>1515961104</v>
      </c>
      <c r="P2721">
        <v>81</v>
      </c>
      <c r="Q2721" t="s">
        <v>5777</v>
      </c>
    </row>
    <row r="2722" spans="1:17" x14ac:dyDescent="0.3">
      <c r="A2722" t="s">
        <v>4664</v>
      </c>
      <c r="B2722" t="str">
        <f>"002038"</f>
        <v>002038</v>
      </c>
      <c r="C2722" t="s">
        <v>5778</v>
      </c>
      <c r="D2722" t="s">
        <v>1379</v>
      </c>
      <c r="F2722">
        <v>1051009385</v>
      </c>
      <c r="G2722">
        <v>978380135</v>
      </c>
      <c r="H2722">
        <v>1712142935</v>
      </c>
      <c r="I2722">
        <v>1663776971</v>
      </c>
      <c r="J2722">
        <v>966286418</v>
      </c>
      <c r="K2722">
        <v>809129488</v>
      </c>
      <c r="L2722">
        <v>888675002</v>
      </c>
      <c r="M2722">
        <v>901030991</v>
      </c>
      <c r="N2722">
        <v>839502287</v>
      </c>
      <c r="O2722">
        <v>692914867</v>
      </c>
      <c r="P2722">
        <v>5163</v>
      </c>
      <c r="Q2722" t="s">
        <v>5779</v>
      </c>
    </row>
    <row r="2723" spans="1:17" x14ac:dyDescent="0.3">
      <c r="A2723" t="s">
        <v>4664</v>
      </c>
      <c r="B2723" t="str">
        <f>"002039"</f>
        <v>002039</v>
      </c>
      <c r="C2723" t="s">
        <v>5780</v>
      </c>
      <c r="D2723" t="s">
        <v>66</v>
      </c>
      <c r="F2723">
        <v>1581805432</v>
      </c>
      <c r="G2723">
        <v>1767443374</v>
      </c>
      <c r="H2723">
        <v>1847879402</v>
      </c>
      <c r="I2723">
        <v>1969637576</v>
      </c>
      <c r="J2723">
        <v>1662482244</v>
      </c>
      <c r="K2723">
        <v>2269284712</v>
      </c>
      <c r="L2723">
        <v>1902693556</v>
      </c>
      <c r="M2723">
        <v>1193168783</v>
      </c>
      <c r="N2723">
        <v>930102218</v>
      </c>
      <c r="O2723">
        <v>1445616562</v>
      </c>
      <c r="P2723">
        <v>431</v>
      </c>
      <c r="Q2723" t="s">
        <v>5781</v>
      </c>
    </row>
    <row r="2724" spans="1:17" x14ac:dyDescent="0.3">
      <c r="A2724" t="s">
        <v>4664</v>
      </c>
      <c r="B2724" t="str">
        <f>"002040"</f>
        <v>002040</v>
      </c>
      <c r="C2724" t="s">
        <v>5782</v>
      </c>
      <c r="D2724" t="s">
        <v>51</v>
      </c>
      <c r="F2724">
        <v>620507881</v>
      </c>
      <c r="G2724">
        <v>546465425</v>
      </c>
      <c r="H2724">
        <v>500252057</v>
      </c>
      <c r="I2724">
        <v>464559459</v>
      </c>
      <c r="J2724">
        <v>464160467</v>
      </c>
      <c r="K2724">
        <v>119306223</v>
      </c>
      <c r="L2724">
        <v>113484381</v>
      </c>
      <c r="M2724">
        <v>99534913</v>
      </c>
      <c r="N2724">
        <v>109883909</v>
      </c>
      <c r="O2724">
        <v>118978183</v>
      </c>
      <c r="P2724">
        <v>100</v>
      </c>
      <c r="Q2724" t="s">
        <v>5783</v>
      </c>
    </row>
    <row r="2725" spans="1:17" x14ac:dyDescent="0.3">
      <c r="A2725" t="s">
        <v>4664</v>
      </c>
      <c r="B2725" t="str">
        <f>"002041"</f>
        <v>002041</v>
      </c>
      <c r="C2725" t="s">
        <v>5784</v>
      </c>
      <c r="D2725" t="s">
        <v>706</v>
      </c>
      <c r="F2725">
        <v>853612956</v>
      </c>
      <c r="G2725">
        <v>669914911</v>
      </c>
      <c r="H2725">
        <v>570594997</v>
      </c>
      <c r="I2725">
        <v>380019164</v>
      </c>
      <c r="J2725">
        <v>310390011</v>
      </c>
      <c r="K2725">
        <v>726781134</v>
      </c>
      <c r="L2725">
        <v>484939444</v>
      </c>
      <c r="M2725">
        <v>534622888</v>
      </c>
      <c r="N2725">
        <v>373582647</v>
      </c>
      <c r="O2725">
        <v>306538145</v>
      </c>
      <c r="P2725">
        <v>446</v>
      </c>
      <c r="Q2725" t="s">
        <v>5785</v>
      </c>
    </row>
    <row r="2726" spans="1:17" x14ac:dyDescent="0.3">
      <c r="A2726" t="s">
        <v>4664</v>
      </c>
      <c r="B2726" t="str">
        <f>"002042"</f>
        <v>002042</v>
      </c>
      <c r="C2726" t="s">
        <v>5786</v>
      </c>
      <c r="D2726" t="s">
        <v>1009</v>
      </c>
      <c r="F2726">
        <v>13536545997</v>
      </c>
      <c r="G2726">
        <v>8514254635</v>
      </c>
      <c r="H2726">
        <v>12824181818</v>
      </c>
      <c r="I2726">
        <v>12723374072</v>
      </c>
      <c r="J2726">
        <v>9772377823</v>
      </c>
      <c r="K2726">
        <v>6193412386</v>
      </c>
      <c r="L2726">
        <v>5126565342</v>
      </c>
      <c r="M2726">
        <v>5144257550</v>
      </c>
      <c r="N2726">
        <v>4616784793</v>
      </c>
      <c r="O2726">
        <v>4464961173</v>
      </c>
      <c r="P2726">
        <v>196</v>
      </c>
      <c r="Q2726" t="s">
        <v>5787</v>
      </c>
    </row>
    <row r="2727" spans="1:17" x14ac:dyDescent="0.3">
      <c r="A2727" t="s">
        <v>4664</v>
      </c>
      <c r="B2727" t="str">
        <f>"002043"</f>
        <v>002043</v>
      </c>
      <c r="C2727" t="s">
        <v>5788</v>
      </c>
      <c r="D2727" t="s">
        <v>722</v>
      </c>
      <c r="F2727">
        <v>6480300588</v>
      </c>
      <c r="G2727">
        <v>4419797371</v>
      </c>
      <c r="H2727">
        <v>3556808118</v>
      </c>
      <c r="I2727">
        <v>3418307924</v>
      </c>
      <c r="J2727">
        <v>3387057726</v>
      </c>
      <c r="K2727">
        <v>2073627148</v>
      </c>
      <c r="L2727">
        <v>1274192959</v>
      </c>
      <c r="M2727">
        <v>1116081458</v>
      </c>
      <c r="N2727">
        <v>972652127</v>
      </c>
      <c r="O2727">
        <v>876953405</v>
      </c>
      <c r="P2727">
        <v>665</v>
      </c>
      <c r="Q2727" t="s">
        <v>5789</v>
      </c>
    </row>
    <row r="2728" spans="1:17" x14ac:dyDescent="0.3">
      <c r="A2728" t="s">
        <v>4664</v>
      </c>
      <c r="B2728" t="str">
        <f>"002044"</f>
        <v>002044</v>
      </c>
      <c r="C2728" t="s">
        <v>5790</v>
      </c>
      <c r="D2728" t="s">
        <v>1147</v>
      </c>
      <c r="F2728">
        <v>4990730981</v>
      </c>
      <c r="G2728">
        <v>3596749284</v>
      </c>
      <c r="H2728">
        <v>4881565023</v>
      </c>
      <c r="I2728">
        <v>4926985055</v>
      </c>
      <c r="J2728">
        <v>2563812881</v>
      </c>
      <c r="K2728">
        <v>1608019774</v>
      </c>
      <c r="L2728">
        <v>1255295061</v>
      </c>
      <c r="M2728">
        <v>461048190</v>
      </c>
      <c r="N2728">
        <v>535894526</v>
      </c>
      <c r="O2728">
        <v>498755275</v>
      </c>
      <c r="P2728">
        <v>1237</v>
      </c>
      <c r="Q2728" t="s">
        <v>5791</v>
      </c>
    </row>
    <row r="2729" spans="1:17" x14ac:dyDescent="0.3">
      <c r="A2729" t="s">
        <v>4664</v>
      </c>
      <c r="B2729" t="str">
        <f>"002045"</f>
        <v>002045</v>
      </c>
      <c r="C2729" t="s">
        <v>5792</v>
      </c>
      <c r="D2729" t="s">
        <v>3499</v>
      </c>
      <c r="F2729">
        <v>3545035692</v>
      </c>
      <c r="G2729">
        <v>2940523383</v>
      </c>
      <c r="H2729">
        <v>2970844512</v>
      </c>
      <c r="I2729">
        <v>3150546856</v>
      </c>
      <c r="J2729">
        <v>2353706151</v>
      </c>
      <c r="K2729">
        <v>1627556517</v>
      </c>
      <c r="L2729">
        <v>1469648384</v>
      </c>
      <c r="M2729">
        <v>1492014191</v>
      </c>
      <c r="N2729">
        <v>1376836943</v>
      </c>
      <c r="O2729">
        <v>1356042087</v>
      </c>
      <c r="P2729">
        <v>216</v>
      </c>
      <c r="Q2729" t="s">
        <v>5793</v>
      </c>
    </row>
    <row r="2730" spans="1:17" x14ac:dyDescent="0.3">
      <c r="A2730" t="s">
        <v>4664</v>
      </c>
      <c r="B2730" t="str">
        <f>"002046"</f>
        <v>002046</v>
      </c>
      <c r="C2730" t="s">
        <v>5794</v>
      </c>
      <c r="D2730" t="s">
        <v>274</v>
      </c>
      <c r="F2730">
        <v>2001153101</v>
      </c>
      <c r="G2730">
        <v>1334762164</v>
      </c>
      <c r="H2730">
        <v>1161567851</v>
      </c>
      <c r="I2730">
        <v>1110736422</v>
      </c>
      <c r="J2730">
        <v>278659500</v>
      </c>
      <c r="K2730">
        <v>253845810</v>
      </c>
      <c r="L2730">
        <v>335856329</v>
      </c>
      <c r="M2730">
        <v>391671854</v>
      </c>
      <c r="N2730">
        <v>458582484</v>
      </c>
      <c r="O2730">
        <v>430432622</v>
      </c>
      <c r="P2730">
        <v>148</v>
      </c>
      <c r="Q2730" t="s">
        <v>5795</v>
      </c>
    </row>
    <row r="2731" spans="1:17" x14ac:dyDescent="0.3">
      <c r="A2731" t="s">
        <v>4664</v>
      </c>
      <c r="B2731" t="str">
        <f>"002047"</f>
        <v>002047</v>
      </c>
      <c r="C2731" t="s">
        <v>5796</v>
      </c>
      <c r="D2731" t="s">
        <v>450</v>
      </c>
      <c r="F2731">
        <v>3633740484</v>
      </c>
      <c r="G2731">
        <v>3638275094</v>
      </c>
      <c r="H2731">
        <v>4157840145</v>
      </c>
      <c r="I2731">
        <v>4535302757</v>
      </c>
      <c r="J2731">
        <v>4444690206</v>
      </c>
      <c r="K2731">
        <v>3285904650</v>
      </c>
      <c r="L2731">
        <v>3799755800</v>
      </c>
      <c r="M2731">
        <v>1994599305</v>
      </c>
      <c r="N2731">
        <v>971447511</v>
      </c>
      <c r="O2731">
        <v>978316442</v>
      </c>
      <c r="P2731">
        <v>103</v>
      </c>
      <c r="Q2731" t="s">
        <v>5797</v>
      </c>
    </row>
    <row r="2732" spans="1:17" x14ac:dyDescent="0.3">
      <c r="A2732" t="s">
        <v>4664</v>
      </c>
      <c r="B2732" t="str">
        <f>"002048"</f>
        <v>002048</v>
      </c>
      <c r="C2732" t="s">
        <v>5798</v>
      </c>
      <c r="D2732" t="s">
        <v>191</v>
      </c>
      <c r="F2732">
        <v>11691394787</v>
      </c>
      <c r="G2732">
        <v>10447668662</v>
      </c>
      <c r="H2732">
        <v>10889595634</v>
      </c>
      <c r="I2732">
        <v>10187455217</v>
      </c>
      <c r="J2732">
        <v>10622785446</v>
      </c>
      <c r="K2732">
        <v>8350899551</v>
      </c>
      <c r="L2732">
        <v>6991731556</v>
      </c>
      <c r="M2732">
        <v>5972547089</v>
      </c>
      <c r="N2732">
        <v>4948606462</v>
      </c>
      <c r="O2732">
        <v>3433262017</v>
      </c>
      <c r="P2732">
        <v>645</v>
      </c>
      <c r="Q2732" t="s">
        <v>5799</v>
      </c>
    </row>
    <row r="2733" spans="1:17" x14ac:dyDescent="0.3">
      <c r="A2733" t="s">
        <v>4664</v>
      </c>
      <c r="B2733" t="str">
        <f>"002049"</f>
        <v>002049</v>
      </c>
      <c r="C2733" t="s">
        <v>5800</v>
      </c>
      <c r="D2733" t="s">
        <v>461</v>
      </c>
      <c r="F2733">
        <v>2689231232</v>
      </c>
      <c r="G2733">
        <v>1610540809</v>
      </c>
      <c r="H2733">
        <v>1869450814</v>
      </c>
      <c r="I2733">
        <v>1416038824</v>
      </c>
      <c r="J2733">
        <v>1247249302</v>
      </c>
      <c r="K2733">
        <v>950856050</v>
      </c>
      <c r="L2733">
        <v>806201646</v>
      </c>
      <c r="M2733">
        <v>671972775</v>
      </c>
      <c r="N2733">
        <v>473026692</v>
      </c>
      <c r="O2733">
        <v>402910035</v>
      </c>
      <c r="P2733">
        <v>4605</v>
      </c>
      <c r="Q2733" t="s">
        <v>5801</v>
      </c>
    </row>
    <row r="2734" spans="1:17" x14ac:dyDescent="0.3">
      <c r="A2734" t="s">
        <v>4664</v>
      </c>
      <c r="B2734" t="str">
        <f>"002050"</f>
        <v>002050</v>
      </c>
      <c r="C2734" t="s">
        <v>5802</v>
      </c>
      <c r="D2734" t="s">
        <v>1253</v>
      </c>
      <c r="F2734">
        <v>11954434946</v>
      </c>
      <c r="G2734">
        <v>8889739111</v>
      </c>
      <c r="H2734">
        <v>8692624244</v>
      </c>
      <c r="I2734">
        <v>7990405642</v>
      </c>
      <c r="J2734">
        <v>6847830714</v>
      </c>
      <c r="K2734">
        <v>5225881312</v>
      </c>
      <c r="L2734">
        <v>5008256536</v>
      </c>
      <c r="M2734">
        <v>4517446602</v>
      </c>
      <c r="N2734">
        <v>3591887493</v>
      </c>
      <c r="O2734">
        <v>3006605580</v>
      </c>
      <c r="P2734">
        <v>2043</v>
      </c>
      <c r="Q2734" t="s">
        <v>5803</v>
      </c>
    </row>
    <row r="2735" spans="1:17" x14ac:dyDescent="0.3">
      <c r="A2735" t="s">
        <v>4664</v>
      </c>
      <c r="B2735" t="str">
        <f>"002051"</f>
        <v>002051</v>
      </c>
      <c r="C2735" t="s">
        <v>5804</v>
      </c>
      <c r="D2735" t="s">
        <v>1887</v>
      </c>
      <c r="F2735">
        <v>4816300261</v>
      </c>
      <c r="G2735">
        <v>5751142586</v>
      </c>
      <c r="H2735">
        <v>7355477697</v>
      </c>
      <c r="I2735">
        <v>7272611277</v>
      </c>
      <c r="J2735">
        <v>4682209475</v>
      </c>
      <c r="K2735">
        <v>4434524457</v>
      </c>
      <c r="L2735">
        <v>6010675554</v>
      </c>
      <c r="M2735">
        <v>5267691928</v>
      </c>
      <c r="N2735">
        <v>4741176468</v>
      </c>
      <c r="O2735">
        <v>7479533481</v>
      </c>
      <c r="P2735">
        <v>556</v>
      </c>
      <c r="Q2735" t="s">
        <v>5805</v>
      </c>
    </row>
    <row r="2736" spans="1:17" x14ac:dyDescent="0.3">
      <c r="A2736" t="s">
        <v>4664</v>
      </c>
      <c r="B2736" t="str">
        <f>"002052"</f>
        <v>002052</v>
      </c>
      <c r="C2736" t="s">
        <v>5806</v>
      </c>
      <c r="D2736" t="s">
        <v>4404</v>
      </c>
      <c r="F2736">
        <v>146259624</v>
      </c>
      <c r="G2736">
        <v>332976350</v>
      </c>
      <c r="H2736">
        <v>609637451</v>
      </c>
      <c r="I2736">
        <v>635095704</v>
      </c>
      <c r="J2736">
        <v>399923950</v>
      </c>
      <c r="K2736">
        <v>758024124</v>
      </c>
      <c r="L2736">
        <v>940298108</v>
      </c>
      <c r="M2736">
        <v>1327749659</v>
      </c>
      <c r="N2736">
        <v>1599367371</v>
      </c>
      <c r="O2736">
        <v>1328120819</v>
      </c>
      <c r="P2736">
        <v>76</v>
      </c>
      <c r="Q2736" t="s">
        <v>5807</v>
      </c>
    </row>
    <row r="2737" spans="1:17" x14ac:dyDescent="0.3">
      <c r="A2737" t="s">
        <v>4664</v>
      </c>
      <c r="B2737" t="str">
        <f>"002053"</f>
        <v>002053</v>
      </c>
      <c r="C2737" t="s">
        <v>5808</v>
      </c>
      <c r="D2737" t="s">
        <v>736</v>
      </c>
      <c r="F2737">
        <v>1226414200</v>
      </c>
      <c r="G2737">
        <v>1121240402</v>
      </c>
      <c r="H2737">
        <v>945271344</v>
      </c>
      <c r="I2737">
        <v>722071731</v>
      </c>
      <c r="J2737">
        <v>874232806</v>
      </c>
      <c r="K2737">
        <v>947583318</v>
      </c>
      <c r="L2737">
        <v>998324797</v>
      </c>
      <c r="M2737">
        <v>875933783</v>
      </c>
      <c r="N2737">
        <v>1426014442</v>
      </c>
      <c r="O2737">
        <v>1138309849</v>
      </c>
      <c r="P2737">
        <v>105</v>
      </c>
      <c r="Q2737" t="s">
        <v>5809</v>
      </c>
    </row>
    <row r="2738" spans="1:17" x14ac:dyDescent="0.3">
      <c r="A2738" t="s">
        <v>4664</v>
      </c>
      <c r="B2738" t="str">
        <f>"002054"</f>
        <v>002054</v>
      </c>
      <c r="C2738" t="s">
        <v>5810</v>
      </c>
      <c r="D2738" t="s">
        <v>779</v>
      </c>
      <c r="F2738">
        <v>1016220935</v>
      </c>
      <c r="G2738">
        <v>942386552</v>
      </c>
      <c r="H2738">
        <v>877631128</v>
      </c>
      <c r="I2738">
        <v>1111428699</v>
      </c>
      <c r="J2738">
        <v>1841615815</v>
      </c>
      <c r="K2738">
        <v>1827694079</v>
      </c>
      <c r="L2738">
        <v>1603206068</v>
      </c>
      <c r="M2738">
        <v>841836031</v>
      </c>
      <c r="N2738">
        <v>732640053</v>
      </c>
      <c r="O2738">
        <v>705157516</v>
      </c>
      <c r="P2738">
        <v>110</v>
      </c>
      <c r="Q2738" t="s">
        <v>5811</v>
      </c>
    </row>
    <row r="2739" spans="1:17" x14ac:dyDescent="0.3">
      <c r="A2739" t="s">
        <v>4664</v>
      </c>
      <c r="B2739" t="str">
        <f>"002055"</f>
        <v>002055</v>
      </c>
      <c r="C2739" t="s">
        <v>5812</v>
      </c>
      <c r="D2739" t="s">
        <v>313</v>
      </c>
      <c r="F2739">
        <v>3915632588</v>
      </c>
      <c r="G2739">
        <v>4974660381</v>
      </c>
      <c r="H2739">
        <v>4996996863</v>
      </c>
      <c r="I2739">
        <v>5029782280</v>
      </c>
      <c r="J2739">
        <v>3398323995</v>
      </c>
      <c r="K2739">
        <v>2812667292</v>
      </c>
      <c r="L2739">
        <v>2575809119</v>
      </c>
      <c r="M2739">
        <v>2149739935</v>
      </c>
      <c r="N2739">
        <v>1537661089</v>
      </c>
      <c r="O2739">
        <v>1164760402</v>
      </c>
      <c r="P2739">
        <v>245</v>
      </c>
      <c r="Q2739" t="s">
        <v>5813</v>
      </c>
    </row>
    <row r="2740" spans="1:17" x14ac:dyDescent="0.3">
      <c r="A2740" t="s">
        <v>4664</v>
      </c>
      <c r="B2740" t="str">
        <f>"002056"</f>
        <v>002056</v>
      </c>
      <c r="C2740" t="s">
        <v>5814</v>
      </c>
      <c r="D2740" t="s">
        <v>808</v>
      </c>
      <c r="F2740">
        <v>9529102211</v>
      </c>
      <c r="G2740">
        <v>5910123349</v>
      </c>
      <c r="H2740">
        <v>5126828985</v>
      </c>
      <c r="I2740">
        <v>4883166807</v>
      </c>
      <c r="J2740">
        <v>4722412537</v>
      </c>
      <c r="K2740">
        <v>4031171595</v>
      </c>
      <c r="L2740">
        <v>3197801473</v>
      </c>
      <c r="M2740">
        <v>3121285193</v>
      </c>
      <c r="N2740">
        <v>2466711906</v>
      </c>
      <c r="O2740">
        <v>2646607575</v>
      </c>
      <c r="P2740">
        <v>783</v>
      </c>
      <c r="Q2740" t="s">
        <v>5815</v>
      </c>
    </row>
    <row r="2741" spans="1:17" x14ac:dyDescent="0.3">
      <c r="A2741" t="s">
        <v>4664</v>
      </c>
      <c r="B2741" t="str">
        <f>"002057"</f>
        <v>002057</v>
      </c>
      <c r="C2741" t="s">
        <v>5816</v>
      </c>
      <c r="D2741" t="s">
        <v>808</v>
      </c>
      <c r="F2741">
        <v>1134386288</v>
      </c>
      <c r="G2741">
        <v>776114540</v>
      </c>
      <c r="H2741">
        <v>567055412</v>
      </c>
      <c r="I2741">
        <v>636520865</v>
      </c>
      <c r="J2741">
        <v>568754087</v>
      </c>
      <c r="K2741">
        <v>183672978</v>
      </c>
      <c r="L2741">
        <v>202930575</v>
      </c>
      <c r="M2741">
        <v>214646576</v>
      </c>
      <c r="N2741">
        <v>210716121</v>
      </c>
      <c r="O2741">
        <v>247361140</v>
      </c>
      <c r="P2741">
        <v>126</v>
      </c>
      <c r="Q2741" t="s">
        <v>5817</v>
      </c>
    </row>
    <row r="2742" spans="1:17" x14ac:dyDescent="0.3">
      <c r="A2742" t="s">
        <v>4664</v>
      </c>
      <c r="B2742" t="str">
        <f>"002058"</f>
        <v>002058</v>
      </c>
      <c r="C2742" t="s">
        <v>5818</v>
      </c>
      <c r="D2742" t="s">
        <v>2171</v>
      </c>
      <c r="F2742">
        <v>42830088</v>
      </c>
      <c r="G2742">
        <v>44961684</v>
      </c>
      <c r="H2742">
        <v>52155290</v>
      </c>
      <c r="I2742">
        <v>60709802</v>
      </c>
      <c r="J2742">
        <v>58260783</v>
      </c>
      <c r="K2742">
        <v>50744756</v>
      </c>
      <c r="L2742">
        <v>58754672</v>
      </c>
      <c r="M2742">
        <v>77215183</v>
      </c>
      <c r="N2742">
        <v>92441782</v>
      </c>
      <c r="O2742">
        <v>78775228</v>
      </c>
      <c r="P2742">
        <v>55</v>
      </c>
      <c r="Q2742" t="s">
        <v>5819</v>
      </c>
    </row>
    <row r="2743" spans="1:17" x14ac:dyDescent="0.3">
      <c r="A2743" t="s">
        <v>4664</v>
      </c>
      <c r="B2743" t="str">
        <f>"002059"</f>
        <v>002059</v>
      </c>
      <c r="C2743" t="s">
        <v>5820</v>
      </c>
      <c r="D2743" t="s">
        <v>333</v>
      </c>
      <c r="F2743">
        <v>906298795</v>
      </c>
      <c r="G2743">
        <v>1161424367</v>
      </c>
      <c r="H2743">
        <v>1557670686</v>
      </c>
      <c r="I2743">
        <v>989892805</v>
      </c>
      <c r="J2743">
        <v>1143761376</v>
      </c>
      <c r="K2743">
        <v>997881949</v>
      </c>
      <c r="L2743">
        <v>713060716</v>
      </c>
      <c r="M2743">
        <v>477289207</v>
      </c>
      <c r="N2743">
        <v>247604353</v>
      </c>
      <c r="O2743">
        <v>325937892</v>
      </c>
      <c r="P2743">
        <v>160</v>
      </c>
      <c r="Q2743" t="s">
        <v>5821</v>
      </c>
    </row>
    <row r="2744" spans="1:17" x14ac:dyDescent="0.3">
      <c r="A2744" t="s">
        <v>4664</v>
      </c>
      <c r="B2744" t="str">
        <f>"002060"</f>
        <v>002060</v>
      </c>
      <c r="C2744" t="s">
        <v>5822</v>
      </c>
      <c r="D2744" t="s">
        <v>101</v>
      </c>
      <c r="F2744">
        <v>9905380733</v>
      </c>
      <c r="G2744">
        <v>8563008985</v>
      </c>
      <c r="H2744">
        <v>7525907101</v>
      </c>
      <c r="I2744">
        <v>5805450827</v>
      </c>
      <c r="J2744">
        <v>4506770707</v>
      </c>
      <c r="K2744">
        <v>3819916612</v>
      </c>
      <c r="L2744">
        <v>4471193341</v>
      </c>
      <c r="M2744">
        <v>3739151477</v>
      </c>
      <c r="N2744">
        <v>3515286348</v>
      </c>
      <c r="O2744">
        <v>2669392696</v>
      </c>
      <c r="P2744">
        <v>169</v>
      </c>
      <c r="Q2744" t="s">
        <v>5823</v>
      </c>
    </row>
    <row r="2745" spans="1:17" x14ac:dyDescent="0.3">
      <c r="A2745" t="s">
        <v>4664</v>
      </c>
      <c r="B2745" t="str">
        <f>"002061"</f>
        <v>002061</v>
      </c>
      <c r="C2745" t="s">
        <v>5824</v>
      </c>
      <c r="D2745" t="s">
        <v>101</v>
      </c>
      <c r="F2745">
        <v>29020377989</v>
      </c>
      <c r="G2745">
        <v>21918099887</v>
      </c>
      <c r="H2745">
        <v>18136026052</v>
      </c>
      <c r="I2745">
        <v>13876907628</v>
      </c>
      <c r="J2745">
        <v>2623404103</v>
      </c>
      <c r="K2745">
        <v>1975208995</v>
      </c>
      <c r="L2745">
        <v>1033004096</v>
      </c>
      <c r="M2745">
        <v>1094550037</v>
      </c>
      <c r="N2745">
        <v>382801647</v>
      </c>
      <c r="O2745">
        <v>416783777</v>
      </c>
      <c r="P2745">
        <v>215</v>
      </c>
      <c r="Q2745" t="s">
        <v>5825</v>
      </c>
    </row>
    <row r="2746" spans="1:17" x14ac:dyDescent="0.3">
      <c r="A2746" t="s">
        <v>4664</v>
      </c>
      <c r="B2746" t="str">
        <f>"002062"</f>
        <v>002062</v>
      </c>
      <c r="C2746" t="s">
        <v>5826</v>
      </c>
      <c r="D2746" t="s">
        <v>101</v>
      </c>
      <c r="F2746">
        <v>8193265799</v>
      </c>
      <c r="G2746">
        <v>7561233706</v>
      </c>
      <c r="H2746">
        <v>6631609769</v>
      </c>
      <c r="I2746">
        <v>6929590855</v>
      </c>
      <c r="J2746">
        <v>6183221009</v>
      </c>
      <c r="K2746">
        <v>6247195008</v>
      </c>
      <c r="L2746">
        <v>6292353981</v>
      </c>
      <c r="M2746">
        <v>5714658775</v>
      </c>
      <c r="N2746">
        <v>5220668159</v>
      </c>
      <c r="O2746">
        <v>4411933390</v>
      </c>
      <c r="P2746">
        <v>145</v>
      </c>
      <c r="Q2746" t="s">
        <v>5827</v>
      </c>
    </row>
    <row r="2747" spans="1:17" x14ac:dyDescent="0.3">
      <c r="A2747" t="s">
        <v>4664</v>
      </c>
      <c r="B2747" t="str">
        <f>"002063"</f>
        <v>002063</v>
      </c>
      <c r="C2747" t="s">
        <v>5828</v>
      </c>
      <c r="D2747" t="s">
        <v>945</v>
      </c>
      <c r="F2747">
        <v>619846607</v>
      </c>
      <c r="G2747">
        <v>487105820</v>
      </c>
      <c r="H2747">
        <v>480626112</v>
      </c>
      <c r="I2747">
        <v>475270144</v>
      </c>
      <c r="J2747">
        <v>404295719</v>
      </c>
      <c r="K2747">
        <v>304694278</v>
      </c>
      <c r="L2747">
        <v>248727474</v>
      </c>
      <c r="M2747">
        <v>252712671</v>
      </c>
      <c r="N2747">
        <v>226497572</v>
      </c>
      <c r="O2747">
        <v>248115629</v>
      </c>
      <c r="P2747">
        <v>489</v>
      </c>
      <c r="Q2747" t="s">
        <v>5829</v>
      </c>
    </row>
    <row r="2748" spans="1:17" x14ac:dyDescent="0.3">
      <c r="A2748" t="s">
        <v>4664</v>
      </c>
      <c r="B2748" t="str">
        <f>"002064"</f>
        <v>002064</v>
      </c>
      <c r="C2748" t="s">
        <v>5830</v>
      </c>
      <c r="D2748" t="s">
        <v>5558</v>
      </c>
      <c r="F2748">
        <v>16657361606</v>
      </c>
      <c r="G2748">
        <v>9132985686</v>
      </c>
      <c r="H2748">
        <v>2818201863</v>
      </c>
      <c r="I2748">
        <v>2573539104</v>
      </c>
      <c r="J2748">
        <v>1947974208</v>
      </c>
      <c r="K2748">
        <v>1646378325</v>
      </c>
      <c r="L2748">
        <v>1055879810</v>
      </c>
      <c r="M2748">
        <v>1185293896</v>
      </c>
      <c r="N2748">
        <v>1168775408</v>
      </c>
      <c r="O2748">
        <v>948571204</v>
      </c>
      <c r="P2748">
        <v>686</v>
      </c>
      <c r="Q2748" t="s">
        <v>5831</v>
      </c>
    </row>
    <row r="2749" spans="1:17" x14ac:dyDescent="0.3">
      <c r="A2749" t="s">
        <v>4664</v>
      </c>
      <c r="B2749" t="str">
        <f>"002065"</f>
        <v>002065</v>
      </c>
      <c r="C2749" t="s">
        <v>5832</v>
      </c>
      <c r="D2749" t="s">
        <v>316</v>
      </c>
      <c r="F2749">
        <v>6761072588</v>
      </c>
      <c r="G2749">
        <v>5749610315</v>
      </c>
      <c r="H2749">
        <v>5752099676</v>
      </c>
      <c r="I2749">
        <v>5395945794</v>
      </c>
      <c r="J2749">
        <v>4071952683</v>
      </c>
      <c r="K2749">
        <v>3983194546</v>
      </c>
      <c r="L2749">
        <v>3231573552</v>
      </c>
      <c r="M2749">
        <v>2622894250</v>
      </c>
      <c r="N2749">
        <v>2487402793</v>
      </c>
      <c r="O2749">
        <v>1997035475</v>
      </c>
      <c r="P2749">
        <v>942</v>
      </c>
      <c r="Q2749" t="s">
        <v>5833</v>
      </c>
    </row>
    <row r="2750" spans="1:17" x14ac:dyDescent="0.3">
      <c r="A2750" t="s">
        <v>4664</v>
      </c>
      <c r="B2750" t="str">
        <f>"002066"</f>
        <v>002066</v>
      </c>
      <c r="C2750" t="s">
        <v>5834</v>
      </c>
      <c r="D2750" t="s">
        <v>5835</v>
      </c>
      <c r="F2750">
        <v>1857675859</v>
      </c>
      <c r="G2750">
        <v>2010254910</v>
      </c>
      <c r="H2750">
        <v>2326610122</v>
      </c>
      <c r="I2750">
        <v>3152823210</v>
      </c>
      <c r="J2750">
        <v>1672564034</v>
      </c>
      <c r="K2750">
        <v>1438362542</v>
      </c>
      <c r="L2750">
        <v>1562646385</v>
      </c>
      <c r="M2750">
        <v>1662209396</v>
      </c>
      <c r="N2750">
        <v>1525678586</v>
      </c>
      <c r="O2750">
        <v>869841202</v>
      </c>
      <c r="P2750">
        <v>74</v>
      </c>
      <c r="Q2750" t="s">
        <v>5836</v>
      </c>
    </row>
    <row r="2751" spans="1:17" x14ac:dyDescent="0.3">
      <c r="A2751" t="s">
        <v>4664</v>
      </c>
      <c r="B2751" t="str">
        <f>"002067"</f>
        <v>002067</v>
      </c>
      <c r="C2751" t="s">
        <v>5837</v>
      </c>
      <c r="D2751" t="s">
        <v>694</v>
      </c>
      <c r="F2751">
        <v>4195173650</v>
      </c>
      <c r="G2751">
        <v>3371034823</v>
      </c>
      <c r="H2751">
        <v>4271110074</v>
      </c>
      <c r="I2751">
        <v>4295315150</v>
      </c>
      <c r="J2751">
        <v>3146816127</v>
      </c>
      <c r="K2751">
        <v>2199453617</v>
      </c>
      <c r="L2751">
        <v>2480053383</v>
      </c>
      <c r="M2751">
        <v>2802340767</v>
      </c>
      <c r="N2751">
        <v>2600852351</v>
      </c>
      <c r="O2751">
        <v>2484578857</v>
      </c>
      <c r="P2751">
        <v>173</v>
      </c>
      <c r="Q2751" t="s">
        <v>5838</v>
      </c>
    </row>
    <row r="2752" spans="1:17" x14ac:dyDescent="0.3">
      <c r="A2752" t="s">
        <v>4664</v>
      </c>
      <c r="B2752" t="str">
        <f>"002068"</f>
        <v>002068</v>
      </c>
      <c r="C2752" t="s">
        <v>5839</v>
      </c>
      <c r="D2752" t="s">
        <v>3619</v>
      </c>
      <c r="F2752">
        <v>3179899028</v>
      </c>
      <c r="G2752">
        <v>1926260371</v>
      </c>
      <c r="H2752">
        <v>2404182587</v>
      </c>
      <c r="I2752">
        <v>2762598968</v>
      </c>
      <c r="J2752">
        <v>1873196953</v>
      </c>
      <c r="K2752">
        <v>3717256066</v>
      </c>
      <c r="L2752">
        <v>4434595145</v>
      </c>
      <c r="M2752">
        <v>5960094437</v>
      </c>
      <c r="N2752">
        <v>4360775545</v>
      </c>
      <c r="O2752">
        <v>3527499542</v>
      </c>
      <c r="P2752">
        <v>300</v>
      </c>
      <c r="Q2752" t="s">
        <v>5840</v>
      </c>
    </row>
    <row r="2753" spans="1:17" x14ac:dyDescent="0.3">
      <c r="A2753" t="s">
        <v>4664</v>
      </c>
      <c r="B2753" t="str">
        <f>"002069"</f>
        <v>002069</v>
      </c>
      <c r="C2753" t="s">
        <v>5841</v>
      </c>
      <c r="D2753" t="s">
        <v>587</v>
      </c>
      <c r="F2753">
        <v>1558441732</v>
      </c>
      <c r="G2753">
        <v>1533070437</v>
      </c>
      <c r="H2753">
        <v>2113159367</v>
      </c>
      <c r="I2753">
        <v>2181407571</v>
      </c>
      <c r="J2753">
        <v>2304273226</v>
      </c>
      <c r="K2753">
        <v>2176146096</v>
      </c>
      <c r="L2753">
        <v>2014068258</v>
      </c>
      <c r="M2753">
        <v>2027613763</v>
      </c>
      <c r="N2753">
        <v>1873674651</v>
      </c>
      <c r="O2753">
        <v>1914087006</v>
      </c>
      <c r="P2753">
        <v>406</v>
      </c>
      <c r="Q2753" t="s">
        <v>5842</v>
      </c>
    </row>
    <row r="2754" spans="1:17" x14ac:dyDescent="0.3">
      <c r="A2754" t="s">
        <v>4664</v>
      </c>
      <c r="B2754" t="str">
        <f>"002070"</f>
        <v>002070</v>
      </c>
      <c r="C2754" t="s">
        <v>5843</v>
      </c>
      <c r="H2754">
        <v>105954559</v>
      </c>
      <c r="I2754">
        <v>196451582</v>
      </c>
      <c r="J2754">
        <v>540727366</v>
      </c>
      <c r="K2754">
        <v>599462291</v>
      </c>
      <c r="L2754">
        <v>810318080.72000003</v>
      </c>
      <c r="M2754">
        <v>1172680766.8599999</v>
      </c>
      <c r="N2754">
        <v>1049030171.3099999</v>
      </c>
      <c r="O2754">
        <v>938791748.27999997</v>
      </c>
      <c r="P2754">
        <v>27</v>
      </c>
      <c r="Q2754" t="s">
        <v>5844</v>
      </c>
    </row>
    <row r="2755" spans="1:17" x14ac:dyDescent="0.3">
      <c r="A2755" t="s">
        <v>4664</v>
      </c>
      <c r="B2755" t="str">
        <f>"002071"</f>
        <v>002071</v>
      </c>
      <c r="C2755" t="s">
        <v>5845</v>
      </c>
      <c r="G2755">
        <v>155475227</v>
      </c>
      <c r="H2755">
        <v>571937021</v>
      </c>
      <c r="I2755">
        <v>1111227181</v>
      </c>
      <c r="J2755">
        <v>734875175</v>
      </c>
      <c r="K2755">
        <v>838533099</v>
      </c>
      <c r="L2755">
        <v>680680184</v>
      </c>
      <c r="M2755">
        <v>222609460</v>
      </c>
      <c r="N2755">
        <v>358330194</v>
      </c>
      <c r="O2755">
        <v>383322583</v>
      </c>
      <c r="P2755">
        <v>97</v>
      </c>
      <c r="Q2755" t="s">
        <v>5846</v>
      </c>
    </row>
    <row r="2756" spans="1:17" x14ac:dyDescent="0.3">
      <c r="A2756" t="s">
        <v>4664</v>
      </c>
      <c r="B2756" t="str">
        <f>"002072"</f>
        <v>002072</v>
      </c>
      <c r="C2756" t="s">
        <v>5847</v>
      </c>
      <c r="D2756" t="s">
        <v>110</v>
      </c>
      <c r="F2756">
        <v>20429759</v>
      </c>
      <c r="G2756">
        <v>21948839</v>
      </c>
      <c r="H2756">
        <v>62113046</v>
      </c>
      <c r="I2756">
        <v>56402411</v>
      </c>
      <c r="J2756">
        <v>74354625</v>
      </c>
      <c r="K2756">
        <v>16048408</v>
      </c>
      <c r="L2756">
        <v>43161535</v>
      </c>
      <c r="M2756">
        <v>820573209</v>
      </c>
      <c r="N2756">
        <v>671968342</v>
      </c>
      <c r="O2756">
        <v>728454996</v>
      </c>
      <c r="P2756">
        <v>64</v>
      </c>
      <c r="Q2756" t="s">
        <v>5848</v>
      </c>
    </row>
    <row r="2757" spans="1:17" x14ac:dyDescent="0.3">
      <c r="A2757" t="s">
        <v>4664</v>
      </c>
      <c r="B2757" t="str">
        <f>"002073"</f>
        <v>002073</v>
      </c>
      <c r="C2757" t="s">
        <v>5849</v>
      </c>
      <c r="D2757" t="s">
        <v>741</v>
      </c>
      <c r="F2757">
        <v>3871997539</v>
      </c>
      <c r="G2757">
        <v>2403709017</v>
      </c>
      <c r="H2757">
        <v>2218067354</v>
      </c>
      <c r="I2757">
        <v>1977248204</v>
      </c>
      <c r="J2757">
        <v>1964857776</v>
      </c>
      <c r="K2757">
        <v>1656750219</v>
      </c>
      <c r="L2757">
        <v>1522785582</v>
      </c>
      <c r="M2757">
        <v>1493581473</v>
      </c>
      <c r="N2757">
        <v>1263994626</v>
      </c>
      <c r="O2757">
        <v>1451178866</v>
      </c>
      <c r="P2757">
        <v>150</v>
      </c>
      <c r="Q2757" t="s">
        <v>5850</v>
      </c>
    </row>
    <row r="2758" spans="1:17" x14ac:dyDescent="0.3">
      <c r="A2758" t="s">
        <v>4664</v>
      </c>
      <c r="B2758" t="str">
        <f>"002074"</f>
        <v>002074</v>
      </c>
      <c r="C2758" t="s">
        <v>5851</v>
      </c>
      <c r="D2758" t="s">
        <v>359</v>
      </c>
      <c r="F2758">
        <v>2902758281</v>
      </c>
      <c r="G2758">
        <v>2064052319</v>
      </c>
      <c r="H2758">
        <v>2794142123</v>
      </c>
      <c r="I2758">
        <v>2021719513</v>
      </c>
      <c r="J2758">
        <v>2780602894</v>
      </c>
      <c r="K2758">
        <v>1618140404</v>
      </c>
      <c r="L2758">
        <v>1062664643</v>
      </c>
      <c r="M2758">
        <v>477488058</v>
      </c>
      <c r="N2758">
        <v>404530829</v>
      </c>
      <c r="O2758">
        <v>362604874</v>
      </c>
      <c r="P2758">
        <v>1003</v>
      </c>
      <c r="Q2758" t="s">
        <v>5852</v>
      </c>
    </row>
    <row r="2759" spans="1:17" x14ac:dyDescent="0.3">
      <c r="A2759" t="s">
        <v>4664</v>
      </c>
      <c r="B2759" t="str">
        <f>"002075"</f>
        <v>002075</v>
      </c>
      <c r="C2759" t="s">
        <v>5853</v>
      </c>
      <c r="D2759" t="s">
        <v>281</v>
      </c>
      <c r="F2759">
        <v>14321026873</v>
      </c>
      <c r="G2759">
        <v>8863945066</v>
      </c>
      <c r="H2759">
        <v>8374606068</v>
      </c>
      <c r="I2759">
        <v>7302435038</v>
      </c>
      <c r="J2759">
        <v>6489813778</v>
      </c>
      <c r="K2759">
        <v>4357055250</v>
      </c>
      <c r="L2759">
        <v>4695939563</v>
      </c>
      <c r="M2759">
        <v>6104686930</v>
      </c>
      <c r="N2759">
        <v>5586814547</v>
      </c>
      <c r="O2759">
        <v>10670436252</v>
      </c>
      <c r="P2759">
        <v>281</v>
      </c>
      <c r="Q2759" t="s">
        <v>5854</v>
      </c>
    </row>
    <row r="2760" spans="1:17" x14ac:dyDescent="0.3">
      <c r="A2760" t="s">
        <v>4664</v>
      </c>
      <c r="B2760" t="str">
        <f>"002076"</f>
        <v>002076</v>
      </c>
      <c r="C2760" t="s">
        <v>5855</v>
      </c>
      <c r="D2760" t="s">
        <v>598</v>
      </c>
      <c r="F2760">
        <v>133187569</v>
      </c>
      <c r="G2760">
        <v>248968257</v>
      </c>
      <c r="H2760">
        <v>241655396</v>
      </c>
      <c r="I2760">
        <v>432954145</v>
      </c>
      <c r="J2760">
        <v>550635381</v>
      </c>
      <c r="K2760">
        <v>636475330</v>
      </c>
      <c r="L2760">
        <v>635096244</v>
      </c>
      <c r="M2760">
        <v>281305888</v>
      </c>
      <c r="N2760">
        <v>415418851</v>
      </c>
      <c r="O2760">
        <v>349258412</v>
      </c>
      <c r="P2760">
        <v>100</v>
      </c>
      <c r="Q2760" t="s">
        <v>5856</v>
      </c>
    </row>
    <row r="2761" spans="1:17" x14ac:dyDescent="0.3">
      <c r="A2761" t="s">
        <v>4664</v>
      </c>
      <c r="B2761" t="str">
        <f>"002077"</f>
        <v>002077</v>
      </c>
      <c r="C2761" t="s">
        <v>5857</v>
      </c>
      <c r="D2761" t="s">
        <v>1180</v>
      </c>
      <c r="F2761">
        <v>622074017</v>
      </c>
      <c r="G2761">
        <v>493009568</v>
      </c>
      <c r="H2761">
        <v>909615455</v>
      </c>
      <c r="I2761">
        <v>675213780</v>
      </c>
      <c r="J2761">
        <v>1060288922</v>
      </c>
      <c r="K2761">
        <v>927281010</v>
      </c>
      <c r="L2761">
        <v>539233362</v>
      </c>
      <c r="M2761">
        <v>932054299</v>
      </c>
      <c r="N2761">
        <v>327151787</v>
      </c>
      <c r="O2761">
        <v>990181899</v>
      </c>
      <c r="P2761">
        <v>125</v>
      </c>
      <c r="Q2761" t="s">
        <v>5858</v>
      </c>
    </row>
    <row r="2762" spans="1:17" x14ac:dyDescent="0.3">
      <c r="A2762" t="s">
        <v>4664</v>
      </c>
      <c r="B2762" t="str">
        <f>"002078"</f>
        <v>002078</v>
      </c>
      <c r="C2762" t="s">
        <v>5859</v>
      </c>
      <c r="D2762" t="s">
        <v>694</v>
      </c>
      <c r="F2762">
        <v>25671170288</v>
      </c>
      <c r="G2762">
        <v>19181133433</v>
      </c>
      <c r="H2762">
        <v>20253931200</v>
      </c>
      <c r="I2762">
        <v>17784500956</v>
      </c>
      <c r="J2762">
        <v>15282246823</v>
      </c>
      <c r="K2762">
        <v>12059386486</v>
      </c>
      <c r="L2762">
        <v>8472540023</v>
      </c>
      <c r="M2762">
        <v>9510007389</v>
      </c>
      <c r="N2762">
        <v>9472867333</v>
      </c>
      <c r="O2762">
        <v>9337639017</v>
      </c>
      <c r="P2762">
        <v>1103</v>
      </c>
      <c r="Q2762" t="s">
        <v>5860</v>
      </c>
    </row>
    <row r="2763" spans="1:17" x14ac:dyDescent="0.3">
      <c r="A2763" t="s">
        <v>4664</v>
      </c>
      <c r="B2763" t="str">
        <f>"002079"</f>
        <v>002079</v>
      </c>
      <c r="C2763" t="s">
        <v>5861</v>
      </c>
      <c r="D2763" t="s">
        <v>795</v>
      </c>
      <c r="F2763">
        <v>1324776930</v>
      </c>
      <c r="G2763">
        <v>995103729</v>
      </c>
      <c r="H2763">
        <v>912953649</v>
      </c>
      <c r="I2763">
        <v>954614018</v>
      </c>
      <c r="J2763">
        <v>952422922</v>
      </c>
      <c r="K2763">
        <v>706349588</v>
      </c>
      <c r="L2763">
        <v>512980026</v>
      </c>
      <c r="M2763">
        <v>576940017</v>
      </c>
      <c r="N2763">
        <v>526833459</v>
      </c>
      <c r="O2763">
        <v>555574786</v>
      </c>
      <c r="P2763">
        <v>372</v>
      </c>
      <c r="Q2763" t="s">
        <v>5862</v>
      </c>
    </row>
    <row r="2764" spans="1:17" x14ac:dyDescent="0.3">
      <c r="A2764" t="s">
        <v>4664</v>
      </c>
      <c r="B2764" t="str">
        <f>"002080"</f>
        <v>002080</v>
      </c>
      <c r="C2764" t="s">
        <v>5863</v>
      </c>
      <c r="D2764" t="s">
        <v>411</v>
      </c>
      <c r="F2764">
        <v>10187675656</v>
      </c>
      <c r="G2764">
        <v>8385794951</v>
      </c>
      <c r="H2764">
        <v>6937695562</v>
      </c>
      <c r="I2764">
        <v>6115505008</v>
      </c>
      <c r="J2764">
        <v>5812667306</v>
      </c>
      <c r="K2764">
        <v>4958818857</v>
      </c>
      <c r="L2764">
        <v>3653149844</v>
      </c>
      <c r="M2764">
        <v>2407541281</v>
      </c>
      <c r="N2764">
        <v>1974031904</v>
      </c>
      <c r="O2764">
        <v>1511424770</v>
      </c>
      <c r="P2764">
        <v>913</v>
      </c>
      <c r="Q2764" t="s">
        <v>5864</v>
      </c>
    </row>
    <row r="2765" spans="1:17" x14ac:dyDescent="0.3">
      <c r="A2765" t="s">
        <v>4664</v>
      </c>
      <c r="B2765" t="str">
        <f>"002081"</f>
        <v>002081</v>
      </c>
      <c r="C2765" t="s">
        <v>5865</v>
      </c>
      <c r="D2765" t="s">
        <v>450</v>
      </c>
      <c r="F2765">
        <v>21220151340</v>
      </c>
      <c r="G2765">
        <v>19922746668</v>
      </c>
      <c r="H2765">
        <v>20186158898</v>
      </c>
      <c r="I2765">
        <v>16221643211</v>
      </c>
      <c r="J2765">
        <v>15813813080</v>
      </c>
      <c r="K2765">
        <v>13500666577</v>
      </c>
      <c r="L2765">
        <v>11504144563</v>
      </c>
      <c r="M2765">
        <v>11256532312</v>
      </c>
      <c r="N2765">
        <v>10097819506</v>
      </c>
      <c r="O2765">
        <v>7123622375</v>
      </c>
      <c r="P2765">
        <v>18140</v>
      </c>
      <c r="Q2765" t="s">
        <v>5866</v>
      </c>
    </row>
    <row r="2766" spans="1:17" x14ac:dyDescent="0.3">
      <c r="A2766" t="s">
        <v>4664</v>
      </c>
      <c r="B2766" t="str">
        <f>"002082"</f>
        <v>002082</v>
      </c>
      <c r="C2766" t="s">
        <v>5867</v>
      </c>
      <c r="D2766" t="s">
        <v>504</v>
      </c>
      <c r="F2766">
        <v>1176913546</v>
      </c>
      <c r="G2766">
        <v>12169587231</v>
      </c>
      <c r="H2766">
        <v>13543307901</v>
      </c>
      <c r="I2766">
        <v>11114575480</v>
      </c>
      <c r="J2766">
        <v>10340152561</v>
      </c>
      <c r="K2766">
        <v>6987098678</v>
      </c>
      <c r="L2766">
        <v>9738240244</v>
      </c>
      <c r="M2766">
        <v>10101784339</v>
      </c>
      <c r="N2766">
        <v>9863346838</v>
      </c>
      <c r="O2766">
        <v>11253115928</v>
      </c>
      <c r="P2766">
        <v>135</v>
      </c>
      <c r="Q2766" t="s">
        <v>5868</v>
      </c>
    </row>
    <row r="2767" spans="1:17" x14ac:dyDescent="0.3">
      <c r="A2767" t="s">
        <v>4664</v>
      </c>
      <c r="B2767" t="str">
        <f>"002083"</f>
        <v>002083</v>
      </c>
      <c r="C2767" t="s">
        <v>5869</v>
      </c>
      <c r="D2767" t="s">
        <v>1009</v>
      </c>
      <c r="F2767">
        <v>4063903068</v>
      </c>
      <c r="G2767">
        <v>3488293079</v>
      </c>
      <c r="H2767">
        <v>4139530357</v>
      </c>
      <c r="I2767">
        <v>3577646617</v>
      </c>
      <c r="J2767">
        <v>3678206588</v>
      </c>
      <c r="K2767">
        <v>3658315697</v>
      </c>
      <c r="L2767">
        <v>3675799512</v>
      </c>
      <c r="M2767">
        <v>3839238581</v>
      </c>
      <c r="N2767">
        <v>3864261379</v>
      </c>
      <c r="O2767">
        <v>3813395799</v>
      </c>
      <c r="P2767">
        <v>283</v>
      </c>
      <c r="Q2767" t="s">
        <v>5870</v>
      </c>
    </row>
    <row r="2768" spans="1:17" x14ac:dyDescent="0.3">
      <c r="A2768" t="s">
        <v>4664</v>
      </c>
      <c r="B2768" t="str">
        <f>"002084"</f>
        <v>002084</v>
      </c>
      <c r="C2768" t="s">
        <v>5871</v>
      </c>
      <c r="D2768" t="s">
        <v>2885</v>
      </c>
      <c r="F2768">
        <v>3008489190</v>
      </c>
      <c r="G2768">
        <v>2077673198</v>
      </c>
      <c r="H2768">
        <v>1776466344</v>
      </c>
      <c r="I2768">
        <v>1425537421</v>
      </c>
      <c r="J2768">
        <v>1549568702</v>
      </c>
      <c r="K2768">
        <v>1393588181</v>
      </c>
      <c r="L2768">
        <v>1350509184</v>
      </c>
      <c r="M2768">
        <v>1252865136</v>
      </c>
      <c r="N2768">
        <v>1264418839</v>
      </c>
      <c r="O2768">
        <v>1152213665</v>
      </c>
      <c r="P2768">
        <v>148</v>
      </c>
      <c r="Q2768" t="s">
        <v>5872</v>
      </c>
    </row>
    <row r="2769" spans="1:17" x14ac:dyDescent="0.3">
      <c r="A2769" t="s">
        <v>4664</v>
      </c>
      <c r="B2769" t="str">
        <f>"002085"</f>
        <v>002085</v>
      </c>
      <c r="C2769" t="s">
        <v>5873</v>
      </c>
      <c r="D2769" t="s">
        <v>422</v>
      </c>
      <c r="F2769">
        <v>8480603605</v>
      </c>
      <c r="G2769">
        <v>7005811517</v>
      </c>
      <c r="H2769">
        <v>7876764573</v>
      </c>
      <c r="I2769">
        <v>7886772677</v>
      </c>
      <c r="J2769">
        <v>7144792012</v>
      </c>
      <c r="K2769">
        <v>6863853952</v>
      </c>
      <c r="L2769">
        <v>4081839483</v>
      </c>
      <c r="M2769">
        <v>3911467518</v>
      </c>
      <c r="N2769">
        <v>3147166157</v>
      </c>
      <c r="O2769">
        <v>3158801102</v>
      </c>
      <c r="P2769">
        <v>1527</v>
      </c>
      <c r="Q2769" t="s">
        <v>5874</v>
      </c>
    </row>
    <row r="2770" spans="1:17" x14ac:dyDescent="0.3">
      <c r="A2770" t="s">
        <v>4664</v>
      </c>
      <c r="B2770" t="str">
        <f>"002086"</f>
        <v>002086</v>
      </c>
      <c r="C2770" t="s">
        <v>5875</v>
      </c>
      <c r="D2770" t="s">
        <v>587</v>
      </c>
      <c r="F2770">
        <v>288869455</v>
      </c>
      <c r="G2770">
        <v>256382935</v>
      </c>
      <c r="H2770">
        <v>407009436</v>
      </c>
      <c r="I2770">
        <v>437968825</v>
      </c>
      <c r="J2770">
        <v>426786371</v>
      </c>
      <c r="K2770">
        <v>362181731</v>
      </c>
      <c r="L2770">
        <v>468863089</v>
      </c>
      <c r="M2770">
        <v>370581534</v>
      </c>
      <c r="N2770">
        <v>434036408</v>
      </c>
      <c r="O2770">
        <v>508068379</v>
      </c>
      <c r="P2770">
        <v>70</v>
      </c>
      <c r="Q2770" t="s">
        <v>5876</v>
      </c>
    </row>
    <row r="2771" spans="1:17" x14ac:dyDescent="0.3">
      <c r="A2771" t="s">
        <v>4664</v>
      </c>
      <c r="B2771" t="str">
        <f>"002087"</f>
        <v>002087</v>
      </c>
      <c r="C2771" t="s">
        <v>5877</v>
      </c>
      <c r="D2771" t="s">
        <v>1009</v>
      </c>
      <c r="F2771">
        <v>4334166880</v>
      </c>
      <c r="G2771">
        <v>4125150475</v>
      </c>
      <c r="H2771">
        <v>4452514525</v>
      </c>
      <c r="I2771">
        <v>4935254686</v>
      </c>
      <c r="J2771">
        <v>4077566330</v>
      </c>
      <c r="K2771">
        <v>2749117409</v>
      </c>
      <c r="L2771">
        <v>1997978854</v>
      </c>
      <c r="M2771">
        <v>2099713026</v>
      </c>
      <c r="N2771">
        <v>2781409706</v>
      </c>
      <c r="O2771">
        <v>2568419893</v>
      </c>
      <c r="P2771">
        <v>208</v>
      </c>
      <c r="Q2771" t="s">
        <v>5878</v>
      </c>
    </row>
    <row r="2772" spans="1:17" x14ac:dyDescent="0.3">
      <c r="A2772" t="s">
        <v>4664</v>
      </c>
      <c r="B2772" t="str">
        <f>"002088"</f>
        <v>002088</v>
      </c>
      <c r="C2772" t="s">
        <v>5879</v>
      </c>
      <c r="D2772" t="s">
        <v>5835</v>
      </c>
      <c r="F2772">
        <v>2006875629</v>
      </c>
      <c r="G2772">
        <v>1339846513</v>
      </c>
      <c r="H2772">
        <v>1166712711</v>
      </c>
      <c r="I2772">
        <v>993934303</v>
      </c>
      <c r="J2772">
        <v>1034173097</v>
      </c>
      <c r="K2772">
        <v>1031135341</v>
      </c>
      <c r="L2772">
        <v>923662407</v>
      </c>
      <c r="M2772">
        <v>910597245</v>
      </c>
      <c r="N2772">
        <v>769719175</v>
      </c>
      <c r="O2772">
        <v>812188861</v>
      </c>
      <c r="P2772">
        <v>407</v>
      </c>
      <c r="Q2772" t="s">
        <v>5880</v>
      </c>
    </row>
    <row r="2773" spans="1:17" x14ac:dyDescent="0.3">
      <c r="A2773" t="s">
        <v>4664</v>
      </c>
      <c r="B2773" t="str">
        <f>"002089"</f>
        <v>002089</v>
      </c>
      <c r="C2773" t="s">
        <v>5881</v>
      </c>
      <c r="D2773" t="s">
        <v>1019</v>
      </c>
      <c r="F2773">
        <v>131411432</v>
      </c>
      <c r="G2773">
        <v>91606020</v>
      </c>
      <c r="H2773">
        <v>578798706</v>
      </c>
      <c r="I2773">
        <v>525149322</v>
      </c>
      <c r="J2773">
        <v>1301020643</v>
      </c>
      <c r="K2773">
        <v>1085787749</v>
      </c>
      <c r="L2773">
        <v>1170440724</v>
      </c>
      <c r="M2773">
        <v>710398280</v>
      </c>
      <c r="N2773">
        <v>695148825</v>
      </c>
      <c r="O2773">
        <v>575585938</v>
      </c>
      <c r="P2773">
        <v>175</v>
      </c>
      <c r="Q2773" t="s">
        <v>5882</v>
      </c>
    </row>
    <row r="2774" spans="1:17" x14ac:dyDescent="0.3">
      <c r="A2774" t="s">
        <v>4664</v>
      </c>
      <c r="B2774" t="str">
        <f>"002090"</f>
        <v>002090</v>
      </c>
      <c r="C2774" t="s">
        <v>5883</v>
      </c>
      <c r="D2774" t="s">
        <v>610</v>
      </c>
      <c r="F2774">
        <v>1261732017</v>
      </c>
      <c r="G2774">
        <v>1146449881</v>
      </c>
      <c r="H2774">
        <v>1156968020</v>
      </c>
      <c r="I2774">
        <v>1085801817</v>
      </c>
      <c r="J2774">
        <v>915922830</v>
      </c>
      <c r="K2774">
        <v>724149291</v>
      </c>
      <c r="L2774">
        <v>729390349</v>
      </c>
      <c r="M2774">
        <v>773797107</v>
      </c>
      <c r="N2774">
        <v>673869147</v>
      </c>
      <c r="O2774">
        <v>589640141</v>
      </c>
      <c r="P2774">
        <v>229</v>
      </c>
      <c r="Q2774" t="s">
        <v>5884</v>
      </c>
    </row>
    <row r="2775" spans="1:17" x14ac:dyDescent="0.3">
      <c r="A2775" t="s">
        <v>4664</v>
      </c>
      <c r="B2775" t="str">
        <f>"002091"</f>
        <v>002091</v>
      </c>
      <c r="C2775" t="s">
        <v>5885</v>
      </c>
      <c r="D2775" t="s">
        <v>131</v>
      </c>
      <c r="F2775">
        <v>25163674629</v>
      </c>
      <c r="G2775">
        <v>23058370585</v>
      </c>
      <c r="H2775">
        <v>32521524993</v>
      </c>
      <c r="I2775">
        <v>34174729667</v>
      </c>
      <c r="J2775">
        <v>26220359762</v>
      </c>
      <c r="K2775">
        <v>6644764291</v>
      </c>
      <c r="L2775">
        <v>5041184247</v>
      </c>
      <c r="M2775">
        <v>4846960275</v>
      </c>
      <c r="N2775">
        <v>4773027066</v>
      </c>
      <c r="O2775">
        <v>3632450949</v>
      </c>
      <c r="P2775">
        <v>509</v>
      </c>
      <c r="Q2775" t="s">
        <v>5886</v>
      </c>
    </row>
    <row r="2776" spans="1:17" x14ac:dyDescent="0.3">
      <c r="A2776" t="s">
        <v>4664</v>
      </c>
      <c r="B2776" t="str">
        <f>"002092"</f>
        <v>002092</v>
      </c>
      <c r="C2776" t="s">
        <v>5887</v>
      </c>
      <c r="D2776" t="s">
        <v>175</v>
      </c>
      <c r="F2776">
        <v>53186290478</v>
      </c>
      <c r="G2776">
        <v>76453989080</v>
      </c>
      <c r="H2776">
        <v>78374644028</v>
      </c>
      <c r="I2776">
        <v>53789956207</v>
      </c>
      <c r="J2776">
        <v>31826867271</v>
      </c>
      <c r="K2776">
        <v>18461097226</v>
      </c>
      <c r="L2776">
        <v>11752073487</v>
      </c>
      <c r="M2776">
        <v>9348855851</v>
      </c>
      <c r="N2776">
        <v>9337064591</v>
      </c>
      <c r="O2776">
        <v>5518084364</v>
      </c>
      <c r="P2776">
        <v>521</v>
      </c>
      <c r="Q2776" t="s">
        <v>5888</v>
      </c>
    </row>
    <row r="2777" spans="1:17" x14ac:dyDescent="0.3">
      <c r="A2777" t="s">
        <v>4664</v>
      </c>
      <c r="B2777" t="str">
        <f>"002093"</f>
        <v>002093</v>
      </c>
      <c r="C2777" t="s">
        <v>5889</v>
      </c>
      <c r="D2777" t="s">
        <v>654</v>
      </c>
      <c r="F2777">
        <v>379415656</v>
      </c>
      <c r="G2777">
        <v>282718513</v>
      </c>
      <c r="H2777">
        <v>474042237</v>
      </c>
      <c r="I2777">
        <v>748708182</v>
      </c>
      <c r="J2777">
        <v>1307657613</v>
      </c>
      <c r="K2777">
        <v>964681146</v>
      </c>
      <c r="L2777">
        <v>343137138</v>
      </c>
      <c r="M2777">
        <v>310625588</v>
      </c>
      <c r="N2777">
        <v>224955578</v>
      </c>
      <c r="O2777">
        <v>508245379</v>
      </c>
      <c r="P2777">
        <v>288</v>
      </c>
      <c r="Q2777" t="s">
        <v>5890</v>
      </c>
    </row>
    <row r="2778" spans="1:17" x14ac:dyDescent="0.3">
      <c r="A2778" t="s">
        <v>4664</v>
      </c>
      <c r="B2778" t="str">
        <f>"002094"</f>
        <v>002094</v>
      </c>
      <c r="C2778" t="s">
        <v>5891</v>
      </c>
      <c r="D2778" t="s">
        <v>5892</v>
      </c>
      <c r="F2778">
        <v>2784376689</v>
      </c>
      <c r="G2778">
        <v>3389461769</v>
      </c>
      <c r="H2778">
        <v>4420913896</v>
      </c>
      <c r="I2778">
        <v>4315743947</v>
      </c>
      <c r="J2778">
        <v>3573511549</v>
      </c>
      <c r="K2778">
        <v>1802036468</v>
      </c>
      <c r="L2778">
        <v>1092189328</v>
      </c>
      <c r="M2778">
        <v>847458447</v>
      </c>
      <c r="N2778">
        <v>1258448627</v>
      </c>
      <c r="O2778">
        <v>858597117</v>
      </c>
      <c r="P2778">
        <v>183</v>
      </c>
      <c r="Q2778" t="s">
        <v>5893</v>
      </c>
    </row>
    <row r="2779" spans="1:17" x14ac:dyDescent="0.3">
      <c r="A2779" t="s">
        <v>4664</v>
      </c>
      <c r="B2779" t="str">
        <f>"002095"</f>
        <v>002095</v>
      </c>
      <c r="C2779" t="s">
        <v>5894</v>
      </c>
      <c r="D2779" t="s">
        <v>522</v>
      </c>
      <c r="F2779">
        <v>378056964</v>
      </c>
      <c r="G2779">
        <v>248218979</v>
      </c>
      <c r="H2779">
        <v>329536320</v>
      </c>
      <c r="I2779">
        <v>383168070</v>
      </c>
      <c r="J2779">
        <v>293061914</v>
      </c>
      <c r="K2779">
        <v>221844775</v>
      </c>
      <c r="L2779">
        <v>112035777</v>
      </c>
      <c r="M2779">
        <v>114770808</v>
      </c>
      <c r="N2779">
        <v>163438403</v>
      </c>
      <c r="O2779">
        <v>120862867</v>
      </c>
      <c r="P2779">
        <v>97</v>
      </c>
      <c r="Q2779" t="s">
        <v>5895</v>
      </c>
    </row>
    <row r="2780" spans="1:17" x14ac:dyDescent="0.3">
      <c r="A2780" t="s">
        <v>4664</v>
      </c>
      <c r="B2780" t="str">
        <f>"002096"</f>
        <v>002096</v>
      </c>
      <c r="C2780" t="s">
        <v>5896</v>
      </c>
      <c r="D2780" t="s">
        <v>2713</v>
      </c>
      <c r="F2780">
        <v>1354049864</v>
      </c>
      <c r="G2780">
        <v>1604516780</v>
      </c>
      <c r="H2780">
        <v>1950656314</v>
      </c>
      <c r="I2780">
        <v>1569715834</v>
      </c>
      <c r="J2780">
        <v>2029435798</v>
      </c>
      <c r="K2780">
        <v>1824727962</v>
      </c>
      <c r="L2780">
        <v>1291933199</v>
      </c>
      <c r="M2780">
        <v>1410137327</v>
      </c>
      <c r="N2780">
        <v>1292338991</v>
      </c>
      <c r="O2780">
        <v>398499473</v>
      </c>
      <c r="P2780">
        <v>79</v>
      </c>
      <c r="Q2780" t="s">
        <v>5897</v>
      </c>
    </row>
    <row r="2781" spans="1:17" x14ac:dyDescent="0.3">
      <c r="A2781" t="s">
        <v>4664</v>
      </c>
      <c r="B2781" t="str">
        <f>"002097"</f>
        <v>002097</v>
      </c>
      <c r="C2781" t="s">
        <v>5898</v>
      </c>
      <c r="D2781" t="s">
        <v>83</v>
      </c>
      <c r="F2781">
        <v>7050901534</v>
      </c>
      <c r="G2781">
        <v>5778611703</v>
      </c>
      <c r="H2781">
        <v>4738139983</v>
      </c>
      <c r="I2781">
        <v>3705653263</v>
      </c>
      <c r="J2781">
        <v>1862956038</v>
      </c>
      <c r="K2781">
        <v>795279949</v>
      </c>
      <c r="L2781">
        <v>912881744</v>
      </c>
      <c r="M2781">
        <v>1379947284</v>
      </c>
      <c r="N2781">
        <v>1326200084</v>
      </c>
      <c r="O2781">
        <v>998212562</v>
      </c>
      <c r="P2781">
        <v>217</v>
      </c>
      <c r="Q2781" t="s">
        <v>5899</v>
      </c>
    </row>
    <row r="2782" spans="1:17" x14ac:dyDescent="0.3">
      <c r="A2782" t="s">
        <v>4664</v>
      </c>
      <c r="B2782" t="str">
        <f>"002098"</f>
        <v>002098</v>
      </c>
      <c r="C2782" t="s">
        <v>5900</v>
      </c>
      <c r="D2782" t="s">
        <v>2929</v>
      </c>
      <c r="F2782">
        <v>1374572234</v>
      </c>
      <c r="G2782">
        <v>1083193355</v>
      </c>
      <c r="H2782">
        <v>1229584190</v>
      </c>
      <c r="I2782">
        <v>1712863916</v>
      </c>
      <c r="J2782">
        <v>924841330</v>
      </c>
      <c r="K2782">
        <v>781570651</v>
      </c>
      <c r="L2782">
        <v>769961200</v>
      </c>
      <c r="M2782">
        <v>751031891</v>
      </c>
      <c r="N2782">
        <v>715487125</v>
      </c>
      <c r="O2782">
        <v>754145730</v>
      </c>
      <c r="P2782">
        <v>111</v>
      </c>
      <c r="Q2782" t="s">
        <v>5901</v>
      </c>
    </row>
    <row r="2783" spans="1:17" x14ac:dyDescent="0.3">
      <c r="A2783" t="s">
        <v>4664</v>
      </c>
      <c r="B2783" t="str">
        <f>"002099"</f>
        <v>002099</v>
      </c>
      <c r="C2783" t="s">
        <v>5902</v>
      </c>
      <c r="D2783" t="s">
        <v>496</v>
      </c>
      <c r="F2783">
        <v>1290521893</v>
      </c>
      <c r="G2783">
        <v>1389504400</v>
      </c>
      <c r="H2783">
        <v>1566065223</v>
      </c>
      <c r="I2783">
        <v>1521331141</v>
      </c>
      <c r="J2783">
        <v>1204079334</v>
      </c>
      <c r="K2783">
        <v>1981229150</v>
      </c>
      <c r="L2783">
        <v>1973589122</v>
      </c>
      <c r="M2783">
        <v>903987895</v>
      </c>
      <c r="N2783">
        <v>916171316</v>
      </c>
      <c r="O2783">
        <v>985636230</v>
      </c>
      <c r="P2783">
        <v>298</v>
      </c>
      <c r="Q2783" t="s">
        <v>5903</v>
      </c>
    </row>
    <row r="2784" spans="1:17" x14ac:dyDescent="0.3">
      <c r="A2784" t="s">
        <v>4664</v>
      </c>
      <c r="B2784" t="str">
        <f>"002100"</f>
        <v>002100</v>
      </c>
      <c r="C2784" t="s">
        <v>5904</v>
      </c>
      <c r="D2784" t="s">
        <v>2859</v>
      </c>
      <c r="F2784">
        <v>11910826176</v>
      </c>
      <c r="G2784">
        <v>8252513598</v>
      </c>
      <c r="H2784">
        <v>4929708188</v>
      </c>
      <c r="I2784">
        <v>3153380741</v>
      </c>
      <c r="J2784">
        <v>2942893748</v>
      </c>
      <c r="K2784">
        <v>2753329738</v>
      </c>
      <c r="L2784">
        <v>2889796416</v>
      </c>
      <c r="M2784">
        <v>2748807153</v>
      </c>
      <c r="N2784">
        <v>2558678189</v>
      </c>
      <c r="O2784">
        <v>2353386372</v>
      </c>
      <c r="P2784">
        <v>737</v>
      </c>
      <c r="Q2784" t="s">
        <v>5905</v>
      </c>
    </row>
    <row r="2785" spans="1:17" x14ac:dyDescent="0.3">
      <c r="A2785" t="s">
        <v>4664</v>
      </c>
      <c r="B2785" t="str">
        <f>"002101"</f>
        <v>002101</v>
      </c>
      <c r="C2785" t="s">
        <v>5906</v>
      </c>
      <c r="D2785" t="s">
        <v>985</v>
      </c>
      <c r="F2785">
        <v>4535719389</v>
      </c>
      <c r="G2785">
        <v>3957459983</v>
      </c>
      <c r="H2785">
        <v>4269153530</v>
      </c>
      <c r="I2785">
        <v>4332530953</v>
      </c>
      <c r="J2785">
        <v>3500656165</v>
      </c>
      <c r="K2785">
        <v>1870637391</v>
      </c>
      <c r="L2785">
        <v>1609018784</v>
      </c>
      <c r="M2785">
        <v>1532473783</v>
      </c>
      <c r="N2785">
        <v>1030143825</v>
      </c>
      <c r="O2785">
        <v>998123801</v>
      </c>
      <c r="P2785">
        <v>267</v>
      </c>
      <c r="Q2785" t="s">
        <v>5907</v>
      </c>
    </row>
    <row r="2786" spans="1:17" x14ac:dyDescent="0.3">
      <c r="A2786" t="s">
        <v>4664</v>
      </c>
      <c r="B2786" t="str">
        <f>"002102"</f>
        <v>002102</v>
      </c>
      <c r="C2786" t="s">
        <v>5908</v>
      </c>
      <c r="D2786" t="s">
        <v>496</v>
      </c>
      <c r="F2786">
        <v>11059608220</v>
      </c>
      <c r="G2786">
        <v>9621362028</v>
      </c>
      <c r="H2786">
        <v>11408693178</v>
      </c>
      <c r="I2786">
        <v>12140820352</v>
      </c>
      <c r="J2786">
        <v>7263232654</v>
      </c>
      <c r="K2786">
        <v>856562799</v>
      </c>
      <c r="L2786">
        <v>1096444982</v>
      </c>
      <c r="M2786">
        <v>1207039845</v>
      </c>
      <c r="N2786">
        <v>1117479065</v>
      </c>
      <c r="O2786">
        <v>596014859</v>
      </c>
      <c r="P2786">
        <v>119</v>
      </c>
      <c r="Q2786" t="s">
        <v>5909</v>
      </c>
    </row>
    <row r="2787" spans="1:17" x14ac:dyDescent="0.3">
      <c r="A2787" t="s">
        <v>4664</v>
      </c>
      <c r="B2787" t="str">
        <f>"002103"</f>
        <v>002103</v>
      </c>
      <c r="C2787" t="s">
        <v>5910</v>
      </c>
      <c r="D2787" t="s">
        <v>207</v>
      </c>
      <c r="F2787">
        <v>2282052522</v>
      </c>
      <c r="G2787">
        <v>1745664149</v>
      </c>
      <c r="H2787">
        <v>1571065440</v>
      </c>
      <c r="I2787">
        <v>1494300902</v>
      </c>
      <c r="J2787">
        <v>1561346113</v>
      </c>
      <c r="K2787">
        <v>1183836092</v>
      </c>
      <c r="L2787">
        <v>938009898</v>
      </c>
      <c r="M2787">
        <v>662530055</v>
      </c>
      <c r="N2787">
        <v>666737330</v>
      </c>
      <c r="O2787">
        <v>813323994</v>
      </c>
      <c r="P2787">
        <v>108</v>
      </c>
      <c r="Q2787" t="s">
        <v>5911</v>
      </c>
    </row>
    <row r="2788" spans="1:17" x14ac:dyDescent="0.3">
      <c r="A2788" t="s">
        <v>4664</v>
      </c>
      <c r="B2788" t="str">
        <f>"002104"</f>
        <v>002104</v>
      </c>
      <c r="C2788" t="s">
        <v>5912</v>
      </c>
      <c r="D2788" t="s">
        <v>786</v>
      </c>
      <c r="F2788">
        <v>646853068</v>
      </c>
      <c r="G2788">
        <v>1202136998</v>
      </c>
      <c r="H2788">
        <v>1025112268</v>
      </c>
      <c r="I2788">
        <v>1370496524</v>
      </c>
      <c r="J2788">
        <v>872938178</v>
      </c>
      <c r="K2788">
        <v>945706790</v>
      </c>
      <c r="L2788">
        <v>1098306194</v>
      </c>
      <c r="M2788">
        <v>958166187</v>
      </c>
      <c r="N2788">
        <v>849636791</v>
      </c>
      <c r="O2788">
        <v>631817529</v>
      </c>
      <c r="P2788">
        <v>416</v>
      </c>
      <c r="Q2788" t="s">
        <v>5913</v>
      </c>
    </row>
    <row r="2789" spans="1:17" x14ac:dyDescent="0.3">
      <c r="A2789" t="s">
        <v>4664</v>
      </c>
      <c r="B2789" t="str">
        <f>"002105"</f>
        <v>002105</v>
      </c>
      <c r="C2789" t="s">
        <v>5914</v>
      </c>
      <c r="D2789" t="s">
        <v>233</v>
      </c>
      <c r="F2789">
        <v>1907267552</v>
      </c>
      <c r="G2789">
        <v>1357937684</v>
      </c>
      <c r="H2789">
        <v>1466638281</v>
      </c>
      <c r="I2789">
        <v>1175250651</v>
      </c>
      <c r="J2789">
        <v>1397763132</v>
      </c>
      <c r="K2789">
        <v>1050310602</v>
      </c>
      <c r="L2789">
        <v>1206303437</v>
      </c>
      <c r="M2789">
        <v>1282586505</v>
      </c>
      <c r="N2789">
        <v>1172695503</v>
      </c>
      <c r="O2789">
        <v>1147192837</v>
      </c>
      <c r="P2789">
        <v>217</v>
      </c>
      <c r="Q2789" t="s">
        <v>5915</v>
      </c>
    </row>
    <row r="2790" spans="1:17" x14ac:dyDescent="0.3">
      <c r="A2790" t="s">
        <v>4664</v>
      </c>
      <c r="B2790" t="str">
        <f>"002106"</f>
        <v>002106</v>
      </c>
      <c r="C2790" t="s">
        <v>5916</v>
      </c>
      <c r="D2790" t="s">
        <v>1117</v>
      </c>
      <c r="F2790">
        <v>5899849152</v>
      </c>
      <c r="G2790">
        <v>4250325966</v>
      </c>
      <c r="H2790">
        <v>3480299556</v>
      </c>
      <c r="I2790">
        <v>3023356295</v>
      </c>
      <c r="J2790">
        <v>2885763258</v>
      </c>
      <c r="K2790">
        <v>2073542240</v>
      </c>
      <c r="L2790">
        <v>1961516997</v>
      </c>
      <c r="M2790">
        <v>1726890073</v>
      </c>
      <c r="N2790">
        <v>961793575</v>
      </c>
      <c r="O2790">
        <v>686993008</v>
      </c>
      <c r="P2790">
        <v>296</v>
      </c>
      <c r="Q2790" t="s">
        <v>5917</v>
      </c>
    </row>
    <row r="2791" spans="1:17" x14ac:dyDescent="0.3">
      <c r="A2791" t="s">
        <v>4664</v>
      </c>
      <c r="B2791" t="str">
        <f>"002107"</f>
        <v>002107</v>
      </c>
      <c r="C2791" t="s">
        <v>5918</v>
      </c>
      <c r="D2791" t="s">
        <v>188</v>
      </c>
      <c r="F2791">
        <v>808484217</v>
      </c>
      <c r="G2791">
        <v>779755224</v>
      </c>
      <c r="H2791">
        <v>696957153</v>
      </c>
      <c r="I2791">
        <v>659249625</v>
      </c>
      <c r="J2791">
        <v>540735479</v>
      </c>
      <c r="K2791">
        <v>467617516</v>
      </c>
      <c r="L2791">
        <v>418000990</v>
      </c>
      <c r="M2791">
        <v>255336866</v>
      </c>
      <c r="N2791">
        <v>217538788</v>
      </c>
      <c r="O2791">
        <v>172524503</v>
      </c>
      <c r="P2791">
        <v>350</v>
      </c>
      <c r="Q2791" t="s">
        <v>5919</v>
      </c>
    </row>
    <row r="2792" spans="1:17" x14ac:dyDescent="0.3">
      <c r="A2792" t="s">
        <v>4664</v>
      </c>
      <c r="B2792" t="str">
        <f>"002108"</f>
        <v>002108</v>
      </c>
      <c r="C2792" t="s">
        <v>5920</v>
      </c>
      <c r="D2792" t="s">
        <v>1192</v>
      </c>
      <c r="F2792">
        <v>1797307950</v>
      </c>
      <c r="G2792">
        <v>1831410701</v>
      </c>
      <c r="H2792">
        <v>2258211104</v>
      </c>
      <c r="I2792">
        <v>2260568686</v>
      </c>
      <c r="J2792">
        <v>2249960293</v>
      </c>
      <c r="K2792">
        <v>1556602083</v>
      </c>
      <c r="L2792">
        <v>1452366857</v>
      </c>
      <c r="M2792">
        <v>1305547033</v>
      </c>
      <c r="N2792">
        <v>1175710063</v>
      </c>
      <c r="O2792">
        <v>990274748</v>
      </c>
      <c r="P2792">
        <v>345</v>
      </c>
      <c r="Q2792" t="s">
        <v>5921</v>
      </c>
    </row>
    <row r="2793" spans="1:17" x14ac:dyDescent="0.3">
      <c r="A2793" t="s">
        <v>4664</v>
      </c>
      <c r="B2793" t="str">
        <f>"002109"</f>
        <v>002109</v>
      </c>
      <c r="C2793" t="s">
        <v>5922</v>
      </c>
      <c r="D2793" t="s">
        <v>1233</v>
      </c>
      <c r="F2793">
        <v>1906513266</v>
      </c>
      <c r="G2793">
        <v>1197749444</v>
      </c>
      <c r="H2793">
        <v>1085767525</v>
      </c>
      <c r="I2793">
        <v>931286213</v>
      </c>
      <c r="J2793">
        <v>802445195</v>
      </c>
      <c r="K2793">
        <v>331012021</v>
      </c>
      <c r="L2793">
        <v>398442704</v>
      </c>
      <c r="M2793">
        <v>417409841</v>
      </c>
      <c r="N2793">
        <v>581446692</v>
      </c>
      <c r="O2793">
        <v>936728209</v>
      </c>
      <c r="P2793">
        <v>138</v>
      </c>
      <c r="Q2793" t="s">
        <v>5923</v>
      </c>
    </row>
    <row r="2794" spans="1:17" x14ac:dyDescent="0.3">
      <c r="A2794" t="s">
        <v>4664</v>
      </c>
      <c r="B2794" t="str">
        <f>"002110"</f>
        <v>002110</v>
      </c>
      <c r="C2794" t="s">
        <v>5924</v>
      </c>
      <c r="D2794" t="s">
        <v>531</v>
      </c>
      <c r="F2794">
        <v>59253001254</v>
      </c>
      <c r="G2794">
        <v>43082505329</v>
      </c>
      <c r="H2794">
        <v>33403559869</v>
      </c>
      <c r="I2794">
        <v>27167759617</v>
      </c>
      <c r="J2794">
        <v>14041633150</v>
      </c>
      <c r="K2794">
        <v>8818799738</v>
      </c>
      <c r="L2794">
        <v>7421293989</v>
      </c>
      <c r="M2794">
        <v>9511875348</v>
      </c>
      <c r="N2794">
        <v>10590994327</v>
      </c>
      <c r="O2794">
        <v>9413828469</v>
      </c>
      <c r="P2794">
        <v>1174</v>
      </c>
      <c r="Q2794" t="s">
        <v>5925</v>
      </c>
    </row>
    <row r="2795" spans="1:17" x14ac:dyDescent="0.3">
      <c r="A2795" t="s">
        <v>4664</v>
      </c>
      <c r="B2795" t="str">
        <f>"002111"</f>
        <v>002111</v>
      </c>
      <c r="C2795" t="s">
        <v>5926</v>
      </c>
      <c r="D2795" t="s">
        <v>741</v>
      </c>
      <c r="F2795">
        <v>1454390796</v>
      </c>
      <c r="G2795">
        <v>1655877130</v>
      </c>
      <c r="H2795">
        <v>1484399527</v>
      </c>
      <c r="I2795">
        <v>1357174328</v>
      </c>
      <c r="J2795">
        <v>1480245905</v>
      </c>
      <c r="K2795">
        <v>1200774262</v>
      </c>
      <c r="L2795">
        <v>974694300</v>
      </c>
      <c r="M2795">
        <v>767704200</v>
      </c>
      <c r="N2795">
        <v>683782114</v>
      </c>
      <c r="O2795">
        <v>533030935</v>
      </c>
      <c r="P2795">
        <v>214</v>
      </c>
      <c r="Q2795" t="s">
        <v>5927</v>
      </c>
    </row>
    <row r="2796" spans="1:17" x14ac:dyDescent="0.3">
      <c r="A2796" t="s">
        <v>4664</v>
      </c>
      <c r="B2796" t="str">
        <f>"002112"</f>
        <v>002112</v>
      </c>
      <c r="C2796" t="s">
        <v>5928</v>
      </c>
      <c r="D2796" t="s">
        <v>210</v>
      </c>
      <c r="F2796">
        <v>598280611</v>
      </c>
      <c r="G2796">
        <v>499324796</v>
      </c>
      <c r="H2796">
        <v>356220559</v>
      </c>
      <c r="I2796">
        <v>391298125</v>
      </c>
      <c r="J2796">
        <v>353258430</v>
      </c>
      <c r="K2796">
        <v>542037970</v>
      </c>
      <c r="L2796">
        <v>623111436</v>
      </c>
      <c r="M2796">
        <v>684214844</v>
      </c>
      <c r="N2796">
        <v>705948258</v>
      </c>
      <c r="O2796">
        <v>764693403</v>
      </c>
      <c r="P2796">
        <v>76</v>
      </c>
      <c r="Q2796" t="s">
        <v>5929</v>
      </c>
    </row>
    <row r="2797" spans="1:17" x14ac:dyDescent="0.3">
      <c r="A2797" t="s">
        <v>4664</v>
      </c>
      <c r="B2797" t="str">
        <f>"002113"</f>
        <v>002113</v>
      </c>
      <c r="C2797" t="s">
        <v>5930</v>
      </c>
      <c r="D2797" t="s">
        <v>517</v>
      </c>
      <c r="F2797">
        <v>422818953</v>
      </c>
      <c r="G2797">
        <v>462886393</v>
      </c>
      <c r="H2797">
        <v>526852955</v>
      </c>
      <c r="I2797">
        <v>473668228</v>
      </c>
      <c r="J2797">
        <v>122304525</v>
      </c>
      <c r="K2797">
        <v>66556708</v>
      </c>
      <c r="L2797">
        <v>9878794</v>
      </c>
      <c r="M2797">
        <v>11932561</v>
      </c>
      <c r="N2797">
        <v>16210054</v>
      </c>
      <c r="O2797">
        <v>15013815</v>
      </c>
      <c r="P2797">
        <v>77</v>
      </c>
      <c r="Q2797" t="s">
        <v>5931</v>
      </c>
    </row>
    <row r="2798" spans="1:17" x14ac:dyDescent="0.3">
      <c r="A2798" t="s">
        <v>4664</v>
      </c>
      <c r="B2798" t="str">
        <f>"002114"</f>
        <v>002114</v>
      </c>
      <c r="C2798" t="s">
        <v>5932</v>
      </c>
      <c r="D2798" t="s">
        <v>744</v>
      </c>
      <c r="F2798">
        <v>1794426761</v>
      </c>
      <c r="G2798">
        <v>1417086640</v>
      </c>
      <c r="H2798">
        <v>1527566375</v>
      </c>
      <c r="I2798">
        <v>954562462</v>
      </c>
      <c r="J2798">
        <v>1315498413</v>
      </c>
      <c r="K2798">
        <v>883572756</v>
      </c>
      <c r="L2798">
        <v>687424974</v>
      </c>
      <c r="M2798">
        <v>625606319</v>
      </c>
      <c r="N2798">
        <v>572155015</v>
      </c>
      <c r="O2798">
        <v>994703866</v>
      </c>
      <c r="P2798">
        <v>73</v>
      </c>
      <c r="Q2798" t="s">
        <v>5933</v>
      </c>
    </row>
    <row r="2799" spans="1:17" x14ac:dyDescent="0.3">
      <c r="A2799" t="s">
        <v>4664</v>
      </c>
      <c r="B2799" t="str">
        <f>"002115"</f>
        <v>002115</v>
      </c>
      <c r="C2799" t="s">
        <v>5934</v>
      </c>
      <c r="D2799" t="s">
        <v>654</v>
      </c>
      <c r="F2799">
        <v>7729836043</v>
      </c>
      <c r="G2799">
        <v>6738938699</v>
      </c>
      <c r="H2799">
        <v>3908738826</v>
      </c>
      <c r="I2799">
        <v>2582258928</v>
      </c>
      <c r="J2799">
        <v>735176719</v>
      </c>
      <c r="K2799">
        <v>639738906</v>
      </c>
      <c r="L2799">
        <v>748111781</v>
      </c>
      <c r="M2799">
        <v>478343454</v>
      </c>
      <c r="N2799">
        <v>552575452</v>
      </c>
      <c r="O2799">
        <v>602918089</v>
      </c>
      <c r="P2799">
        <v>239</v>
      </c>
      <c r="Q2799" t="s">
        <v>5935</v>
      </c>
    </row>
    <row r="2800" spans="1:17" x14ac:dyDescent="0.3">
      <c r="A2800" t="s">
        <v>4664</v>
      </c>
      <c r="B2800" t="str">
        <f>"002116"</f>
        <v>002116</v>
      </c>
      <c r="C2800" t="s">
        <v>5936</v>
      </c>
      <c r="D2800" t="s">
        <v>1986</v>
      </c>
      <c r="F2800">
        <v>3626308664</v>
      </c>
      <c r="G2800">
        <v>3453115143</v>
      </c>
      <c r="H2800">
        <v>3147230612</v>
      </c>
      <c r="I2800">
        <v>3231175834</v>
      </c>
      <c r="J2800">
        <v>2534145157</v>
      </c>
      <c r="K2800">
        <v>2804138320</v>
      </c>
      <c r="L2800">
        <v>3444727777</v>
      </c>
      <c r="M2800">
        <v>3497169410</v>
      </c>
      <c r="N2800">
        <v>3906478213</v>
      </c>
      <c r="O2800">
        <v>3489901193</v>
      </c>
      <c r="P2800">
        <v>176</v>
      </c>
      <c r="Q2800" t="s">
        <v>5937</v>
      </c>
    </row>
    <row r="2801" spans="1:17" x14ac:dyDescent="0.3">
      <c r="A2801" t="s">
        <v>4664</v>
      </c>
      <c r="B2801" t="str">
        <f>"002117"</f>
        <v>002117</v>
      </c>
      <c r="C2801" t="s">
        <v>5938</v>
      </c>
      <c r="D2801" t="s">
        <v>1692</v>
      </c>
      <c r="F2801">
        <v>790525728</v>
      </c>
      <c r="G2801">
        <v>839596056</v>
      </c>
      <c r="H2801">
        <v>1039243837</v>
      </c>
      <c r="I2801">
        <v>1084537482</v>
      </c>
      <c r="J2801">
        <v>1046954005</v>
      </c>
      <c r="K2801">
        <v>943228081</v>
      </c>
      <c r="L2801">
        <v>769236533</v>
      </c>
      <c r="M2801">
        <v>796281625</v>
      </c>
      <c r="N2801">
        <v>693655564</v>
      </c>
      <c r="O2801">
        <v>589184377</v>
      </c>
      <c r="P2801">
        <v>392</v>
      </c>
      <c r="Q2801" t="s">
        <v>5939</v>
      </c>
    </row>
    <row r="2802" spans="1:17" x14ac:dyDescent="0.3">
      <c r="A2802" t="s">
        <v>4664</v>
      </c>
      <c r="B2802" t="str">
        <f>"002118"</f>
        <v>002118</v>
      </c>
      <c r="C2802" t="s">
        <v>5940</v>
      </c>
      <c r="D2802" t="s">
        <v>188</v>
      </c>
      <c r="F2802">
        <v>149374849</v>
      </c>
      <c r="G2802">
        <v>347083094</v>
      </c>
      <c r="H2802">
        <v>409275141</v>
      </c>
      <c r="I2802">
        <v>957248026</v>
      </c>
      <c r="J2802">
        <v>744578985</v>
      </c>
      <c r="K2802">
        <v>694465326</v>
      </c>
      <c r="L2802">
        <v>468255111</v>
      </c>
      <c r="M2802">
        <v>418320292</v>
      </c>
      <c r="N2802">
        <v>313997839</v>
      </c>
      <c r="O2802">
        <v>594493847</v>
      </c>
      <c r="P2802">
        <v>226</v>
      </c>
      <c r="Q2802" t="s">
        <v>5941</v>
      </c>
    </row>
    <row r="2803" spans="1:17" x14ac:dyDescent="0.3">
      <c r="A2803" t="s">
        <v>4664</v>
      </c>
      <c r="B2803" t="str">
        <f>"002119"</f>
        <v>002119</v>
      </c>
      <c r="C2803" t="s">
        <v>5942</v>
      </c>
      <c r="D2803" t="s">
        <v>475</v>
      </c>
      <c r="F2803">
        <v>1281155116</v>
      </c>
      <c r="G2803">
        <v>782187013</v>
      </c>
      <c r="H2803">
        <v>753017297</v>
      </c>
      <c r="I2803">
        <v>1178168575</v>
      </c>
      <c r="J2803">
        <v>1013612921</v>
      </c>
      <c r="K2803">
        <v>858743093</v>
      </c>
      <c r="L2803">
        <v>878330038</v>
      </c>
      <c r="M2803">
        <v>901553842</v>
      </c>
      <c r="N2803">
        <v>915703386</v>
      </c>
      <c r="O2803">
        <v>955676015</v>
      </c>
      <c r="P2803">
        <v>214</v>
      </c>
      <c r="Q2803" t="s">
        <v>5943</v>
      </c>
    </row>
    <row r="2804" spans="1:17" x14ac:dyDescent="0.3">
      <c r="A2804" t="s">
        <v>4664</v>
      </c>
      <c r="B2804" t="str">
        <f>"002120"</f>
        <v>002120</v>
      </c>
      <c r="C2804" t="s">
        <v>5944</v>
      </c>
      <c r="D2804" t="s">
        <v>537</v>
      </c>
      <c r="F2804">
        <v>29797076949</v>
      </c>
      <c r="G2804">
        <v>24915681719</v>
      </c>
      <c r="H2804">
        <v>26429354426</v>
      </c>
      <c r="I2804">
        <v>10131286113</v>
      </c>
      <c r="J2804">
        <v>7457294728</v>
      </c>
      <c r="K2804">
        <v>778809178</v>
      </c>
      <c r="L2804">
        <v>705619950</v>
      </c>
      <c r="M2804">
        <v>676898227</v>
      </c>
      <c r="N2804">
        <v>659921747</v>
      </c>
      <c r="O2804">
        <v>636525404</v>
      </c>
      <c r="P2804">
        <v>1163</v>
      </c>
      <c r="Q2804" t="s">
        <v>5945</v>
      </c>
    </row>
    <row r="2805" spans="1:17" x14ac:dyDescent="0.3">
      <c r="A2805" t="s">
        <v>4664</v>
      </c>
      <c r="B2805" t="str">
        <f>"002121"</f>
        <v>002121</v>
      </c>
      <c r="C2805" t="s">
        <v>5946</v>
      </c>
      <c r="D2805" t="s">
        <v>2171</v>
      </c>
      <c r="F2805">
        <v>2098116058</v>
      </c>
      <c r="G2805">
        <v>2180788307</v>
      </c>
      <c r="H2805">
        <v>2320083352</v>
      </c>
      <c r="I2805">
        <v>3069107406</v>
      </c>
      <c r="J2805">
        <v>3003309779</v>
      </c>
      <c r="K2805">
        <v>1784203245</v>
      </c>
      <c r="L2805">
        <v>1082814466</v>
      </c>
      <c r="M2805">
        <v>987933113</v>
      </c>
      <c r="N2805">
        <v>837217056</v>
      </c>
      <c r="O2805">
        <v>923241646</v>
      </c>
      <c r="P2805">
        <v>234</v>
      </c>
      <c r="Q2805" t="s">
        <v>5947</v>
      </c>
    </row>
    <row r="2806" spans="1:17" x14ac:dyDescent="0.3">
      <c r="A2806" t="s">
        <v>4664</v>
      </c>
      <c r="B2806" t="str">
        <f>"002122"</f>
        <v>002122</v>
      </c>
      <c r="C2806" t="s">
        <v>5948</v>
      </c>
      <c r="D2806" t="s">
        <v>274</v>
      </c>
      <c r="F2806">
        <v>373008754</v>
      </c>
      <c r="G2806">
        <v>338156024</v>
      </c>
      <c r="H2806">
        <v>986679530</v>
      </c>
      <c r="I2806">
        <v>1237580530</v>
      </c>
      <c r="J2806">
        <v>699764833</v>
      </c>
      <c r="K2806">
        <v>944282736</v>
      </c>
      <c r="L2806">
        <v>963423936</v>
      </c>
      <c r="M2806">
        <v>1052141572</v>
      </c>
      <c r="N2806">
        <v>1254578298</v>
      </c>
      <c r="O2806">
        <v>1971707962</v>
      </c>
      <c r="P2806">
        <v>69</v>
      </c>
      <c r="Q2806" t="s">
        <v>5949</v>
      </c>
    </row>
    <row r="2807" spans="1:17" x14ac:dyDescent="0.3">
      <c r="A2807" t="s">
        <v>4664</v>
      </c>
      <c r="B2807" t="str">
        <f>"002123"</f>
        <v>002123</v>
      </c>
      <c r="C2807" t="s">
        <v>5950</v>
      </c>
      <c r="D2807" t="s">
        <v>5597</v>
      </c>
      <c r="F2807">
        <v>2144335455</v>
      </c>
      <c r="G2807">
        <v>1851255048</v>
      </c>
      <c r="H2807">
        <v>2490870035</v>
      </c>
      <c r="I2807">
        <v>2101669452</v>
      </c>
      <c r="J2807">
        <v>2321119646</v>
      </c>
      <c r="K2807">
        <v>1739006449</v>
      </c>
      <c r="L2807">
        <v>847972694</v>
      </c>
      <c r="M2807">
        <v>803917180</v>
      </c>
      <c r="N2807">
        <v>971637199</v>
      </c>
      <c r="O2807">
        <v>865504905</v>
      </c>
      <c r="P2807">
        <v>364</v>
      </c>
      <c r="Q2807" t="s">
        <v>5951</v>
      </c>
    </row>
    <row r="2808" spans="1:17" x14ac:dyDescent="0.3">
      <c r="A2808" t="s">
        <v>4664</v>
      </c>
      <c r="B2808" t="str">
        <f>"002124"</f>
        <v>002124</v>
      </c>
      <c r="C2808" t="s">
        <v>5952</v>
      </c>
      <c r="D2808" t="s">
        <v>1894</v>
      </c>
      <c r="F2808">
        <v>7765680925</v>
      </c>
      <c r="G2808">
        <v>7851794499</v>
      </c>
      <c r="H2808">
        <v>4221711366</v>
      </c>
      <c r="I2808">
        <v>2939652780</v>
      </c>
      <c r="J2808">
        <v>2167434133</v>
      </c>
      <c r="K2808">
        <v>1539156222</v>
      </c>
      <c r="L2808">
        <v>1581587108</v>
      </c>
      <c r="M2808">
        <v>1953514435</v>
      </c>
      <c r="N2808">
        <v>1545592101</v>
      </c>
      <c r="O2808">
        <v>1555828920</v>
      </c>
      <c r="P2808">
        <v>922</v>
      </c>
      <c r="Q2808" t="s">
        <v>5953</v>
      </c>
    </row>
    <row r="2809" spans="1:17" x14ac:dyDescent="0.3">
      <c r="A2809" t="s">
        <v>4664</v>
      </c>
      <c r="B2809" t="str">
        <f>"002125"</f>
        <v>002125</v>
      </c>
      <c r="C2809" t="s">
        <v>5954</v>
      </c>
      <c r="D2809" t="s">
        <v>736</v>
      </c>
      <c r="F2809">
        <v>740092678</v>
      </c>
      <c r="G2809">
        <v>1004959183</v>
      </c>
      <c r="H2809">
        <v>985972504</v>
      </c>
      <c r="I2809">
        <v>812486259</v>
      </c>
      <c r="J2809">
        <v>534329910</v>
      </c>
      <c r="K2809">
        <v>481584328</v>
      </c>
      <c r="L2809">
        <v>494702391</v>
      </c>
      <c r="M2809">
        <v>543496697</v>
      </c>
      <c r="N2809">
        <v>562100014</v>
      </c>
      <c r="O2809">
        <v>497212118</v>
      </c>
      <c r="P2809">
        <v>157</v>
      </c>
      <c r="Q2809" t="s">
        <v>5955</v>
      </c>
    </row>
    <row r="2810" spans="1:17" x14ac:dyDescent="0.3">
      <c r="A2810" t="s">
        <v>4664</v>
      </c>
      <c r="B2810" t="str">
        <f>"002126"</f>
        <v>002126</v>
      </c>
      <c r="C2810" t="s">
        <v>5956</v>
      </c>
      <c r="D2810" t="s">
        <v>348</v>
      </c>
      <c r="F2810">
        <v>4443637919</v>
      </c>
      <c r="G2810">
        <v>3113135518</v>
      </c>
      <c r="H2810">
        <v>2578857368</v>
      </c>
      <c r="I2810">
        <v>2140997811</v>
      </c>
      <c r="J2810">
        <v>1893994920</v>
      </c>
      <c r="K2810">
        <v>1779520893</v>
      </c>
      <c r="L2810">
        <v>1881962928</v>
      </c>
      <c r="M2810">
        <v>1275404435</v>
      </c>
      <c r="N2810">
        <v>902502175</v>
      </c>
      <c r="O2810">
        <v>1158087898</v>
      </c>
      <c r="P2810">
        <v>450</v>
      </c>
      <c r="Q2810" t="s">
        <v>5957</v>
      </c>
    </row>
    <row r="2811" spans="1:17" x14ac:dyDescent="0.3">
      <c r="A2811" t="s">
        <v>4664</v>
      </c>
      <c r="B2811" t="str">
        <f>"002127"</f>
        <v>002127</v>
      </c>
      <c r="C2811" t="s">
        <v>5958</v>
      </c>
      <c r="D2811" t="s">
        <v>3590</v>
      </c>
      <c r="F2811">
        <v>3386208292</v>
      </c>
      <c r="G2811">
        <v>3001457685</v>
      </c>
      <c r="H2811">
        <v>2674561947</v>
      </c>
      <c r="I2811">
        <v>2187296922</v>
      </c>
      <c r="J2811">
        <v>363979546</v>
      </c>
      <c r="K2811">
        <v>200484065</v>
      </c>
      <c r="L2811">
        <v>483393564</v>
      </c>
      <c r="M2811">
        <v>1688357596</v>
      </c>
      <c r="N2811">
        <v>4103942802</v>
      </c>
      <c r="O2811">
        <v>2642538283</v>
      </c>
      <c r="P2811">
        <v>1745</v>
      </c>
      <c r="Q2811" t="s">
        <v>5959</v>
      </c>
    </row>
    <row r="2812" spans="1:17" x14ac:dyDescent="0.3">
      <c r="A2812" t="s">
        <v>4664</v>
      </c>
      <c r="B2812" t="str">
        <f>"002128"</f>
        <v>002128</v>
      </c>
      <c r="C2812" t="s">
        <v>5960</v>
      </c>
      <c r="D2812" t="s">
        <v>292</v>
      </c>
      <c r="F2812">
        <v>16945421979</v>
      </c>
      <c r="G2812">
        <v>13474534788</v>
      </c>
      <c r="H2812">
        <v>12719255276</v>
      </c>
      <c r="I2812">
        <v>4607632598</v>
      </c>
      <c r="J2812">
        <v>4565137987</v>
      </c>
      <c r="K2812">
        <v>2652542887</v>
      </c>
      <c r="L2812">
        <v>3448541668</v>
      </c>
      <c r="M2812">
        <v>4360144653</v>
      </c>
      <c r="N2812">
        <v>5126214628</v>
      </c>
      <c r="O2812">
        <v>5377861961</v>
      </c>
      <c r="P2812">
        <v>1050</v>
      </c>
      <c r="Q2812" t="s">
        <v>5961</v>
      </c>
    </row>
    <row r="2813" spans="1:17" x14ac:dyDescent="0.3">
      <c r="A2813" t="s">
        <v>4664</v>
      </c>
      <c r="B2813" t="str">
        <f>"002129"</f>
        <v>002129</v>
      </c>
      <c r="C2813" t="s">
        <v>5962</v>
      </c>
      <c r="D2813" t="s">
        <v>929</v>
      </c>
      <c r="F2813">
        <v>9523568461</v>
      </c>
      <c r="G2813">
        <v>8837379485</v>
      </c>
      <c r="H2813">
        <v>6564334409</v>
      </c>
      <c r="I2813">
        <v>6527262675</v>
      </c>
      <c r="J2813">
        <v>3742332552</v>
      </c>
      <c r="K2813">
        <v>3700423747</v>
      </c>
      <c r="L2813">
        <v>3012040994</v>
      </c>
      <c r="M2813">
        <v>3323304269</v>
      </c>
      <c r="N2813">
        <v>1744229186</v>
      </c>
      <c r="O2813">
        <v>902549374</v>
      </c>
      <c r="P2813">
        <v>1522</v>
      </c>
      <c r="Q2813" t="s">
        <v>5963</v>
      </c>
    </row>
    <row r="2814" spans="1:17" x14ac:dyDescent="0.3">
      <c r="A2814" t="s">
        <v>4664</v>
      </c>
      <c r="B2814" t="str">
        <f>"002130"</f>
        <v>002130</v>
      </c>
      <c r="C2814" t="s">
        <v>5964</v>
      </c>
      <c r="D2814" t="s">
        <v>651</v>
      </c>
      <c r="F2814">
        <v>3200543091</v>
      </c>
      <c r="G2814">
        <v>2555564884</v>
      </c>
      <c r="H2814">
        <v>2639442786</v>
      </c>
      <c r="I2814">
        <v>1936178450</v>
      </c>
      <c r="J2814">
        <v>1540050260</v>
      </c>
      <c r="K2814">
        <v>1176307276</v>
      </c>
      <c r="L2814">
        <v>1057835415</v>
      </c>
      <c r="M2814">
        <v>1011489112</v>
      </c>
      <c r="N2814">
        <v>978096316</v>
      </c>
      <c r="O2814">
        <v>432101016</v>
      </c>
      <c r="P2814">
        <v>266</v>
      </c>
      <c r="Q2814" t="s">
        <v>5965</v>
      </c>
    </row>
    <row r="2815" spans="1:17" x14ac:dyDescent="0.3">
      <c r="A2815" t="s">
        <v>4664</v>
      </c>
      <c r="B2815" t="str">
        <f>"002131"</f>
        <v>002131</v>
      </c>
      <c r="C2815" t="s">
        <v>5966</v>
      </c>
      <c r="D2815" t="s">
        <v>207</v>
      </c>
      <c r="F2815">
        <v>15373033054</v>
      </c>
      <c r="G2815">
        <v>10945862790</v>
      </c>
      <c r="H2815">
        <v>11461237758</v>
      </c>
      <c r="I2815">
        <v>9473286815</v>
      </c>
      <c r="J2815">
        <v>7596095530</v>
      </c>
      <c r="K2815">
        <v>4765554010</v>
      </c>
      <c r="L2815">
        <v>2870680418</v>
      </c>
      <c r="M2815">
        <v>2376713851</v>
      </c>
      <c r="N2815">
        <v>1328236126</v>
      </c>
      <c r="O2815">
        <v>1202233947</v>
      </c>
      <c r="P2815">
        <v>417</v>
      </c>
      <c r="Q2815" t="s">
        <v>5967</v>
      </c>
    </row>
    <row r="2816" spans="1:17" x14ac:dyDescent="0.3">
      <c r="A2816" t="s">
        <v>4664</v>
      </c>
      <c r="B2816" t="str">
        <f>"002132"</f>
        <v>002132</v>
      </c>
      <c r="C2816" t="s">
        <v>5968</v>
      </c>
      <c r="D2816" t="s">
        <v>274</v>
      </c>
      <c r="F2816">
        <v>2584164969</v>
      </c>
      <c r="G2816">
        <v>1710494342</v>
      </c>
      <c r="H2816">
        <v>2064087639</v>
      </c>
      <c r="I2816">
        <v>1226265650</v>
      </c>
      <c r="J2816">
        <v>2417842634</v>
      </c>
      <c r="K2816">
        <v>1614135776</v>
      </c>
      <c r="L2816">
        <v>1669535541</v>
      </c>
      <c r="M2816">
        <v>1550305584</v>
      </c>
      <c r="N2816">
        <v>1528730783</v>
      </c>
      <c r="O2816">
        <v>1579283100</v>
      </c>
      <c r="P2816">
        <v>127</v>
      </c>
      <c r="Q2816" t="s">
        <v>5969</v>
      </c>
    </row>
    <row r="2817" spans="1:17" x14ac:dyDescent="0.3">
      <c r="A2817" t="s">
        <v>4664</v>
      </c>
      <c r="B2817" t="str">
        <f>"002133"</f>
        <v>002133</v>
      </c>
      <c r="C2817" t="s">
        <v>5970</v>
      </c>
      <c r="D2817" t="s">
        <v>104</v>
      </c>
      <c r="F2817">
        <v>7131191366</v>
      </c>
      <c r="G2817">
        <v>5964908362</v>
      </c>
      <c r="H2817">
        <v>3751640853</v>
      </c>
      <c r="I2817">
        <v>2856768036</v>
      </c>
      <c r="J2817">
        <v>2691640948</v>
      </c>
      <c r="K2817">
        <v>3020877899</v>
      </c>
      <c r="L2817">
        <v>2246806514</v>
      </c>
      <c r="M2817">
        <v>1185159462</v>
      </c>
      <c r="N2817">
        <v>1149612154</v>
      </c>
      <c r="O2817">
        <v>987544469</v>
      </c>
      <c r="P2817">
        <v>132</v>
      </c>
      <c r="Q2817" t="s">
        <v>5971</v>
      </c>
    </row>
    <row r="2818" spans="1:17" x14ac:dyDescent="0.3">
      <c r="A2818" t="s">
        <v>4664</v>
      </c>
      <c r="B2818" t="str">
        <f>"002134"</f>
        <v>002134</v>
      </c>
      <c r="C2818" t="s">
        <v>5972</v>
      </c>
      <c r="D2818" t="s">
        <v>425</v>
      </c>
      <c r="F2818">
        <v>453044491</v>
      </c>
      <c r="G2818">
        <v>340503108</v>
      </c>
      <c r="H2818">
        <v>280226775</v>
      </c>
      <c r="I2818">
        <v>313609804</v>
      </c>
      <c r="J2818">
        <v>295245858</v>
      </c>
      <c r="K2818">
        <v>282420331</v>
      </c>
      <c r="L2818">
        <v>337273946</v>
      </c>
      <c r="M2818">
        <v>267268412</v>
      </c>
      <c r="N2818">
        <v>325885692</v>
      </c>
      <c r="O2818">
        <v>336001003</v>
      </c>
      <c r="P2818">
        <v>119</v>
      </c>
      <c r="Q2818" t="s">
        <v>5973</v>
      </c>
    </row>
    <row r="2819" spans="1:17" x14ac:dyDescent="0.3">
      <c r="A2819" t="s">
        <v>4664</v>
      </c>
      <c r="B2819" t="str">
        <f>"002135"</f>
        <v>002135</v>
      </c>
      <c r="C2819" t="s">
        <v>5974</v>
      </c>
      <c r="D2819" t="s">
        <v>978</v>
      </c>
      <c r="F2819">
        <v>7088907196</v>
      </c>
      <c r="G2819">
        <v>6627470316</v>
      </c>
      <c r="H2819">
        <v>6862902961</v>
      </c>
      <c r="I2819">
        <v>6600212915</v>
      </c>
      <c r="J2819">
        <v>5257305867</v>
      </c>
      <c r="K2819">
        <v>3811343735</v>
      </c>
      <c r="L2819">
        <v>3772636010</v>
      </c>
      <c r="M2819">
        <v>2573813454</v>
      </c>
      <c r="N2819">
        <v>2496501665</v>
      </c>
      <c r="O2819">
        <v>1792663938</v>
      </c>
      <c r="P2819">
        <v>163</v>
      </c>
      <c r="Q2819" t="s">
        <v>5975</v>
      </c>
    </row>
    <row r="2820" spans="1:17" x14ac:dyDescent="0.3">
      <c r="A2820" t="s">
        <v>4664</v>
      </c>
      <c r="B2820" t="str">
        <f>"002136"</f>
        <v>002136</v>
      </c>
      <c r="C2820" t="s">
        <v>5976</v>
      </c>
      <c r="D2820" t="s">
        <v>1474</v>
      </c>
      <c r="F2820">
        <v>613428763</v>
      </c>
      <c r="G2820">
        <v>381185464</v>
      </c>
      <c r="H2820">
        <v>355508050</v>
      </c>
      <c r="I2820">
        <v>402717406</v>
      </c>
      <c r="J2820">
        <v>434714120</v>
      </c>
      <c r="K2820">
        <v>251191548</v>
      </c>
      <c r="L2820">
        <v>221236768</v>
      </c>
      <c r="M2820">
        <v>273727336</v>
      </c>
      <c r="N2820">
        <v>178809600</v>
      </c>
      <c r="O2820">
        <v>336244022</v>
      </c>
      <c r="P2820">
        <v>131</v>
      </c>
      <c r="Q2820" t="s">
        <v>5977</v>
      </c>
    </row>
    <row r="2821" spans="1:17" x14ac:dyDescent="0.3">
      <c r="A2821" t="s">
        <v>4664</v>
      </c>
      <c r="B2821" t="str">
        <f>"002137"</f>
        <v>002137</v>
      </c>
      <c r="C2821" t="s">
        <v>5978</v>
      </c>
      <c r="D2821" t="s">
        <v>207</v>
      </c>
      <c r="F2821">
        <v>653192397</v>
      </c>
      <c r="G2821">
        <v>722949427</v>
      </c>
      <c r="H2821">
        <v>544525859</v>
      </c>
      <c r="I2821">
        <v>835970154</v>
      </c>
      <c r="J2821">
        <v>634541903</v>
      </c>
      <c r="K2821">
        <v>557291399</v>
      </c>
      <c r="L2821">
        <v>333779730</v>
      </c>
      <c r="M2821">
        <v>367117161</v>
      </c>
      <c r="N2821">
        <v>469984327</v>
      </c>
      <c r="O2821">
        <v>827108305</v>
      </c>
      <c r="P2821">
        <v>148</v>
      </c>
      <c r="Q2821" t="s">
        <v>5979</v>
      </c>
    </row>
    <row r="2822" spans="1:17" x14ac:dyDescent="0.3">
      <c r="A2822" t="s">
        <v>4664</v>
      </c>
      <c r="B2822" t="str">
        <f>"002138"</f>
        <v>002138</v>
      </c>
      <c r="C2822" t="s">
        <v>5980</v>
      </c>
      <c r="D2822" t="s">
        <v>546</v>
      </c>
      <c r="F2822">
        <v>4024698657</v>
      </c>
      <c r="G2822">
        <v>2514158709</v>
      </c>
      <c r="H2822">
        <v>1977685730</v>
      </c>
      <c r="I2822">
        <v>1914551239</v>
      </c>
      <c r="J2822">
        <v>1496250583</v>
      </c>
      <c r="K2822">
        <v>1095708641</v>
      </c>
      <c r="L2822">
        <v>956098096</v>
      </c>
      <c r="M2822">
        <v>856222700</v>
      </c>
      <c r="N2822">
        <v>680482951</v>
      </c>
      <c r="O2822">
        <v>468256415</v>
      </c>
      <c r="P2822">
        <v>1065</v>
      </c>
      <c r="Q2822" t="s">
        <v>5981</v>
      </c>
    </row>
    <row r="2823" spans="1:17" x14ac:dyDescent="0.3">
      <c r="A2823" t="s">
        <v>4664</v>
      </c>
      <c r="B2823" t="str">
        <f>"002139"</f>
        <v>002139</v>
      </c>
      <c r="C2823" t="s">
        <v>5982</v>
      </c>
      <c r="D2823" t="s">
        <v>313</v>
      </c>
      <c r="F2823">
        <v>5332895254</v>
      </c>
      <c r="G2823">
        <v>3277441911</v>
      </c>
      <c r="H2823">
        <v>2660250350</v>
      </c>
      <c r="I2823">
        <v>2258231663</v>
      </c>
      <c r="J2823">
        <v>1798599515</v>
      </c>
      <c r="K2823">
        <v>1210654121</v>
      </c>
      <c r="L2823">
        <v>951336624</v>
      </c>
      <c r="M2823">
        <v>831469800</v>
      </c>
      <c r="N2823">
        <v>778931738</v>
      </c>
      <c r="O2823">
        <v>746194655</v>
      </c>
      <c r="P2823">
        <v>919</v>
      </c>
      <c r="Q2823" t="s">
        <v>5983</v>
      </c>
    </row>
    <row r="2824" spans="1:17" x14ac:dyDescent="0.3">
      <c r="A2824" t="s">
        <v>4664</v>
      </c>
      <c r="B2824" t="str">
        <f>"002140"</f>
        <v>002140</v>
      </c>
      <c r="C2824" t="s">
        <v>5984</v>
      </c>
      <c r="D2824" t="s">
        <v>2019</v>
      </c>
      <c r="F2824">
        <v>2718751245</v>
      </c>
      <c r="G2824">
        <v>2995852792</v>
      </c>
      <c r="H2824">
        <v>2683177050</v>
      </c>
      <c r="I2824">
        <v>1446788601</v>
      </c>
      <c r="J2824">
        <v>1700290902</v>
      </c>
      <c r="K2824">
        <v>1342894531</v>
      </c>
      <c r="L2824">
        <v>1102790811</v>
      </c>
      <c r="M2824">
        <v>2247625748</v>
      </c>
      <c r="N2824">
        <v>1567797020</v>
      </c>
      <c r="O2824">
        <v>1637395995</v>
      </c>
      <c r="P2824">
        <v>129</v>
      </c>
      <c r="Q2824" t="s">
        <v>5985</v>
      </c>
    </row>
    <row r="2825" spans="1:17" x14ac:dyDescent="0.3">
      <c r="A2825" t="s">
        <v>4664</v>
      </c>
      <c r="B2825" t="str">
        <f>"002141"</f>
        <v>002141</v>
      </c>
      <c r="C2825" t="s">
        <v>5986</v>
      </c>
      <c r="D2825" t="s">
        <v>651</v>
      </c>
      <c r="F2825">
        <v>1179990701</v>
      </c>
      <c r="G2825">
        <v>602952403</v>
      </c>
      <c r="H2825">
        <v>601074433</v>
      </c>
      <c r="I2825">
        <v>728882522</v>
      </c>
      <c r="J2825">
        <v>719533500</v>
      </c>
      <c r="K2825">
        <v>584766113</v>
      </c>
      <c r="L2825">
        <v>610901667</v>
      </c>
      <c r="M2825">
        <v>749928019</v>
      </c>
      <c r="N2825">
        <v>710728301</v>
      </c>
      <c r="O2825">
        <v>703051027</v>
      </c>
      <c r="P2825">
        <v>74</v>
      </c>
      <c r="Q2825" t="s">
        <v>5987</v>
      </c>
    </row>
    <row r="2826" spans="1:17" x14ac:dyDescent="0.3">
      <c r="A2826" t="s">
        <v>4664</v>
      </c>
      <c r="B2826" t="str">
        <f>"002142"</f>
        <v>002142</v>
      </c>
      <c r="C2826" t="s">
        <v>5988</v>
      </c>
      <c r="D2826" t="s">
        <v>1838</v>
      </c>
      <c r="P2826">
        <v>59332</v>
      </c>
      <c r="Q2826" t="s">
        <v>5989</v>
      </c>
    </row>
    <row r="2827" spans="1:17" x14ac:dyDescent="0.3">
      <c r="A2827" t="s">
        <v>4664</v>
      </c>
      <c r="B2827" t="str">
        <f>"002143"</f>
        <v>002143</v>
      </c>
      <c r="C2827" t="s">
        <v>5990</v>
      </c>
      <c r="H2827">
        <v>225817917</v>
      </c>
      <c r="I2827">
        <v>485831475</v>
      </c>
      <c r="J2827">
        <v>1237158518</v>
      </c>
      <c r="K2827">
        <v>1568073273</v>
      </c>
      <c r="L2827">
        <v>1178577551</v>
      </c>
      <c r="M2827">
        <v>2672931000</v>
      </c>
      <c r="N2827">
        <v>2557213427</v>
      </c>
      <c r="O2827">
        <v>2117588519</v>
      </c>
      <c r="P2827">
        <v>59</v>
      </c>
      <c r="Q2827" t="s">
        <v>5991</v>
      </c>
    </row>
    <row r="2828" spans="1:17" x14ac:dyDescent="0.3">
      <c r="A2828" t="s">
        <v>4664</v>
      </c>
      <c r="B2828" t="str">
        <f>"002144"</f>
        <v>002144</v>
      </c>
      <c r="C2828" t="s">
        <v>5992</v>
      </c>
      <c r="D2828" t="s">
        <v>366</v>
      </c>
      <c r="F2828">
        <v>374262244</v>
      </c>
      <c r="G2828">
        <v>296098353</v>
      </c>
      <c r="H2828">
        <v>505658478</v>
      </c>
      <c r="I2828">
        <v>384220624</v>
      </c>
      <c r="J2828">
        <v>519866311</v>
      </c>
      <c r="K2828">
        <v>429753080</v>
      </c>
      <c r="L2828">
        <v>366913426</v>
      </c>
      <c r="M2828">
        <v>404483614</v>
      </c>
      <c r="N2828">
        <v>449504351</v>
      </c>
      <c r="O2828">
        <v>416593888</v>
      </c>
      <c r="P2828">
        <v>115</v>
      </c>
      <c r="Q2828" t="s">
        <v>5993</v>
      </c>
    </row>
    <row r="2829" spans="1:17" x14ac:dyDescent="0.3">
      <c r="A2829" t="s">
        <v>4664</v>
      </c>
      <c r="B2829" t="str">
        <f>"002145"</f>
        <v>002145</v>
      </c>
      <c r="C2829" t="s">
        <v>5994</v>
      </c>
      <c r="D2829" t="s">
        <v>1474</v>
      </c>
      <c r="F2829">
        <v>3255653203</v>
      </c>
      <c r="G2829">
        <v>2064810684</v>
      </c>
      <c r="H2829">
        <v>2013424362</v>
      </c>
      <c r="I2829">
        <v>2564611924</v>
      </c>
      <c r="J2829">
        <v>2136245680</v>
      </c>
      <c r="K2829">
        <v>986086686</v>
      </c>
      <c r="L2829">
        <v>787428499</v>
      </c>
      <c r="M2829">
        <v>763545429</v>
      </c>
      <c r="N2829">
        <v>773759369</v>
      </c>
      <c r="O2829">
        <v>191240376</v>
      </c>
      <c r="P2829">
        <v>284</v>
      </c>
      <c r="Q2829" t="s">
        <v>5995</v>
      </c>
    </row>
    <row r="2830" spans="1:17" x14ac:dyDescent="0.3">
      <c r="A2830" t="s">
        <v>4664</v>
      </c>
      <c r="B2830" t="str">
        <f>"002146"</f>
        <v>002146</v>
      </c>
      <c r="C2830" t="s">
        <v>5996</v>
      </c>
      <c r="D2830" t="s">
        <v>104</v>
      </c>
      <c r="F2830">
        <v>57513795476</v>
      </c>
      <c r="G2830">
        <v>47792659666</v>
      </c>
      <c r="H2830">
        <v>48285122517</v>
      </c>
      <c r="I2830">
        <v>49262632828</v>
      </c>
      <c r="J2830">
        <v>41441826323</v>
      </c>
      <c r="K2830">
        <v>30520362399</v>
      </c>
      <c r="L2830">
        <v>15555000467</v>
      </c>
      <c r="M2830">
        <v>17837889707</v>
      </c>
      <c r="N2830">
        <v>16280745331</v>
      </c>
      <c r="O2830">
        <v>10873402650</v>
      </c>
      <c r="P2830">
        <v>12588</v>
      </c>
      <c r="Q2830" t="s">
        <v>5997</v>
      </c>
    </row>
    <row r="2831" spans="1:17" x14ac:dyDescent="0.3">
      <c r="A2831" t="s">
        <v>4664</v>
      </c>
      <c r="B2831" t="str">
        <f>"002147"</f>
        <v>002147</v>
      </c>
      <c r="C2831" t="s">
        <v>5998</v>
      </c>
      <c r="D2831" t="s">
        <v>560</v>
      </c>
      <c r="F2831">
        <v>1106383980</v>
      </c>
      <c r="G2831">
        <v>719761718</v>
      </c>
      <c r="H2831">
        <v>769453759</v>
      </c>
      <c r="I2831">
        <v>1782925836</v>
      </c>
      <c r="J2831">
        <v>1975858647</v>
      </c>
      <c r="K2831">
        <v>1155718056</v>
      </c>
      <c r="L2831">
        <v>137158892</v>
      </c>
      <c r="M2831">
        <v>178541355</v>
      </c>
      <c r="N2831">
        <v>114128078</v>
      </c>
      <c r="O2831">
        <v>176240265</v>
      </c>
      <c r="P2831">
        <v>94</v>
      </c>
      <c r="Q2831" t="s">
        <v>5999</v>
      </c>
    </row>
    <row r="2832" spans="1:17" x14ac:dyDescent="0.3">
      <c r="A2832" t="s">
        <v>4664</v>
      </c>
      <c r="B2832" t="str">
        <f>"002148"</f>
        <v>002148</v>
      </c>
      <c r="C2832" t="s">
        <v>6000</v>
      </c>
      <c r="D2832" t="s">
        <v>5597</v>
      </c>
      <c r="F2832">
        <v>234192988</v>
      </c>
      <c r="G2832">
        <v>125548850</v>
      </c>
      <c r="H2832">
        <v>177289041</v>
      </c>
      <c r="I2832">
        <v>203053206</v>
      </c>
      <c r="J2832">
        <v>480224982</v>
      </c>
      <c r="K2832">
        <v>288789908</v>
      </c>
      <c r="L2832">
        <v>173308135</v>
      </c>
      <c r="M2832">
        <v>170390428</v>
      </c>
      <c r="N2832">
        <v>208447441</v>
      </c>
      <c r="O2832">
        <v>156562028</v>
      </c>
      <c r="P2832">
        <v>103</v>
      </c>
      <c r="Q2832" t="s">
        <v>6001</v>
      </c>
    </row>
    <row r="2833" spans="1:17" x14ac:dyDescent="0.3">
      <c r="A2833" t="s">
        <v>4664</v>
      </c>
      <c r="B2833" t="str">
        <f>"002149"</f>
        <v>002149</v>
      </c>
      <c r="C2833" t="s">
        <v>6002</v>
      </c>
      <c r="D2833" t="s">
        <v>636</v>
      </c>
      <c r="F2833">
        <v>924605653</v>
      </c>
      <c r="G2833">
        <v>843514102</v>
      </c>
      <c r="H2833">
        <v>892775787</v>
      </c>
      <c r="I2833">
        <v>619526790</v>
      </c>
      <c r="J2833">
        <v>522380768</v>
      </c>
      <c r="K2833">
        <v>517008783</v>
      </c>
      <c r="L2833">
        <v>624810499</v>
      </c>
      <c r="M2833">
        <v>642361142</v>
      </c>
      <c r="N2833">
        <v>613355946</v>
      </c>
      <c r="O2833">
        <v>615839986</v>
      </c>
      <c r="P2833">
        <v>259</v>
      </c>
      <c r="Q2833" t="s">
        <v>6003</v>
      </c>
    </row>
    <row r="2834" spans="1:17" x14ac:dyDescent="0.3">
      <c r="A2834" t="s">
        <v>4664</v>
      </c>
      <c r="B2834" t="str">
        <f>"002150"</f>
        <v>002150</v>
      </c>
      <c r="C2834" t="s">
        <v>6004</v>
      </c>
      <c r="D2834" t="s">
        <v>274</v>
      </c>
      <c r="F2834">
        <v>1231724518</v>
      </c>
      <c r="G2834">
        <v>999683156</v>
      </c>
      <c r="H2834">
        <v>1104787369</v>
      </c>
      <c r="I2834">
        <v>959516211</v>
      </c>
      <c r="J2834">
        <v>977444819</v>
      </c>
      <c r="K2834">
        <v>762151264</v>
      </c>
      <c r="L2834">
        <v>750821955</v>
      </c>
      <c r="M2834">
        <v>735363977</v>
      </c>
      <c r="N2834">
        <v>753259717</v>
      </c>
      <c r="O2834">
        <v>695933084</v>
      </c>
      <c r="P2834">
        <v>103</v>
      </c>
      <c r="Q2834" t="s">
        <v>6005</v>
      </c>
    </row>
    <row r="2835" spans="1:17" x14ac:dyDescent="0.3">
      <c r="A2835" t="s">
        <v>4664</v>
      </c>
      <c r="B2835" t="str">
        <f>"002151"</f>
        <v>002151</v>
      </c>
      <c r="C2835" t="s">
        <v>6006</v>
      </c>
      <c r="D2835" t="s">
        <v>1136</v>
      </c>
      <c r="F2835">
        <v>2998116252</v>
      </c>
      <c r="G2835">
        <v>2680681936</v>
      </c>
      <c r="H2835">
        <v>1921573283</v>
      </c>
      <c r="I2835">
        <v>2164701709</v>
      </c>
      <c r="J2835">
        <v>1093785142</v>
      </c>
      <c r="K2835">
        <v>839547160</v>
      </c>
      <c r="L2835">
        <v>635632021</v>
      </c>
      <c r="M2835">
        <v>657458507</v>
      </c>
      <c r="N2835">
        <v>455675249</v>
      </c>
      <c r="O2835">
        <v>358500183</v>
      </c>
      <c r="P2835">
        <v>3423</v>
      </c>
      <c r="Q2835" t="s">
        <v>6007</v>
      </c>
    </row>
    <row r="2836" spans="1:17" x14ac:dyDescent="0.3">
      <c r="A2836" t="s">
        <v>4664</v>
      </c>
      <c r="B2836" t="str">
        <f>"002152"</f>
        <v>002152</v>
      </c>
      <c r="C2836" t="s">
        <v>6008</v>
      </c>
      <c r="D2836" t="s">
        <v>236</v>
      </c>
      <c r="F2836">
        <v>4192403395</v>
      </c>
      <c r="G2836">
        <v>3980319937</v>
      </c>
      <c r="H2836">
        <v>3628665384</v>
      </c>
      <c r="I2836">
        <v>3290668735</v>
      </c>
      <c r="J2836">
        <v>2791946374</v>
      </c>
      <c r="K2836">
        <v>2366655659</v>
      </c>
      <c r="L2836">
        <v>2061746840</v>
      </c>
      <c r="M2836">
        <v>1989606134</v>
      </c>
      <c r="N2836">
        <v>1406409540</v>
      </c>
      <c r="O2836">
        <v>1278979986</v>
      </c>
      <c r="P2836">
        <v>16880</v>
      </c>
      <c r="Q2836" t="s">
        <v>6009</v>
      </c>
    </row>
    <row r="2837" spans="1:17" x14ac:dyDescent="0.3">
      <c r="A2837" t="s">
        <v>4664</v>
      </c>
      <c r="B2837" t="str">
        <f>"002153"</f>
        <v>002153</v>
      </c>
      <c r="C2837" t="s">
        <v>6010</v>
      </c>
      <c r="D2837" t="s">
        <v>945</v>
      </c>
      <c r="F2837">
        <v>2387942608</v>
      </c>
      <c r="G2837">
        <v>2493641239</v>
      </c>
      <c r="H2837">
        <v>2585404375</v>
      </c>
      <c r="I2837">
        <v>2443696293</v>
      </c>
      <c r="J2837">
        <v>2301849075</v>
      </c>
      <c r="K2837">
        <v>2005908046</v>
      </c>
      <c r="L2837">
        <v>1525612864</v>
      </c>
      <c r="M2837">
        <v>1845039055</v>
      </c>
      <c r="N2837">
        <v>641133084</v>
      </c>
      <c r="O2837">
        <v>622654245</v>
      </c>
      <c r="P2837">
        <v>679</v>
      </c>
      <c r="Q2837" t="s">
        <v>6011</v>
      </c>
    </row>
    <row r="2838" spans="1:17" x14ac:dyDescent="0.3">
      <c r="A2838" t="s">
        <v>4664</v>
      </c>
      <c r="B2838" t="str">
        <f>"002154"</f>
        <v>002154</v>
      </c>
      <c r="C2838" t="s">
        <v>6012</v>
      </c>
      <c r="D2838" t="s">
        <v>255</v>
      </c>
      <c r="F2838">
        <v>2706583169</v>
      </c>
      <c r="G2838">
        <v>2147147030</v>
      </c>
      <c r="H2838">
        <v>2178325604</v>
      </c>
      <c r="I2838">
        <v>2178833631</v>
      </c>
      <c r="J2838">
        <v>1804332944</v>
      </c>
      <c r="K2838">
        <v>1405884463</v>
      </c>
      <c r="L2838">
        <v>1437272550</v>
      </c>
      <c r="M2838">
        <v>1566795169</v>
      </c>
      <c r="N2838">
        <v>1451362794</v>
      </c>
      <c r="O2838">
        <v>1679524386</v>
      </c>
      <c r="P2838">
        <v>204</v>
      </c>
      <c r="Q2838" t="s">
        <v>6013</v>
      </c>
    </row>
    <row r="2839" spans="1:17" x14ac:dyDescent="0.3">
      <c r="A2839" t="s">
        <v>4664</v>
      </c>
      <c r="B2839" t="str">
        <f>"002155"</f>
        <v>002155</v>
      </c>
      <c r="C2839" t="s">
        <v>6014</v>
      </c>
      <c r="D2839" t="s">
        <v>701</v>
      </c>
      <c r="F2839">
        <v>14040799704</v>
      </c>
      <c r="G2839">
        <v>11066645066</v>
      </c>
      <c r="H2839">
        <v>11563457660</v>
      </c>
      <c r="I2839">
        <v>9728878390</v>
      </c>
      <c r="J2839">
        <v>8010438980</v>
      </c>
      <c r="K2839">
        <v>5095081578</v>
      </c>
      <c r="L2839">
        <v>4058665564</v>
      </c>
      <c r="M2839">
        <v>3967713084</v>
      </c>
      <c r="N2839">
        <v>3981277446</v>
      </c>
      <c r="O2839">
        <v>3738639900</v>
      </c>
      <c r="P2839">
        <v>219</v>
      </c>
      <c r="Q2839" t="s">
        <v>6015</v>
      </c>
    </row>
    <row r="2840" spans="1:17" x14ac:dyDescent="0.3">
      <c r="A2840" t="s">
        <v>4664</v>
      </c>
      <c r="B2840" t="str">
        <f>"002156"</f>
        <v>002156</v>
      </c>
      <c r="C2840" t="s">
        <v>6016</v>
      </c>
      <c r="D2840" t="s">
        <v>1180</v>
      </c>
      <c r="F2840">
        <v>10965182291</v>
      </c>
      <c r="G2840">
        <v>6838687078</v>
      </c>
      <c r="H2840">
        <v>5343727771</v>
      </c>
      <c r="I2840">
        <v>4775210986</v>
      </c>
      <c r="J2840">
        <v>4119520754</v>
      </c>
      <c r="K2840">
        <v>2761394540</v>
      </c>
      <c r="L2840">
        <v>1538830060</v>
      </c>
      <c r="M2840">
        <v>1296859105</v>
      </c>
      <c r="N2840">
        <v>1174680681</v>
      </c>
      <c r="O2840">
        <v>947154560</v>
      </c>
      <c r="P2840">
        <v>770</v>
      </c>
      <c r="Q2840" t="s">
        <v>6017</v>
      </c>
    </row>
    <row r="2841" spans="1:17" x14ac:dyDescent="0.3">
      <c r="A2841" t="s">
        <v>4664</v>
      </c>
      <c r="B2841" t="str">
        <f>"002157"</f>
        <v>002157</v>
      </c>
      <c r="C2841" t="s">
        <v>6018</v>
      </c>
      <c r="D2841" t="s">
        <v>1894</v>
      </c>
      <c r="F2841">
        <v>40149196018</v>
      </c>
      <c r="G2841">
        <v>32689425994</v>
      </c>
      <c r="H2841">
        <v>17718458389</v>
      </c>
      <c r="I2841">
        <v>17319470406</v>
      </c>
      <c r="J2841">
        <v>14574580681</v>
      </c>
      <c r="K2841">
        <v>13720451567</v>
      </c>
      <c r="L2841">
        <v>12834243646</v>
      </c>
      <c r="M2841">
        <v>12196600430</v>
      </c>
      <c r="N2841">
        <v>11283842600</v>
      </c>
      <c r="O2841">
        <v>10244732631</v>
      </c>
      <c r="P2841">
        <v>1128</v>
      </c>
      <c r="Q2841" t="s">
        <v>6019</v>
      </c>
    </row>
    <row r="2842" spans="1:17" x14ac:dyDescent="0.3">
      <c r="A2842" t="s">
        <v>4664</v>
      </c>
      <c r="B2842" t="str">
        <f>"002158"</f>
        <v>002158</v>
      </c>
      <c r="C2842" t="s">
        <v>6020</v>
      </c>
      <c r="D2842" t="s">
        <v>988</v>
      </c>
      <c r="F2842">
        <v>1780130638</v>
      </c>
      <c r="G2842">
        <v>1180772965</v>
      </c>
      <c r="H2842">
        <v>1088704476</v>
      </c>
      <c r="I2842">
        <v>896589832</v>
      </c>
      <c r="J2842">
        <v>694961305</v>
      </c>
      <c r="K2842">
        <v>621671590</v>
      </c>
      <c r="L2842">
        <v>484827899</v>
      </c>
      <c r="M2842">
        <v>563690839</v>
      </c>
      <c r="N2842">
        <v>451114629</v>
      </c>
      <c r="O2842">
        <v>434863349</v>
      </c>
      <c r="P2842">
        <v>478</v>
      </c>
      <c r="Q2842" t="s">
        <v>6021</v>
      </c>
    </row>
    <row r="2843" spans="1:17" x14ac:dyDescent="0.3">
      <c r="A2843" t="s">
        <v>4664</v>
      </c>
      <c r="B2843" t="str">
        <f>"002159"</f>
        <v>002159</v>
      </c>
      <c r="C2843" t="s">
        <v>6022</v>
      </c>
      <c r="D2843" t="s">
        <v>119</v>
      </c>
      <c r="F2843">
        <v>367023274</v>
      </c>
      <c r="G2843">
        <v>273827624</v>
      </c>
      <c r="H2843">
        <v>549469227</v>
      </c>
      <c r="I2843">
        <v>529184626</v>
      </c>
      <c r="J2843">
        <v>410208599</v>
      </c>
      <c r="K2843">
        <v>354890017</v>
      </c>
      <c r="L2843">
        <v>335775790</v>
      </c>
      <c r="M2843">
        <v>289409702</v>
      </c>
      <c r="N2843">
        <v>263529672</v>
      </c>
      <c r="O2843">
        <v>290441542</v>
      </c>
      <c r="P2843">
        <v>119</v>
      </c>
      <c r="Q2843" t="s">
        <v>6023</v>
      </c>
    </row>
    <row r="2844" spans="1:17" x14ac:dyDescent="0.3">
      <c r="A2844" t="s">
        <v>4664</v>
      </c>
      <c r="B2844" t="str">
        <f>"002160"</f>
        <v>002160</v>
      </c>
      <c r="C2844" t="s">
        <v>6024</v>
      </c>
      <c r="D2844" t="s">
        <v>504</v>
      </c>
      <c r="F2844">
        <v>5036999404</v>
      </c>
      <c r="G2844">
        <v>3224709836</v>
      </c>
      <c r="H2844">
        <v>3205683758</v>
      </c>
      <c r="I2844">
        <v>3239860591</v>
      </c>
      <c r="J2844">
        <v>2870035488</v>
      </c>
      <c r="K2844">
        <v>2057868121</v>
      </c>
      <c r="L2844">
        <v>1896252854</v>
      </c>
      <c r="M2844">
        <v>1359505717</v>
      </c>
      <c r="N2844">
        <v>1485609500</v>
      </c>
      <c r="O2844">
        <v>1600065394</v>
      </c>
      <c r="P2844">
        <v>166</v>
      </c>
      <c r="Q2844" t="s">
        <v>6025</v>
      </c>
    </row>
    <row r="2845" spans="1:17" x14ac:dyDescent="0.3">
      <c r="A2845" t="s">
        <v>4664</v>
      </c>
      <c r="B2845" t="str">
        <f>"002161"</f>
        <v>002161</v>
      </c>
      <c r="C2845" t="s">
        <v>6026</v>
      </c>
      <c r="D2845" t="s">
        <v>651</v>
      </c>
      <c r="F2845">
        <v>353243783</v>
      </c>
      <c r="G2845">
        <v>348926226</v>
      </c>
      <c r="H2845">
        <v>384083924</v>
      </c>
      <c r="I2845">
        <v>332043155</v>
      </c>
      <c r="J2845">
        <v>382059087</v>
      </c>
      <c r="K2845">
        <v>324255043</v>
      </c>
      <c r="L2845">
        <v>383539999</v>
      </c>
      <c r="M2845">
        <v>418901786</v>
      </c>
      <c r="N2845">
        <v>392952287</v>
      </c>
      <c r="O2845">
        <v>225276694</v>
      </c>
      <c r="P2845">
        <v>211</v>
      </c>
      <c r="Q2845" t="s">
        <v>6027</v>
      </c>
    </row>
    <row r="2846" spans="1:17" x14ac:dyDescent="0.3">
      <c r="A2846" t="s">
        <v>4664</v>
      </c>
      <c r="B2846" t="str">
        <f>"002162"</f>
        <v>002162</v>
      </c>
      <c r="C2846" t="s">
        <v>6028</v>
      </c>
      <c r="D2846" t="s">
        <v>178</v>
      </c>
      <c r="F2846">
        <v>936608371</v>
      </c>
      <c r="G2846">
        <v>797218953</v>
      </c>
      <c r="H2846">
        <v>859672618</v>
      </c>
      <c r="I2846">
        <v>728508634</v>
      </c>
      <c r="J2846">
        <v>741691585</v>
      </c>
      <c r="K2846">
        <v>642409802</v>
      </c>
      <c r="L2846">
        <v>557303223</v>
      </c>
      <c r="M2846">
        <v>658544950</v>
      </c>
      <c r="N2846">
        <v>739722612</v>
      </c>
      <c r="O2846">
        <v>720957986</v>
      </c>
      <c r="P2846">
        <v>137</v>
      </c>
      <c r="Q2846" t="s">
        <v>6029</v>
      </c>
    </row>
    <row r="2847" spans="1:17" x14ac:dyDescent="0.3">
      <c r="A2847" t="s">
        <v>4664</v>
      </c>
      <c r="B2847" t="str">
        <f>"002163"</f>
        <v>002163</v>
      </c>
      <c r="C2847" t="s">
        <v>6030</v>
      </c>
      <c r="D2847" t="s">
        <v>666</v>
      </c>
      <c r="F2847">
        <v>2316541467</v>
      </c>
      <c r="G2847">
        <v>2804007652</v>
      </c>
      <c r="H2847">
        <v>2889557954</v>
      </c>
      <c r="I2847">
        <v>3131321916</v>
      </c>
      <c r="J2847">
        <v>2942688828</v>
      </c>
      <c r="K2847">
        <v>2655820043</v>
      </c>
      <c r="L2847">
        <v>2663493858</v>
      </c>
      <c r="M2847">
        <v>2846947829</v>
      </c>
      <c r="N2847">
        <v>2385675162</v>
      </c>
      <c r="O2847">
        <v>2171212882</v>
      </c>
      <c r="P2847">
        <v>170</v>
      </c>
      <c r="Q2847" t="s">
        <v>6031</v>
      </c>
    </row>
    <row r="2848" spans="1:17" x14ac:dyDescent="0.3">
      <c r="A2848" t="s">
        <v>4664</v>
      </c>
      <c r="B2848" t="str">
        <f>"002164"</f>
        <v>002164</v>
      </c>
      <c r="C2848" t="s">
        <v>6032</v>
      </c>
      <c r="D2848" t="s">
        <v>274</v>
      </c>
      <c r="F2848">
        <v>503419477</v>
      </c>
      <c r="G2848">
        <v>541714376</v>
      </c>
      <c r="H2848">
        <v>501723667</v>
      </c>
      <c r="I2848">
        <v>12470887833</v>
      </c>
      <c r="J2848">
        <v>5569058590</v>
      </c>
      <c r="K2848">
        <v>278708173</v>
      </c>
      <c r="L2848">
        <v>212566034</v>
      </c>
      <c r="M2848">
        <v>221071658</v>
      </c>
      <c r="N2848">
        <v>146001909</v>
      </c>
      <c r="O2848">
        <v>546084492</v>
      </c>
      <c r="P2848">
        <v>187</v>
      </c>
      <c r="Q2848" t="s">
        <v>6033</v>
      </c>
    </row>
    <row r="2849" spans="1:17" x14ac:dyDescent="0.3">
      <c r="A2849" t="s">
        <v>4664</v>
      </c>
      <c r="B2849" t="str">
        <f>"002165"</f>
        <v>002165</v>
      </c>
      <c r="C2849" t="s">
        <v>6034</v>
      </c>
      <c r="D2849" t="s">
        <v>528</v>
      </c>
      <c r="F2849">
        <v>2410659828</v>
      </c>
      <c r="G2849">
        <v>1159429410</v>
      </c>
      <c r="H2849">
        <v>1550145649</v>
      </c>
      <c r="I2849">
        <v>1536041172</v>
      </c>
      <c r="J2849">
        <v>1179653069</v>
      </c>
      <c r="K2849">
        <v>1119372120</v>
      </c>
      <c r="L2849">
        <v>1069466782</v>
      </c>
      <c r="M2849">
        <v>1451253015</v>
      </c>
      <c r="N2849">
        <v>1140977506</v>
      </c>
      <c r="O2849">
        <v>1150610275</v>
      </c>
      <c r="P2849">
        <v>100</v>
      </c>
      <c r="Q2849" t="s">
        <v>6035</v>
      </c>
    </row>
    <row r="2850" spans="1:17" x14ac:dyDescent="0.3">
      <c r="A2850" t="s">
        <v>4664</v>
      </c>
      <c r="B2850" t="str">
        <f>"002166"</f>
        <v>002166</v>
      </c>
      <c r="C2850" t="s">
        <v>6036</v>
      </c>
      <c r="D2850" t="s">
        <v>188</v>
      </c>
      <c r="F2850">
        <v>761320014</v>
      </c>
      <c r="G2850">
        <v>619274732</v>
      </c>
      <c r="H2850">
        <v>427895055</v>
      </c>
      <c r="I2850">
        <v>467468174</v>
      </c>
      <c r="J2850">
        <v>840438243</v>
      </c>
      <c r="K2850">
        <v>386725522</v>
      </c>
      <c r="L2850">
        <v>498915258</v>
      </c>
      <c r="M2850">
        <v>370388765</v>
      </c>
      <c r="N2850">
        <v>171453574</v>
      </c>
      <c r="O2850">
        <v>150237137</v>
      </c>
      <c r="P2850">
        <v>200</v>
      </c>
      <c r="Q2850" t="s">
        <v>6037</v>
      </c>
    </row>
    <row r="2851" spans="1:17" x14ac:dyDescent="0.3">
      <c r="A2851" t="s">
        <v>4664</v>
      </c>
      <c r="B2851" t="str">
        <f>"002167"</f>
        <v>002167</v>
      </c>
      <c r="C2851" t="s">
        <v>6038</v>
      </c>
      <c r="D2851" t="s">
        <v>636</v>
      </c>
      <c r="F2851">
        <v>730210172</v>
      </c>
      <c r="G2851">
        <v>479443206</v>
      </c>
      <c r="H2851">
        <v>296480154</v>
      </c>
      <c r="I2851">
        <v>713004207</v>
      </c>
      <c r="J2851">
        <v>457533461</v>
      </c>
      <c r="K2851">
        <v>487815062</v>
      </c>
      <c r="L2851">
        <v>481098089</v>
      </c>
      <c r="M2851">
        <v>508036731</v>
      </c>
      <c r="N2851">
        <v>544533420</v>
      </c>
      <c r="O2851">
        <v>485716248</v>
      </c>
      <c r="P2851">
        <v>111</v>
      </c>
      <c r="Q2851" t="s">
        <v>6039</v>
      </c>
    </row>
    <row r="2852" spans="1:17" x14ac:dyDescent="0.3">
      <c r="A2852" t="s">
        <v>4664</v>
      </c>
      <c r="B2852" t="str">
        <f>"002168"</f>
        <v>002168</v>
      </c>
      <c r="C2852" t="s">
        <v>6040</v>
      </c>
      <c r="D2852" t="s">
        <v>517</v>
      </c>
      <c r="F2852">
        <v>272608520</v>
      </c>
      <c r="G2852">
        <v>877874887</v>
      </c>
      <c r="H2852">
        <v>702617008</v>
      </c>
      <c r="I2852">
        <v>1395965354</v>
      </c>
      <c r="J2852">
        <v>250204009</v>
      </c>
      <c r="K2852">
        <v>164809948</v>
      </c>
      <c r="L2852">
        <v>162240803</v>
      </c>
      <c r="M2852">
        <v>324913629</v>
      </c>
      <c r="N2852">
        <v>289436214</v>
      </c>
      <c r="O2852">
        <v>244474559</v>
      </c>
      <c r="P2852">
        <v>158</v>
      </c>
      <c r="Q2852" t="s">
        <v>6041</v>
      </c>
    </row>
    <row r="2853" spans="1:17" x14ac:dyDescent="0.3">
      <c r="A2853" t="s">
        <v>4664</v>
      </c>
      <c r="B2853" t="str">
        <f>"002169"</f>
        <v>002169</v>
      </c>
      <c r="C2853" t="s">
        <v>6042</v>
      </c>
      <c r="D2853" t="s">
        <v>610</v>
      </c>
      <c r="F2853">
        <v>1411355494</v>
      </c>
      <c r="G2853">
        <v>1568530726</v>
      </c>
      <c r="H2853">
        <v>1539349803</v>
      </c>
      <c r="I2853">
        <v>1566220930</v>
      </c>
      <c r="J2853">
        <v>966833201</v>
      </c>
      <c r="K2853">
        <v>690171732</v>
      </c>
      <c r="L2853">
        <v>313213561</v>
      </c>
      <c r="M2853">
        <v>259833648</v>
      </c>
      <c r="N2853">
        <v>212204860</v>
      </c>
      <c r="O2853">
        <v>207330013</v>
      </c>
      <c r="P2853">
        <v>219</v>
      </c>
      <c r="Q2853" t="s">
        <v>6043</v>
      </c>
    </row>
    <row r="2854" spans="1:17" x14ac:dyDescent="0.3">
      <c r="A2854" t="s">
        <v>4664</v>
      </c>
      <c r="B2854" t="str">
        <f>"002170"</f>
        <v>002170</v>
      </c>
      <c r="C2854" t="s">
        <v>6044</v>
      </c>
      <c r="D2854" t="s">
        <v>5489</v>
      </c>
      <c r="F2854">
        <v>1904792961</v>
      </c>
      <c r="G2854">
        <v>1867756776</v>
      </c>
      <c r="H2854">
        <v>1879219720</v>
      </c>
      <c r="I2854">
        <v>1787277912</v>
      </c>
      <c r="J2854">
        <v>1622035755</v>
      </c>
      <c r="K2854">
        <v>1608195395</v>
      </c>
      <c r="L2854">
        <v>1847824336</v>
      </c>
      <c r="M2854">
        <v>1862230212</v>
      </c>
      <c r="N2854">
        <v>1667197931</v>
      </c>
      <c r="O2854">
        <v>1783286453</v>
      </c>
      <c r="P2854">
        <v>103</v>
      </c>
      <c r="Q2854" t="s">
        <v>6045</v>
      </c>
    </row>
    <row r="2855" spans="1:17" x14ac:dyDescent="0.3">
      <c r="A2855" t="s">
        <v>4664</v>
      </c>
      <c r="B2855" t="str">
        <f>"002171"</f>
        <v>002171</v>
      </c>
      <c r="C2855" t="s">
        <v>6046</v>
      </c>
      <c r="D2855" t="s">
        <v>263</v>
      </c>
      <c r="F2855">
        <v>29644082291</v>
      </c>
      <c r="G2855">
        <v>18848278873</v>
      </c>
      <c r="H2855">
        <v>12782238886</v>
      </c>
      <c r="I2855">
        <v>11077483866</v>
      </c>
      <c r="J2855">
        <v>8741427789</v>
      </c>
      <c r="K2855">
        <v>6365888367</v>
      </c>
      <c r="L2855">
        <v>6831363618</v>
      </c>
      <c r="M2855">
        <v>6980407096</v>
      </c>
      <c r="N2855">
        <v>3330116005</v>
      </c>
      <c r="O2855">
        <v>2646516570</v>
      </c>
      <c r="P2855">
        <v>237</v>
      </c>
      <c r="Q2855" t="s">
        <v>6047</v>
      </c>
    </row>
    <row r="2856" spans="1:17" x14ac:dyDescent="0.3">
      <c r="A2856" t="s">
        <v>4664</v>
      </c>
      <c r="B2856" t="str">
        <f>"002172"</f>
        <v>002172</v>
      </c>
      <c r="C2856" t="s">
        <v>6048</v>
      </c>
      <c r="D2856" t="s">
        <v>888</v>
      </c>
      <c r="F2856">
        <v>1460009032</v>
      </c>
      <c r="G2856">
        <v>1008479210</v>
      </c>
      <c r="H2856">
        <v>1870755530</v>
      </c>
      <c r="I2856">
        <v>1852205433</v>
      </c>
      <c r="J2856">
        <v>2836502049</v>
      </c>
      <c r="K2856">
        <v>2653287010</v>
      </c>
      <c r="L2856">
        <v>2058073958</v>
      </c>
      <c r="M2856">
        <v>878114349</v>
      </c>
      <c r="N2856">
        <v>2806070701</v>
      </c>
      <c r="O2856">
        <v>2963467166</v>
      </c>
      <c r="P2856">
        <v>141</v>
      </c>
      <c r="Q2856" t="s">
        <v>6049</v>
      </c>
    </row>
    <row r="2857" spans="1:17" x14ac:dyDescent="0.3">
      <c r="A2857" t="s">
        <v>4664</v>
      </c>
      <c r="B2857" t="str">
        <f>"002173"</f>
        <v>002173</v>
      </c>
      <c r="C2857" t="s">
        <v>6050</v>
      </c>
      <c r="D2857" t="s">
        <v>1147</v>
      </c>
      <c r="F2857">
        <v>544429431</v>
      </c>
      <c r="G2857">
        <v>584078171</v>
      </c>
      <c r="H2857">
        <v>695259057</v>
      </c>
      <c r="I2857">
        <v>699641757</v>
      </c>
      <c r="J2857">
        <v>611810214</v>
      </c>
      <c r="K2857">
        <v>498307473</v>
      </c>
      <c r="L2857">
        <v>129763005</v>
      </c>
      <c r="M2857">
        <v>177076169</v>
      </c>
      <c r="N2857">
        <v>235665428</v>
      </c>
      <c r="O2857">
        <v>280375373</v>
      </c>
      <c r="P2857">
        <v>125</v>
      </c>
      <c r="Q2857" t="s">
        <v>6051</v>
      </c>
    </row>
    <row r="2858" spans="1:17" x14ac:dyDescent="0.3">
      <c r="A2858" t="s">
        <v>4664</v>
      </c>
      <c r="B2858" t="str">
        <f>"002174"</f>
        <v>002174</v>
      </c>
      <c r="C2858" t="s">
        <v>6052</v>
      </c>
      <c r="D2858" t="s">
        <v>517</v>
      </c>
      <c r="F2858">
        <v>3129774592</v>
      </c>
      <c r="G2858">
        <v>3943524794</v>
      </c>
      <c r="H2858">
        <v>2600436245</v>
      </c>
      <c r="I2858">
        <v>2404351050</v>
      </c>
      <c r="J2858">
        <v>2609297972</v>
      </c>
      <c r="K2858">
        <v>1679645550</v>
      </c>
      <c r="L2858">
        <v>1277443438</v>
      </c>
      <c r="M2858">
        <v>579938952</v>
      </c>
      <c r="N2858">
        <v>885210984</v>
      </c>
      <c r="O2858">
        <v>629461562</v>
      </c>
      <c r="P2858">
        <v>736</v>
      </c>
      <c r="Q2858" t="s">
        <v>6053</v>
      </c>
    </row>
    <row r="2859" spans="1:17" x14ac:dyDescent="0.3">
      <c r="A2859" t="s">
        <v>4664</v>
      </c>
      <c r="B2859" t="str">
        <f>"002175"</f>
        <v>002175</v>
      </c>
      <c r="C2859" t="s">
        <v>6054</v>
      </c>
      <c r="D2859" t="s">
        <v>110</v>
      </c>
      <c r="F2859">
        <v>186311964</v>
      </c>
      <c r="G2859">
        <v>155310378</v>
      </c>
      <c r="H2859">
        <v>183132532</v>
      </c>
      <c r="I2859">
        <v>204576234</v>
      </c>
      <c r="J2859">
        <v>318740909</v>
      </c>
      <c r="K2859">
        <v>387223714</v>
      </c>
      <c r="L2859">
        <v>214756309</v>
      </c>
      <c r="M2859">
        <v>176170800</v>
      </c>
      <c r="N2859">
        <v>129773425</v>
      </c>
      <c r="O2859">
        <v>138477208</v>
      </c>
      <c r="P2859">
        <v>79</v>
      </c>
      <c r="Q2859" t="s">
        <v>6055</v>
      </c>
    </row>
    <row r="2860" spans="1:17" x14ac:dyDescent="0.3">
      <c r="A2860" t="s">
        <v>4664</v>
      </c>
      <c r="B2860" t="str">
        <f>"002176"</f>
        <v>002176</v>
      </c>
      <c r="C2860" t="s">
        <v>6056</v>
      </c>
      <c r="D2860" t="s">
        <v>1171</v>
      </c>
      <c r="F2860">
        <v>1621203122</v>
      </c>
      <c r="G2860">
        <v>1000342199</v>
      </c>
      <c r="H2860">
        <v>2166964046</v>
      </c>
      <c r="I2860">
        <v>1362688634</v>
      </c>
      <c r="J2860">
        <v>1356666737</v>
      </c>
      <c r="K2860">
        <v>1751819414</v>
      </c>
      <c r="L2860">
        <v>335224204</v>
      </c>
      <c r="M2860">
        <v>334022043</v>
      </c>
      <c r="N2860">
        <v>276937680</v>
      </c>
      <c r="O2860">
        <v>225630544</v>
      </c>
      <c r="P2860">
        <v>317</v>
      </c>
      <c r="Q2860" t="s">
        <v>6057</v>
      </c>
    </row>
    <row r="2861" spans="1:17" x14ac:dyDescent="0.3">
      <c r="A2861" t="s">
        <v>4664</v>
      </c>
      <c r="B2861" t="str">
        <f>"002177"</f>
        <v>002177</v>
      </c>
      <c r="C2861" t="s">
        <v>6058</v>
      </c>
      <c r="D2861" t="s">
        <v>236</v>
      </c>
      <c r="F2861">
        <v>73293160</v>
      </c>
      <c r="G2861">
        <v>124887620</v>
      </c>
      <c r="H2861">
        <v>185114045</v>
      </c>
      <c r="I2861">
        <v>276867665</v>
      </c>
      <c r="J2861">
        <v>348559319</v>
      </c>
      <c r="K2861">
        <v>756828079</v>
      </c>
      <c r="L2861">
        <v>565251452</v>
      </c>
      <c r="M2861">
        <v>509317919</v>
      </c>
      <c r="N2861">
        <v>484028059</v>
      </c>
      <c r="O2861">
        <v>518359243</v>
      </c>
      <c r="P2861">
        <v>3025</v>
      </c>
      <c r="Q2861" t="s">
        <v>6059</v>
      </c>
    </row>
    <row r="2862" spans="1:17" x14ac:dyDescent="0.3">
      <c r="A2862" t="s">
        <v>4664</v>
      </c>
      <c r="B2862" t="str">
        <f>"002178"</f>
        <v>002178</v>
      </c>
      <c r="C2862" t="s">
        <v>6060</v>
      </c>
      <c r="D2862" t="s">
        <v>945</v>
      </c>
      <c r="F2862">
        <v>541285435</v>
      </c>
      <c r="G2862">
        <v>529825098</v>
      </c>
      <c r="H2862">
        <v>653686176</v>
      </c>
      <c r="I2862">
        <v>800246416</v>
      </c>
      <c r="J2862">
        <v>937631817</v>
      </c>
      <c r="K2862">
        <v>624635483</v>
      </c>
      <c r="L2862">
        <v>485424571</v>
      </c>
      <c r="M2862">
        <v>403619616</v>
      </c>
      <c r="N2862">
        <v>443225963</v>
      </c>
      <c r="O2862">
        <v>320887589</v>
      </c>
      <c r="P2862">
        <v>89</v>
      </c>
      <c r="Q2862" t="s">
        <v>6061</v>
      </c>
    </row>
    <row r="2863" spans="1:17" x14ac:dyDescent="0.3">
      <c r="A2863" t="s">
        <v>4664</v>
      </c>
      <c r="B2863" t="str">
        <f>"002179"</f>
        <v>002179</v>
      </c>
      <c r="C2863" t="s">
        <v>6062</v>
      </c>
      <c r="D2863" t="s">
        <v>1136</v>
      </c>
      <c r="F2863">
        <v>8236574528</v>
      </c>
      <c r="G2863">
        <v>5551537270</v>
      </c>
      <c r="H2863">
        <v>4941282803</v>
      </c>
      <c r="I2863">
        <v>4137603920</v>
      </c>
      <c r="J2863">
        <v>3581890969</v>
      </c>
      <c r="K2863">
        <v>3245318394</v>
      </c>
      <c r="L2863">
        <v>2596297596</v>
      </c>
      <c r="M2863">
        <v>1718697727</v>
      </c>
      <c r="N2863">
        <v>1206437614</v>
      </c>
      <c r="O2863">
        <v>1066082755</v>
      </c>
      <c r="P2863">
        <v>1738</v>
      </c>
      <c r="Q2863" t="s">
        <v>6063</v>
      </c>
    </row>
    <row r="2864" spans="1:17" x14ac:dyDescent="0.3">
      <c r="A2864" t="s">
        <v>4664</v>
      </c>
      <c r="B2864" t="str">
        <f>"002180"</f>
        <v>002180</v>
      </c>
      <c r="C2864" t="s">
        <v>6064</v>
      </c>
      <c r="D2864" t="s">
        <v>461</v>
      </c>
      <c r="F2864">
        <v>13918635901</v>
      </c>
      <c r="G2864">
        <v>14926532832</v>
      </c>
      <c r="H2864">
        <v>16322714934</v>
      </c>
      <c r="I2864">
        <v>15609967104</v>
      </c>
      <c r="J2864">
        <v>16215047890</v>
      </c>
      <c r="K2864">
        <v>2356342463</v>
      </c>
      <c r="L2864">
        <v>1433447922</v>
      </c>
      <c r="M2864">
        <v>368730655</v>
      </c>
      <c r="N2864">
        <v>84820434</v>
      </c>
      <c r="O2864">
        <v>84577165</v>
      </c>
      <c r="P2864">
        <v>472</v>
      </c>
      <c r="Q2864" t="s">
        <v>6065</v>
      </c>
    </row>
    <row r="2865" spans="1:17" x14ac:dyDescent="0.3">
      <c r="A2865" t="s">
        <v>4664</v>
      </c>
      <c r="B2865" t="str">
        <f>"002181"</f>
        <v>002181</v>
      </c>
      <c r="C2865" t="s">
        <v>6066</v>
      </c>
      <c r="D2865" t="s">
        <v>525</v>
      </c>
      <c r="F2865">
        <v>352302411</v>
      </c>
      <c r="G2865">
        <v>336984932</v>
      </c>
      <c r="H2865">
        <v>456656002</v>
      </c>
      <c r="I2865">
        <v>582404739</v>
      </c>
      <c r="J2865">
        <v>649690220</v>
      </c>
      <c r="K2865">
        <v>704596793</v>
      </c>
      <c r="L2865">
        <v>906248121</v>
      </c>
      <c r="M2865">
        <v>985324049</v>
      </c>
      <c r="N2865">
        <v>1149492128</v>
      </c>
      <c r="O2865">
        <v>1279497750</v>
      </c>
      <c r="P2865">
        <v>107</v>
      </c>
      <c r="Q2865" t="s">
        <v>6067</v>
      </c>
    </row>
    <row r="2866" spans="1:17" x14ac:dyDescent="0.3">
      <c r="A2866" t="s">
        <v>4664</v>
      </c>
      <c r="B2866" t="str">
        <f>"002182"</f>
        <v>002182</v>
      </c>
      <c r="C2866" t="s">
        <v>6068</v>
      </c>
      <c r="D2866" t="s">
        <v>636</v>
      </c>
      <c r="F2866">
        <v>5285369267</v>
      </c>
      <c r="G2866">
        <v>3319423375</v>
      </c>
      <c r="H2866">
        <v>3179553884</v>
      </c>
      <c r="I2866">
        <v>2296200768</v>
      </c>
      <c r="J2866">
        <v>2557687442</v>
      </c>
      <c r="K2866">
        <v>2081234140</v>
      </c>
      <c r="L2866">
        <v>1824083619</v>
      </c>
      <c r="M2866">
        <v>2380358460</v>
      </c>
      <c r="N2866">
        <v>2939575390</v>
      </c>
      <c r="O2866">
        <v>2514510325</v>
      </c>
      <c r="P2866">
        <v>372</v>
      </c>
      <c r="Q2866" t="s">
        <v>6069</v>
      </c>
    </row>
    <row r="2867" spans="1:17" x14ac:dyDescent="0.3">
      <c r="A2867" t="s">
        <v>4664</v>
      </c>
      <c r="B2867" t="str">
        <f>"002183"</f>
        <v>002183</v>
      </c>
      <c r="C2867" t="s">
        <v>6070</v>
      </c>
      <c r="D2867" t="s">
        <v>3098</v>
      </c>
      <c r="F2867">
        <v>59803193350</v>
      </c>
      <c r="G2867">
        <v>49982627045</v>
      </c>
      <c r="H2867">
        <v>53841975318</v>
      </c>
      <c r="I2867">
        <v>61587799670</v>
      </c>
      <c r="J2867">
        <v>52221303925</v>
      </c>
      <c r="K2867">
        <v>40396388954</v>
      </c>
      <c r="L2867">
        <v>23218410303</v>
      </c>
      <c r="M2867">
        <v>17825259484</v>
      </c>
      <c r="N2867">
        <v>7356440009</v>
      </c>
      <c r="O2867">
        <v>5466753776</v>
      </c>
      <c r="P2867">
        <v>261</v>
      </c>
      <c r="Q2867" t="s">
        <v>6071</v>
      </c>
    </row>
    <row r="2868" spans="1:17" x14ac:dyDescent="0.3">
      <c r="A2868" t="s">
        <v>4664</v>
      </c>
      <c r="B2868" t="str">
        <f>"002184"</f>
        <v>002184</v>
      </c>
      <c r="C2868" t="s">
        <v>6072</v>
      </c>
      <c r="D2868" t="s">
        <v>2423</v>
      </c>
      <c r="F2868">
        <v>1816608438</v>
      </c>
      <c r="G2868">
        <v>1262542543</v>
      </c>
      <c r="H2868">
        <v>1582446470</v>
      </c>
      <c r="I2868">
        <v>1397066425</v>
      </c>
      <c r="J2868">
        <v>1367821464</v>
      </c>
      <c r="K2868">
        <v>1342800043</v>
      </c>
      <c r="L2868">
        <v>1032882863</v>
      </c>
      <c r="M2868">
        <v>972603414</v>
      </c>
      <c r="N2868">
        <v>975461828</v>
      </c>
      <c r="O2868">
        <v>784393012</v>
      </c>
      <c r="P2868">
        <v>186</v>
      </c>
      <c r="Q2868" t="s">
        <v>6073</v>
      </c>
    </row>
    <row r="2869" spans="1:17" x14ac:dyDescent="0.3">
      <c r="A2869" t="s">
        <v>4664</v>
      </c>
      <c r="B2869" t="str">
        <f>"002185"</f>
        <v>002185</v>
      </c>
      <c r="C2869" t="s">
        <v>6074</v>
      </c>
      <c r="D2869" t="s">
        <v>1180</v>
      </c>
      <c r="F2869">
        <v>7731809308</v>
      </c>
      <c r="G2869">
        <v>5217439343</v>
      </c>
      <c r="H2869">
        <v>4184817607</v>
      </c>
      <c r="I2869">
        <v>2730667958</v>
      </c>
      <c r="J2869">
        <v>2387815389</v>
      </c>
      <c r="K2869">
        <v>1796083736</v>
      </c>
      <c r="L2869">
        <v>1520467904</v>
      </c>
      <c r="M2869">
        <v>1167693377</v>
      </c>
      <c r="N2869">
        <v>824909279</v>
      </c>
      <c r="O2869">
        <v>588686439</v>
      </c>
      <c r="P2869">
        <v>1176</v>
      </c>
      <c r="Q2869" t="s">
        <v>6075</v>
      </c>
    </row>
    <row r="2870" spans="1:17" x14ac:dyDescent="0.3">
      <c r="A2870" t="s">
        <v>4664</v>
      </c>
      <c r="B2870" t="str">
        <f>"002186"</f>
        <v>002186</v>
      </c>
      <c r="C2870" t="s">
        <v>6076</v>
      </c>
      <c r="D2870" t="s">
        <v>3571</v>
      </c>
      <c r="F2870">
        <v>724776213</v>
      </c>
      <c r="G2870">
        <v>541529079</v>
      </c>
      <c r="H2870">
        <v>1261696756</v>
      </c>
      <c r="I2870">
        <v>1505311364</v>
      </c>
      <c r="J2870">
        <v>1544374774</v>
      </c>
      <c r="K2870">
        <v>1421882602</v>
      </c>
      <c r="L2870">
        <v>1460167347</v>
      </c>
      <c r="M2870">
        <v>1374549791</v>
      </c>
      <c r="N2870">
        <v>1383156180</v>
      </c>
      <c r="O2870">
        <v>1461955364</v>
      </c>
      <c r="P2870">
        <v>179</v>
      </c>
      <c r="Q2870" t="s">
        <v>6077</v>
      </c>
    </row>
    <row r="2871" spans="1:17" x14ac:dyDescent="0.3">
      <c r="A2871" t="s">
        <v>4664</v>
      </c>
      <c r="B2871" t="str">
        <f>"002187"</f>
        <v>002187</v>
      </c>
      <c r="C2871" t="s">
        <v>6078</v>
      </c>
      <c r="D2871" t="s">
        <v>633</v>
      </c>
      <c r="F2871">
        <v>7701707079</v>
      </c>
      <c r="G2871">
        <v>4516326006</v>
      </c>
      <c r="H2871">
        <v>6329733281</v>
      </c>
      <c r="I2871">
        <v>5904416657</v>
      </c>
      <c r="J2871">
        <v>5639090609</v>
      </c>
      <c r="K2871">
        <v>5383105207</v>
      </c>
      <c r="L2871">
        <v>5937456907</v>
      </c>
      <c r="M2871">
        <v>5793222826</v>
      </c>
      <c r="N2871">
        <v>6655843294</v>
      </c>
      <c r="O2871">
        <v>6275463034</v>
      </c>
      <c r="P2871">
        <v>147</v>
      </c>
      <c r="Q2871" t="s">
        <v>6079</v>
      </c>
    </row>
    <row r="2872" spans="1:17" x14ac:dyDescent="0.3">
      <c r="A2872" t="s">
        <v>4664</v>
      </c>
      <c r="B2872" t="str">
        <f>"002188"</f>
        <v>002188</v>
      </c>
      <c r="C2872" t="s">
        <v>6080</v>
      </c>
      <c r="D2872" t="s">
        <v>207</v>
      </c>
      <c r="F2872">
        <v>154681366</v>
      </c>
      <c r="G2872">
        <v>4325508</v>
      </c>
      <c r="H2872">
        <v>54474636</v>
      </c>
      <c r="I2872">
        <v>120887837</v>
      </c>
      <c r="J2872">
        <v>469475779</v>
      </c>
      <c r="K2872">
        <v>301682408</v>
      </c>
      <c r="L2872">
        <v>78428012</v>
      </c>
      <c r="M2872">
        <v>88830060</v>
      </c>
      <c r="N2872">
        <v>112705156</v>
      </c>
      <c r="O2872">
        <v>196114199</v>
      </c>
      <c r="P2872">
        <v>69</v>
      </c>
      <c r="Q2872" t="s">
        <v>6081</v>
      </c>
    </row>
    <row r="2873" spans="1:17" x14ac:dyDescent="0.3">
      <c r="A2873" t="s">
        <v>4664</v>
      </c>
      <c r="B2873" t="str">
        <f>"002189"</f>
        <v>002189</v>
      </c>
      <c r="C2873" t="s">
        <v>6082</v>
      </c>
      <c r="D2873" t="s">
        <v>1136</v>
      </c>
      <c r="F2873">
        <v>2753739031</v>
      </c>
      <c r="G2873">
        <v>2380440369</v>
      </c>
      <c r="H2873">
        <v>1913296444</v>
      </c>
      <c r="I2873">
        <v>781714501</v>
      </c>
      <c r="J2873">
        <v>702966661</v>
      </c>
      <c r="K2873">
        <v>613524663</v>
      </c>
      <c r="L2873">
        <v>570905412</v>
      </c>
      <c r="M2873">
        <v>468173050</v>
      </c>
      <c r="N2873">
        <v>357636862</v>
      </c>
      <c r="O2873">
        <v>394760103</v>
      </c>
      <c r="P2873">
        <v>221</v>
      </c>
      <c r="Q2873" t="s">
        <v>6083</v>
      </c>
    </row>
    <row r="2874" spans="1:17" x14ac:dyDescent="0.3">
      <c r="A2874" t="s">
        <v>4664</v>
      </c>
      <c r="B2874" t="str">
        <f>"002190"</f>
        <v>002190</v>
      </c>
      <c r="C2874" t="s">
        <v>6084</v>
      </c>
      <c r="D2874" t="s">
        <v>98</v>
      </c>
      <c r="F2874">
        <v>604291368</v>
      </c>
      <c r="G2874">
        <v>452173570</v>
      </c>
      <c r="H2874">
        <v>1095040385</v>
      </c>
      <c r="I2874">
        <v>1430877581</v>
      </c>
      <c r="J2874">
        <v>1372712820</v>
      </c>
      <c r="K2874">
        <v>1040116773</v>
      </c>
      <c r="L2874">
        <v>634223100</v>
      </c>
      <c r="M2874">
        <v>459585281</v>
      </c>
      <c r="N2874">
        <v>337042097</v>
      </c>
      <c r="O2874">
        <v>265820286</v>
      </c>
      <c r="P2874">
        <v>184</v>
      </c>
      <c r="Q2874" t="s">
        <v>6085</v>
      </c>
    </row>
    <row r="2875" spans="1:17" x14ac:dyDescent="0.3">
      <c r="A2875" t="s">
        <v>4664</v>
      </c>
      <c r="B2875" t="str">
        <f>"002191"</f>
        <v>002191</v>
      </c>
      <c r="C2875" t="s">
        <v>6086</v>
      </c>
      <c r="D2875" t="s">
        <v>2156</v>
      </c>
      <c r="F2875">
        <v>4221356475</v>
      </c>
      <c r="G2875">
        <v>3123744913</v>
      </c>
      <c r="H2875">
        <v>2813381982</v>
      </c>
      <c r="I2875">
        <v>2460487148</v>
      </c>
      <c r="J2875">
        <v>2155221089</v>
      </c>
      <c r="K2875">
        <v>2146950729</v>
      </c>
      <c r="L2875">
        <v>1895917011</v>
      </c>
      <c r="M2875">
        <v>1659454822</v>
      </c>
      <c r="N2875">
        <v>1520946982</v>
      </c>
      <c r="O2875">
        <v>1634235587</v>
      </c>
      <c r="P2875">
        <v>6347</v>
      </c>
      <c r="Q2875" t="s">
        <v>6087</v>
      </c>
    </row>
    <row r="2876" spans="1:17" x14ac:dyDescent="0.3">
      <c r="A2876" t="s">
        <v>4664</v>
      </c>
      <c r="B2876" t="str">
        <f>"002192"</f>
        <v>002192</v>
      </c>
      <c r="C2876" t="s">
        <v>6088</v>
      </c>
      <c r="D2876" t="s">
        <v>3749</v>
      </c>
      <c r="F2876">
        <v>522976929</v>
      </c>
      <c r="G2876">
        <v>148837611</v>
      </c>
      <c r="H2876">
        <v>124905427</v>
      </c>
      <c r="I2876">
        <v>269569904</v>
      </c>
      <c r="J2876">
        <v>135139058</v>
      </c>
      <c r="K2876">
        <v>129976314</v>
      </c>
      <c r="L2876">
        <v>98080953</v>
      </c>
      <c r="M2876">
        <v>520468093</v>
      </c>
      <c r="N2876">
        <v>751069084</v>
      </c>
      <c r="O2876">
        <v>1982459829</v>
      </c>
      <c r="P2876">
        <v>230</v>
      </c>
      <c r="Q2876" t="s">
        <v>6089</v>
      </c>
    </row>
    <row r="2877" spans="1:17" x14ac:dyDescent="0.3">
      <c r="A2877" t="s">
        <v>4664</v>
      </c>
      <c r="B2877" t="str">
        <f>"002193"</f>
        <v>002193</v>
      </c>
      <c r="C2877" t="s">
        <v>6090</v>
      </c>
      <c r="D2877" t="s">
        <v>366</v>
      </c>
      <c r="F2877">
        <v>2526422655</v>
      </c>
      <c r="G2877">
        <v>961331243</v>
      </c>
      <c r="H2877">
        <v>734700348</v>
      </c>
      <c r="I2877">
        <v>661901477</v>
      </c>
      <c r="J2877">
        <v>690566504</v>
      </c>
      <c r="K2877">
        <v>716875448</v>
      </c>
      <c r="L2877">
        <v>476124241</v>
      </c>
      <c r="M2877">
        <v>301623599</v>
      </c>
      <c r="N2877">
        <v>321780698</v>
      </c>
      <c r="O2877">
        <v>499838993</v>
      </c>
      <c r="P2877">
        <v>93</v>
      </c>
      <c r="Q2877" t="s">
        <v>6091</v>
      </c>
    </row>
    <row r="2878" spans="1:17" x14ac:dyDescent="0.3">
      <c r="A2878" t="s">
        <v>4664</v>
      </c>
      <c r="B2878" t="str">
        <f>"002194"</f>
        <v>002194</v>
      </c>
      <c r="C2878" t="s">
        <v>6092</v>
      </c>
      <c r="D2878" t="s">
        <v>1019</v>
      </c>
      <c r="F2878">
        <v>1444204460</v>
      </c>
      <c r="G2878">
        <v>1257760721</v>
      </c>
      <c r="H2878">
        <v>1250121774</v>
      </c>
      <c r="I2878">
        <v>891659434</v>
      </c>
      <c r="J2878">
        <v>1102494420</v>
      </c>
      <c r="K2878">
        <v>1493442524</v>
      </c>
      <c r="L2878">
        <v>1478445597</v>
      </c>
      <c r="M2878">
        <v>1183958445</v>
      </c>
      <c r="N2878">
        <v>925794808</v>
      </c>
      <c r="O2878">
        <v>515819743</v>
      </c>
      <c r="P2878">
        <v>906</v>
      </c>
      <c r="Q2878" t="s">
        <v>6093</v>
      </c>
    </row>
    <row r="2879" spans="1:17" x14ac:dyDescent="0.3">
      <c r="A2879" t="s">
        <v>4664</v>
      </c>
      <c r="B2879" t="str">
        <f>"002195"</f>
        <v>002195</v>
      </c>
      <c r="C2879" t="s">
        <v>6094</v>
      </c>
      <c r="D2879" t="s">
        <v>316</v>
      </c>
      <c r="F2879">
        <v>720716170</v>
      </c>
      <c r="G2879">
        <v>988320218</v>
      </c>
      <c r="H2879">
        <v>2006233868</v>
      </c>
      <c r="I2879">
        <v>2460119308</v>
      </c>
      <c r="J2879">
        <v>1899019664</v>
      </c>
      <c r="K2879">
        <v>1296877538</v>
      </c>
      <c r="L2879">
        <v>1080688462</v>
      </c>
      <c r="M2879">
        <v>340646795</v>
      </c>
      <c r="N2879">
        <v>300280918</v>
      </c>
      <c r="O2879">
        <v>318565843</v>
      </c>
      <c r="P2879">
        <v>558</v>
      </c>
      <c r="Q2879" t="s">
        <v>6095</v>
      </c>
    </row>
    <row r="2880" spans="1:17" x14ac:dyDescent="0.3">
      <c r="A2880" t="s">
        <v>4664</v>
      </c>
      <c r="B2880" t="str">
        <f>"002196"</f>
        <v>002196</v>
      </c>
      <c r="C2880" t="s">
        <v>6096</v>
      </c>
      <c r="D2880" t="s">
        <v>1171</v>
      </c>
      <c r="F2880">
        <v>1273193975</v>
      </c>
      <c r="G2880">
        <v>818960194</v>
      </c>
      <c r="H2880">
        <v>865861266</v>
      </c>
      <c r="I2880">
        <v>915995155</v>
      </c>
      <c r="J2880">
        <v>707385722</v>
      </c>
      <c r="K2880">
        <v>608890554</v>
      </c>
      <c r="L2880">
        <v>546644627</v>
      </c>
      <c r="M2880">
        <v>0</v>
      </c>
      <c r="N2880">
        <v>317801619</v>
      </c>
      <c r="O2880">
        <v>336567742</v>
      </c>
      <c r="P2880">
        <v>163</v>
      </c>
      <c r="Q2880" t="s">
        <v>6097</v>
      </c>
    </row>
    <row r="2881" spans="1:17" x14ac:dyDescent="0.3">
      <c r="A2881" t="s">
        <v>4664</v>
      </c>
      <c r="B2881" t="str">
        <f>"002197"</f>
        <v>002197</v>
      </c>
      <c r="C2881" t="s">
        <v>6098</v>
      </c>
      <c r="D2881" t="s">
        <v>236</v>
      </c>
      <c r="F2881">
        <v>925476948</v>
      </c>
      <c r="G2881">
        <v>1039737646</v>
      </c>
      <c r="H2881">
        <v>726669419</v>
      </c>
      <c r="I2881">
        <v>799090016</v>
      </c>
      <c r="J2881">
        <v>756824754</v>
      </c>
      <c r="K2881">
        <v>765221289</v>
      </c>
      <c r="L2881">
        <v>548518276</v>
      </c>
      <c r="M2881">
        <v>554676032</v>
      </c>
      <c r="N2881">
        <v>312477778</v>
      </c>
      <c r="O2881">
        <v>307950016</v>
      </c>
      <c r="P2881">
        <v>230</v>
      </c>
      <c r="Q2881" t="s">
        <v>6099</v>
      </c>
    </row>
    <row r="2882" spans="1:17" x14ac:dyDescent="0.3">
      <c r="A2882" t="s">
        <v>4664</v>
      </c>
      <c r="B2882" t="str">
        <f>"002198"</f>
        <v>002198</v>
      </c>
      <c r="C2882" t="s">
        <v>6100</v>
      </c>
      <c r="D2882" t="s">
        <v>188</v>
      </c>
      <c r="F2882">
        <v>440894446</v>
      </c>
      <c r="G2882">
        <v>446584193</v>
      </c>
      <c r="H2882">
        <v>393544786</v>
      </c>
      <c r="I2882">
        <v>412461551</v>
      </c>
      <c r="J2882">
        <v>359414414</v>
      </c>
      <c r="K2882">
        <v>350377309</v>
      </c>
      <c r="L2882">
        <v>388167514</v>
      </c>
      <c r="M2882">
        <v>398069605</v>
      </c>
      <c r="N2882">
        <v>104796649</v>
      </c>
      <c r="O2882">
        <v>121252089</v>
      </c>
      <c r="P2882">
        <v>120</v>
      </c>
      <c r="Q2882" t="s">
        <v>6101</v>
      </c>
    </row>
    <row r="2883" spans="1:17" x14ac:dyDescent="0.3">
      <c r="A2883" t="s">
        <v>4664</v>
      </c>
      <c r="B2883" t="str">
        <f>"002199"</f>
        <v>002199</v>
      </c>
      <c r="C2883" t="s">
        <v>6102</v>
      </c>
      <c r="D2883" t="s">
        <v>546</v>
      </c>
      <c r="F2883">
        <v>169072029</v>
      </c>
      <c r="G2883">
        <v>119101820</v>
      </c>
      <c r="H2883">
        <v>86669284</v>
      </c>
      <c r="I2883">
        <v>111933075</v>
      </c>
      <c r="J2883">
        <v>127732739</v>
      </c>
      <c r="K2883">
        <v>199834038</v>
      </c>
      <c r="L2883">
        <v>191475252</v>
      </c>
      <c r="M2883">
        <v>155296209</v>
      </c>
      <c r="N2883">
        <v>206657039</v>
      </c>
      <c r="O2883">
        <v>196441306</v>
      </c>
      <c r="P2883">
        <v>111</v>
      </c>
      <c r="Q2883" t="s">
        <v>6103</v>
      </c>
    </row>
    <row r="2884" spans="1:17" x14ac:dyDescent="0.3">
      <c r="A2884" t="s">
        <v>4664</v>
      </c>
      <c r="B2884" t="str">
        <f>"002200"</f>
        <v>002200</v>
      </c>
      <c r="C2884" t="s">
        <v>6104</v>
      </c>
      <c r="D2884" t="s">
        <v>2408</v>
      </c>
      <c r="F2884">
        <v>289636444</v>
      </c>
      <c r="G2884">
        <v>300131022</v>
      </c>
      <c r="H2884">
        <v>592068871</v>
      </c>
      <c r="I2884">
        <v>516690566</v>
      </c>
      <c r="J2884">
        <v>687591818</v>
      </c>
      <c r="K2884">
        <v>410047726</v>
      </c>
      <c r="L2884">
        <v>341977647</v>
      </c>
      <c r="M2884">
        <v>164000821</v>
      </c>
      <c r="N2884">
        <v>89427936</v>
      </c>
      <c r="O2884">
        <v>80346664</v>
      </c>
      <c r="P2884">
        <v>53</v>
      </c>
      <c r="Q2884" t="s">
        <v>6105</v>
      </c>
    </row>
    <row r="2885" spans="1:17" x14ac:dyDescent="0.3">
      <c r="A2885" t="s">
        <v>4664</v>
      </c>
      <c r="B2885" t="str">
        <f>"002201"</f>
        <v>002201</v>
      </c>
      <c r="C2885" t="s">
        <v>6106</v>
      </c>
      <c r="D2885" t="s">
        <v>411</v>
      </c>
      <c r="F2885">
        <v>663710513</v>
      </c>
      <c r="G2885">
        <v>673455701</v>
      </c>
      <c r="H2885">
        <v>592791024</v>
      </c>
      <c r="I2885">
        <v>848289242</v>
      </c>
      <c r="J2885">
        <v>728219822</v>
      </c>
      <c r="K2885">
        <v>598794882</v>
      </c>
      <c r="L2885">
        <v>549607674</v>
      </c>
      <c r="M2885">
        <v>520911051</v>
      </c>
      <c r="N2885">
        <v>477170531</v>
      </c>
      <c r="O2885">
        <v>484903790</v>
      </c>
      <c r="P2885">
        <v>132</v>
      </c>
      <c r="Q2885" t="s">
        <v>6107</v>
      </c>
    </row>
    <row r="2886" spans="1:17" x14ac:dyDescent="0.3">
      <c r="A2886" t="s">
        <v>4664</v>
      </c>
      <c r="B2886" t="str">
        <f>"002202"</f>
        <v>002202</v>
      </c>
      <c r="C2886" t="s">
        <v>6108</v>
      </c>
      <c r="D2886" t="s">
        <v>895</v>
      </c>
      <c r="F2886">
        <v>32243979647</v>
      </c>
      <c r="G2886">
        <v>38053341813</v>
      </c>
      <c r="H2886">
        <v>23534966567</v>
      </c>
      <c r="I2886">
        <v>15772511735</v>
      </c>
      <c r="J2886">
        <v>13743263467</v>
      </c>
      <c r="K2886">
        <v>13770325937</v>
      </c>
      <c r="L2886">
        <v>14261021358</v>
      </c>
      <c r="M2886">
        <v>9824907157</v>
      </c>
      <c r="N2886">
        <v>7293945859</v>
      </c>
      <c r="O2886">
        <v>5784589346</v>
      </c>
      <c r="P2886">
        <v>1283</v>
      </c>
      <c r="Q2886" t="s">
        <v>6109</v>
      </c>
    </row>
    <row r="2887" spans="1:17" x14ac:dyDescent="0.3">
      <c r="A2887" t="s">
        <v>4664</v>
      </c>
      <c r="B2887" t="str">
        <f>"002203"</f>
        <v>002203</v>
      </c>
      <c r="C2887" t="s">
        <v>6110</v>
      </c>
      <c r="D2887" t="s">
        <v>263</v>
      </c>
      <c r="F2887">
        <v>55779457540</v>
      </c>
      <c r="G2887">
        <v>34791914854</v>
      </c>
      <c r="H2887">
        <v>35564840373</v>
      </c>
      <c r="I2887">
        <v>31819366196</v>
      </c>
      <c r="J2887">
        <v>22037135824</v>
      </c>
      <c r="K2887">
        <v>12119442819</v>
      </c>
      <c r="L2887">
        <v>10233416663</v>
      </c>
      <c r="M2887">
        <v>9916190513</v>
      </c>
      <c r="N2887">
        <v>11059358406</v>
      </c>
      <c r="O2887">
        <v>8963718992</v>
      </c>
      <c r="P2887">
        <v>239</v>
      </c>
      <c r="Q2887" t="s">
        <v>6111</v>
      </c>
    </row>
    <row r="2888" spans="1:17" x14ac:dyDescent="0.3">
      <c r="A2888" t="s">
        <v>4664</v>
      </c>
      <c r="B2888" t="str">
        <f>"002204"</f>
        <v>002204</v>
      </c>
      <c r="C2888" t="s">
        <v>6112</v>
      </c>
      <c r="D2888" t="s">
        <v>395</v>
      </c>
      <c r="F2888">
        <v>6551922930</v>
      </c>
      <c r="G2888">
        <v>4709698471</v>
      </c>
      <c r="H2888">
        <v>4535296418</v>
      </c>
      <c r="I2888">
        <v>4070816551</v>
      </c>
      <c r="J2888">
        <v>3919463330</v>
      </c>
      <c r="K2888">
        <v>5058846598</v>
      </c>
      <c r="L2888">
        <v>5810827242</v>
      </c>
      <c r="M2888">
        <v>5371319993</v>
      </c>
      <c r="N2888">
        <v>5760068545</v>
      </c>
      <c r="O2888">
        <v>7282797578</v>
      </c>
      <c r="P2888">
        <v>137</v>
      </c>
      <c r="Q2888" t="s">
        <v>6113</v>
      </c>
    </row>
    <row r="2889" spans="1:17" x14ac:dyDescent="0.3">
      <c r="A2889" t="s">
        <v>4664</v>
      </c>
      <c r="B2889" t="str">
        <f>"002205"</f>
        <v>002205</v>
      </c>
      <c r="C2889" t="s">
        <v>6114</v>
      </c>
      <c r="D2889" t="s">
        <v>3548</v>
      </c>
      <c r="F2889">
        <v>485006762</v>
      </c>
      <c r="G2889">
        <v>387116693</v>
      </c>
      <c r="H2889">
        <v>338855324</v>
      </c>
      <c r="I2889">
        <v>209507840</v>
      </c>
      <c r="J2889">
        <v>208508997</v>
      </c>
      <c r="K2889">
        <v>509891139</v>
      </c>
      <c r="L2889">
        <v>318089180</v>
      </c>
      <c r="M2889">
        <v>545881018</v>
      </c>
      <c r="N2889">
        <v>491710840</v>
      </c>
      <c r="O2889">
        <v>430125403</v>
      </c>
      <c r="P2889">
        <v>86</v>
      </c>
      <c r="Q2889" t="s">
        <v>6115</v>
      </c>
    </row>
    <row r="2890" spans="1:17" x14ac:dyDescent="0.3">
      <c r="A2890" t="s">
        <v>4664</v>
      </c>
      <c r="B2890" t="str">
        <f>"002206"</f>
        <v>002206</v>
      </c>
      <c r="C2890" t="s">
        <v>6116</v>
      </c>
      <c r="D2890" t="s">
        <v>2708</v>
      </c>
      <c r="F2890">
        <v>3212954319</v>
      </c>
      <c r="G2890">
        <v>2792289528</v>
      </c>
      <c r="H2890">
        <v>3090245366</v>
      </c>
      <c r="I2890">
        <v>2860965064</v>
      </c>
      <c r="J2890">
        <v>2369181604</v>
      </c>
      <c r="K2890">
        <v>1885223341</v>
      </c>
      <c r="L2890">
        <v>1739210927</v>
      </c>
      <c r="M2890">
        <v>1917341651</v>
      </c>
      <c r="N2890">
        <v>1670730913</v>
      </c>
      <c r="O2890">
        <v>1570470629</v>
      </c>
      <c r="P2890">
        <v>369</v>
      </c>
      <c r="Q2890" t="s">
        <v>6117</v>
      </c>
    </row>
    <row r="2891" spans="1:17" x14ac:dyDescent="0.3">
      <c r="A2891" t="s">
        <v>4664</v>
      </c>
      <c r="B2891" t="str">
        <f>"002207"</f>
        <v>002207</v>
      </c>
      <c r="C2891" t="s">
        <v>6118</v>
      </c>
      <c r="D2891" t="s">
        <v>1758</v>
      </c>
      <c r="F2891">
        <v>137176601</v>
      </c>
      <c r="G2891">
        <v>147100453</v>
      </c>
      <c r="H2891">
        <v>190956364</v>
      </c>
      <c r="I2891">
        <v>160295520</v>
      </c>
      <c r="J2891">
        <v>106417471</v>
      </c>
      <c r="K2891">
        <v>167308092</v>
      </c>
      <c r="L2891">
        <v>224651709</v>
      </c>
      <c r="M2891">
        <v>256003664</v>
      </c>
      <c r="N2891">
        <v>249440483</v>
      </c>
      <c r="O2891">
        <v>238660033</v>
      </c>
      <c r="P2891">
        <v>73</v>
      </c>
      <c r="Q2891" t="s">
        <v>6119</v>
      </c>
    </row>
    <row r="2892" spans="1:17" x14ac:dyDescent="0.3">
      <c r="A2892" t="s">
        <v>4664</v>
      </c>
      <c r="B2892" t="str">
        <f>"002208"</f>
        <v>002208</v>
      </c>
      <c r="C2892" t="s">
        <v>6120</v>
      </c>
      <c r="D2892" t="s">
        <v>104</v>
      </c>
      <c r="F2892">
        <v>5701103929</v>
      </c>
      <c r="G2892">
        <v>1960469155</v>
      </c>
      <c r="H2892">
        <v>3507178563</v>
      </c>
      <c r="I2892">
        <v>3477394057</v>
      </c>
      <c r="J2892">
        <v>2607492074</v>
      </c>
      <c r="K2892">
        <v>2993895065</v>
      </c>
      <c r="L2892">
        <v>1612198614</v>
      </c>
      <c r="M2892">
        <v>1356168593</v>
      </c>
      <c r="N2892">
        <v>2268702800</v>
      </c>
      <c r="O2892">
        <v>806241410</v>
      </c>
      <c r="P2892">
        <v>198</v>
      </c>
      <c r="Q2892" t="s">
        <v>6121</v>
      </c>
    </row>
    <row r="2893" spans="1:17" x14ac:dyDescent="0.3">
      <c r="A2893" t="s">
        <v>4664</v>
      </c>
      <c r="B2893" t="str">
        <f>"002209"</f>
        <v>002209</v>
      </c>
      <c r="C2893" t="s">
        <v>6122</v>
      </c>
      <c r="D2893" t="s">
        <v>3388</v>
      </c>
      <c r="F2893">
        <v>826843873</v>
      </c>
      <c r="G2893">
        <v>726168892</v>
      </c>
      <c r="H2893">
        <v>639888486</v>
      </c>
      <c r="I2893">
        <v>663304764</v>
      </c>
      <c r="J2893">
        <v>723760629</v>
      </c>
      <c r="K2893">
        <v>599055469</v>
      </c>
      <c r="L2893">
        <v>765036587</v>
      </c>
      <c r="M2893">
        <v>827746892</v>
      </c>
      <c r="N2893">
        <v>802495141</v>
      </c>
      <c r="O2893">
        <v>563293425</v>
      </c>
      <c r="P2893">
        <v>75</v>
      </c>
      <c r="Q2893" t="s">
        <v>6123</v>
      </c>
    </row>
    <row r="2894" spans="1:17" x14ac:dyDescent="0.3">
      <c r="A2894" t="s">
        <v>4664</v>
      </c>
      <c r="B2894" t="str">
        <f>"002210"</f>
        <v>002210</v>
      </c>
      <c r="C2894" t="s">
        <v>6124</v>
      </c>
      <c r="D2894" t="s">
        <v>128</v>
      </c>
      <c r="F2894">
        <v>147748131</v>
      </c>
      <c r="G2894">
        <v>145549672</v>
      </c>
      <c r="H2894">
        <v>193421709</v>
      </c>
      <c r="I2894">
        <v>46886520734</v>
      </c>
      <c r="J2894">
        <v>59879932821</v>
      </c>
      <c r="K2894">
        <v>40049945704</v>
      </c>
      <c r="L2894">
        <v>39070550325</v>
      </c>
      <c r="M2894">
        <v>34074592170</v>
      </c>
      <c r="N2894">
        <v>19178753034</v>
      </c>
      <c r="O2894">
        <v>6846216799</v>
      </c>
      <c r="P2894">
        <v>83</v>
      </c>
      <c r="Q2894" t="s">
        <v>6125</v>
      </c>
    </row>
    <row r="2895" spans="1:17" x14ac:dyDescent="0.3">
      <c r="A2895" t="s">
        <v>4664</v>
      </c>
      <c r="B2895" t="str">
        <f>"002211"</f>
        <v>002211</v>
      </c>
      <c r="C2895" t="s">
        <v>6126</v>
      </c>
      <c r="D2895" t="s">
        <v>1205</v>
      </c>
      <c r="F2895">
        <v>433023483</v>
      </c>
      <c r="G2895">
        <v>734888609</v>
      </c>
      <c r="H2895">
        <v>780801172</v>
      </c>
      <c r="I2895">
        <v>1008622409</v>
      </c>
      <c r="J2895">
        <v>793776288</v>
      </c>
      <c r="K2895">
        <v>562048971</v>
      </c>
      <c r="L2895">
        <v>594913754</v>
      </c>
      <c r="M2895">
        <v>643470341</v>
      </c>
      <c r="N2895">
        <v>716540035</v>
      </c>
      <c r="O2895">
        <v>606005743</v>
      </c>
      <c r="P2895">
        <v>85</v>
      </c>
      <c r="Q2895" t="s">
        <v>6127</v>
      </c>
    </row>
    <row r="2896" spans="1:17" x14ac:dyDescent="0.3">
      <c r="A2896" t="s">
        <v>4664</v>
      </c>
      <c r="B2896" t="str">
        <f>"002212"</f>
        <v>002212</v>
      </c>
      <c r="C2896" t="s">
        <v>6128</v>
      </c>
      <c r="D2896" t="s">
        <v>1189</v>
      </c>
      <c r="F2896">
        <v>1625830758</v>
      </c>
      <c r="G2896">
        <v>4449219476</v>
      </c>
      <c r="H2896">
        <v>4820060062</v>
      </c>
      <c r="I2896">
        <v>4765976785</v>
      </c>
      <c r="J2896">
        <v>3679146202</v>
      </c>
      <c r="K2896">
        <v>2079306714</v>
      </c>
      <c r="L2896">
        <v>1732044402</v>
      </c>
      <c r="M2896">
        <v>1517811331</v>
      </c>
      <c r="N2896">
        <v>1351166816</v>
      </c>
      <c r="O2896">
        <v>1105374620</v>
      </c>
      <c r="P2896">
        <v>249</v>
      </c>
      <c r="Q2896" t="s">
        <v>6129</v>
      </c>
    </row>
    <row r="2897" spans="1:17" x14ac:dyDescent="0.3">
      <c r="A2897" t="s">
        <v>4664</v>
      </c>
      <c r="B2897" t="str">
        <f>"002213"</f>
        <v>002213</v>
      </c>
      <c r="C2897" t="s">
        <v>6130</v>
      </c>
      <c r="D2897" t="s">
        <v>348</v>
      </c>
      <c r="F2897">
        <v>550780531</v>
      </c>
      <c r="G2897">
        <v>211936747</v>
      </c>
      <c r="H2897">
        <v>105928630</v>
      </c>
      <c r="I2897">
        <v>108764561</v>
      </c>
      <c r="J2897">
        <v>90780097</v>
      </c>
      <c r="K2897">
        <v>136505372</v>
      </c>
      <c r="L2897">
        <v>182826778</v>
      </c>
      <c r="M2897">
        <v>107066244</v>
      </c>
      <c r="N2897">
        <v>184916668</v>
      </c>
      <c r="O2897">
        <v>175967029</v>
      </c>
      <c r="P2897">
        <v>90</v>
      </c>
      <c r="Q2897" t="s">
        <v>6131</v>
      </c>
    </row>
    <row r="2898" spans="1:17" x14ac:dyDescent="0.3">
      <c r="A2898" t="s">
        <v>4664</v>
      </c>
      <c r="B2898" t="str">
        <f>"002214"</f>
        <v>002214</v>
      </c>
      <c r="C2898" t="s">
        <v>6132</v>
      </c>
      <c r="D2898" t="s">
        <v>1136</v>
      </c>
      <c r="F2898">
        <v>404590241</v>
      </c>
      <c r="G2898">
        <v>852864937</v>
      </c>
      <c r="H2898">
        <v>267769752</v>
      </c>
      <c r="I2898">
        <v>253946829</v>
      </c>
      <c r="J2898">
        <v>170573204</v>
      </c>
      <c r="K2898">
        <v>307981364</v>
      </c>
      <c r="L2898">
        <v>220031691</v>
      </c>
      <c r="M2898">
        <v>144889927</v>
      </c>
      <c r="N2898">
        <v>171169939</v>
      </c>
      <c r="O2898">
        <v>171718059</v>
      </c>
      <c r="P2898">
        <v>511</v>
      </c>
      <c r="Q2898" t="s">
        <v>6133</v>
      </c>
    </row>
    <row r="2899" spans="1:17" x14ac:dyDescent="0.3">
      <c r="A2899" t="s">
        <v>4664</v>
      </c>
      <c r="B2899" t="str">
        <f>"002215"</f>
        <v>002215</v>
      </c>
      <c r="C2899" t="s">
        <v>6134</v>
      </c>
      <c r="D2899" t="s">
        <v>853</v>
      </c>
      <c r="F2899">
        <v>2359929068</v>
      </c>
      <c r="G2899">
        <v>2471777131</v>
      </c>
      <c r="H2899">
        <v>2732150862</v>
      </c>
      <c r="I2899">
        <v>2215172034</v>
      </c>
      <c r="J2899">
        <v>1353061792</v>
      </c>
      <c r="K2899">
        <v>1012471628</v>
      </c>
      <c r="L2899">
        <v>1401777493</v>
      </c>
      <c r="M2899">
        <v>1286188524</v>
      </c>
      <c r="N2899">
        <v>1164486431</v>
      </c>
      <c r="O2899">
        <v>1046496663</v>
      </c>
      <c r="P2899">
        <v>175</v>
      </c>
      <c r="Q2899" t="s">
        <v>6135</v>
      </c>
    </row>
    <row r="2900" spans="1:17" x14ac:dyDescent="0.3">
      <c r="A2900" t="s">
        <v>4664</v>
      </c>
      <c r="B2900" t="str">
        <f>"002216"</f>
        <v>002216</v>
      </c>
      <c r="C2900" t="s">
        <v>6136</v>
      </c>
      <c r="D2900" t="s">
        <v>2838</v>
      </c>
      <c r="F2900">
        <v>5218031128</v>
      </c>
      <c r="G2900">
        <v>5436770872</v>
      </c>
      <c r="H2900">
        <v>4460275631</v>
      </c>
      <c r="I2900">
        <v>4375293154</v>
      </c>
      <c r="J2900">
        <v>4055394446</v>
      </c>
      <c r="K2900">
        <v>3903379221</v>
      </c>
      <c r="L2900">
        <v>3181259869</v>
      </c>
      <c r="M2900">
        <v>3065864955</v>
      </c>
      <c r="N2900">
        <v>2624429613</v>
      </c>
      <c r="O2900">
        <v>2035629333</v>
      </c>
      <c r="P2900">
        <v>1276</v>
      </c>
      <c r="Q2900" t="s">
        <v>6137</v>
      </c>
    </row>
    <row r="2901" spans="1:17" x14ac:dyDescent="0.3">
      <c r="A2901" t="s">
        <v>4664</v>
      </c>
      <c r="B2901" t="str">
        <f>"002217"</f>
        <v>002217</v>
      </c>
      <c r="C2901" t="s">
        <v>6138</v>
      </c>
      <c r="D2901" t="s">
        <v>1117</v>
      </c>
      <c r="F2901">
        <v>11433101537</v>
      </c>
      <c r="G2901">
        <v>14462533903</v>
      </c>
      <c r="H2901">
        <v>10428104044</v>
      </c>
      <c r="I2901">
        <v>10912766223</v>
      </c>
      <c r="J2901">
        <v>7096079884</v>
      </c>
      <c r="K2901">
        <v>6039332378</v>
      </c>
      <c r="L2901">
        <v>2303081451</v>
      </c>
      <c r="M2901">
        <v>1819650696</v>
      </c>
      <c r="N2901">
        <v>1000787470</v>
      </c>
      <c r="O2901">
        <v>1063515338</v>
      </c>
      <c r="P2901">
        <v>490</v>
      </c>
      <c r="Q2901" t="s">
        <v>6139</v>
      </c>
    </row>
    <row r="2902" spans="1:17" x14ac:dyDescent="0.3">
      <c r="A2902" t="s">
        <v>4664</v>
      </c>
      <c r="B2902" t="str">
        <f>"002218"</f>
        <v>002218</v>
      </c>
      <c r="C2902" t="s">
        <v>6140</v>
      </c>
      <c r="D2902" t="s">
        <v>478</v>
      </c>
      <c r="F2902">
        <v>1042117551</v>
      </c>
      <c r="G2902">
        <v>847375997</v>
      </c>
      <c r="H2902">
        <v>810915393</v>
      </c>
      <c r="I2902">
        <v>629956258</v>
      </c>
      <c r="J2902">
        <v>967649233</v>
      </c>
      <c r="K2902">
        <v>844723679</v>
      </c>
      <c r="L2902">
        <v>275739146</v>
      </c>
      <c r="M2902">
        <v>320825267</v>
      </c>
      <c r="N2902">
        <v>399617232</v>
      </c>
      <c r="O2902">
        <v>331291357</v>
      </c>
      <c r="P2902">
        <v>218</v>
      </c>
      <c r="Q2902" t="s">
        <v>6141</v>
      </c>
    </row>
    <row r="2903" spans="1:17" x14ac:dyDescent="0.3">
      <c r="A2903" t="s">
        <v>4664</v>
      </c>
      <c r="B2903" t="str">
        <f>"002219"</f>
        <v>002219</v>
      </c>
      <c r="C2903" t="s">
        <v>6142</v>
      </c>
      <c r="D2903" t="s">
        <v>1147</v>
      </c>
      <c r="F2903">
        <v>2156184193</v>
      </c>
      <c r="G2903">
        <v>1993388963</v>
      </c>
      <c r="H2903">
        <v>2805915204</v>
      </c>
      <c r="I2903">
        <v>2738007120</v>
      </c>
      <c r="J2903">
        <v>1728864608</v>
      </c>
      <c r="K2903">
        <v>1062716956</v>
      </c>
      <c r="L2903">
        <v>619767211</v>
      </c>
      <c r="M2903">
        <v>380711125</v>
      </c>
      <c r="N2903">
        <v>356524548</v>
      </c>
      <c r="O2903">
        <v>241215509</v>
      </c>
      <c r="P2903">
        <v>94</v>
      </c>
      <c r="Q2903" t="s">
        <v>6143</v>
      </c>
    </row>
    <row r="2904" spans="1:17" x14ac:dyDescent="0.3">
      <c r="A2904" t="s">
        <v>4664</v>
      </c>
      <c r="B2904" t="str">
        <f>"002220"</f>
        <v>002220</v>
      </c>
      <c r="C2904" t="s">
        <v>6144</v>
      </c>
      <c r="H2904">
        <v>232012372</v>
      </c>
      <c r="I2904">
        <v>685116773</v>
      </c>
      <c r="J2904">
        <v>978965865</v>
      </c>
      <c r="K2904">
        <v>1128536085</v>
      </c>
      <c r="L2904">
        <v>1036761176</v>
      </c>
      <c r="M2904">
        <v>1044890918</v>
      </c>
      <c r="N2904">
        <v>1082336477</v>
      </c>
      <c r="O2904">
        <v>1243058311</v>
      </c>
      <c r="P2904">
        <v>51</v>
      </c>
      <c r="Q2904" t="s">
        <v>6145</v>
      </c>
    </row>
    <row r="2905" spans="1:17" x14ac:dyDescent="0.3">
      <c r="A2905" t="s">
        <v>4664</v>
      </c>
      <c r="B2905" t="str">
        <f>"002221"</f>
        <v>002221</v>
      </c>
      <c r="C2905" t="s">
        <v>6146</v>
      </c>
      <c r="D2905" t="s">
        <v>1615</v>
      </c>
      <c r="F2905">
        <v>22508769704</v>
      </c>
      <c r="G2905">
        <v>24916414005</v>
      </c>
      <c r="H2905">
        <v>38881513082</v>
      </c>
      <c r="I2905">
        <v>36841178914</v>
      </c>
      <c r="J2905">
        <v>25261239851</v>
      </c>
      <c r="K2905">
        <v>13777421373</v>
      </c>
      <c r="L2905">
        <v>11681786364</v>
      </c>
      <c r="M2905">
        <v>9327316621</v>
      </c>
      <c r="N2905">
        <v>5497043230</v>
      </c>
      <c r="O2905">
        <v>3117359494</v>
      </c>
      <c r="P2905">
        <v>390</v>
      </c>
      <c r="Q2905" t="s">
        <v>6147</v>
      </c>
    </row>
    <row r="2906" spans="1:17" x14ac:dyDescent="0.3">
      <c r="A2906" t="s">
        <v>4664</v>
      </c>
      <c r="B2906" t="str">
        <f>"002222"</f>
        <v>002222</v>
      </c>
      <c r="C2906" t="s">
        <v>6148</v>
      </c>
      <c r="D2906" t="s">
        <v>164</v>
      </c>
      <c r="F2906">
        <v>463629509</v>
      </c>
      <c r="G2906">
        <v>395721173</v>
      </c>
      <c r="H2906">
        <v>376012724</v>
      </c>
      <c r="I2906">
        <v>360475935</v>
      </c>
      <c r="J2906">
        <v>303425737</v>
      </c>
      <c r="K2906">
        <v>211439738</v>
      </c>
      <c r="L2906">
        <v>164998491</v>
      </c>
      <c r="M2906">
        <v>149807611</v>
      </c>
      <c r="N2906">
        <v>141093744</v>
      </c>
      <c r="O2906">
        <v>134197915</v>
      </c>
      <c r="P2906">
        <v>517</v>
      </c>
      <c r="Q2906" t="s">
        <v>6149</v>
      </c>
    </row>
    <row r="2907" spans="1:17" x14ac:dyDescent="0.3">
      <c r="A2907" t="s">
        <v>4664</v>
      </c>
      <c r="B2907" t="str">
        <f>"002223"</f>
        <v>002223</v>
      </c>
      <c r="C2907" t="s">
        <v>6150</v>
      </c>
      <c r="D2907" t="s">
        <v>122</v>
      </c>
      <c r="F2907">
        <v>4868728307</v>
      </c>
      <c r="G2907">
        <v>5363449373</v>
      </c>
      <c r="H2907">
        <v>2757300117</v>
      </c>
      <c r="I2907">
        <v>2593367206</v>
      </c>
      <c r="J2907">
        <v>2165548379</v>
      </c>
      <c r="K2907">
        <v>1539603562</v>
      </c>
      <c r="L2907">
        <v>1294203583</v>
      </c>
      <c r="M2907">
        <v>958654311</v>
      </c>
      <c r="N2907">
        <v>881266626</v>
      </c>
      <c r="O2907">
        <v>770213535</v>
      </c>
      <c r="P2907">
        <v>17494</v>
      </c>
      <c r="Q2907" t="s">
        <v>6151</v>
      </c>
    </row>
    <row r="2908" spans="1:17" x14ac:dyDescent="0.3">
      <c r="A2908" t="s">
        <v>4664</v>
      </c>
      <c r="B2908" t="str">
        <f>"002224"</f>
        <v>002224</v>
      </c>
      <c r="C2908" t="s">
        <v>6152</v>
      </c>
      <c r="D2908" t="s">
        <v>2460</v>
      </c>
      <c r="F2908">
        <v>681447505</v>
      </c>
      <c r="G2908">
        <v>615202617</v>
      </c>
      <c r="H2908">
        <v>730188421</v>
      </c>
      <c r="I2908">
        <v>681345043</v>
      </c>
      <c r="J2908">
        <v>600744944</v>
      </c>
      <c r="K2908">
        <v>586372486</v>
      </c>
      <c r="L2908">
        <v>694054808</v>
      </c>
      <c r="M2908">
        <v>725566047</v>
      </c>
      <c r="N2908">
        <v>655985622</v>
      </c>
      <c r="O2908">
        <v>662325499</v>
      </c>
      <c r="P2908">
        <v>186</v>
      </c>
      <c r="Q2908" t="s">
        <v>6153</v>
      </c>
    </row>
    <row r="2909" spans="1:17" x14ac:dyDescent="0.3">
      <c r="A2909" t="s">
        <v>4664</v>
      </c>
      <c r="B2909" t="str">
        <f>"002225"</f>
        <v>002225</v>
      </c>
      <c r="C2909" t="s">
        <v>6154</v>
      </c>
      <c r="D2909" t="s">
        <v>5835</v>
      </c>
      <c r="F2909">
        <v>2471411956</v>
      </c>
      <c r="G2909">
        <v>2630496287</v>
      </c>
      <c r="H2909">
        <v>2076459376</v>
      </c>
      <c r="I2909">
        <v>1985732280</v>
      </c>
      <c r="J2909">
        <v>1424899847</v>
      </c>
      <c r="K2909">
        <v>1262567932</v>
      </c>
      <c r="L2909">
        <v>1224002441</v>
      </c>
      <c r="M2909">
        <v>1196694516</v>
      </c>
      <c r="N2909">
        <v>1162056647</v>
      </c>
      <c r="O2909">
        <v>1006226291</v>
      </c>
      <c r="P2909">
        <v>142</v>
      </c>
      <c r="Q2909" t="s">
        <v>6155</v>
      </c>
    </row>
    <row r="2910" spans="1:17" x14ac:dyDescent="0.3">
      <c r="A2910" t="s">
        <v>4664</v>
      </c>
      <c r="B2910" t="str">
        <f>"002226"</f>
        <v>002226</v>
      </c>
      <c r="C2910" t="s">
        <v>6156</v>
      </c>
      <c r="D2910" t="s">
        <v>2713</v>
      </c>
      <c r="F2910">
        <v>3129541269</v>
      </c>
      <c r="G2910">
        <v>2370570300</v>
      </c>
      <c r="H2910">
        <v>2411209922</v>
      </c>
      <c r="I2910">
        <v>1850507621</v>
      </c>
      <c r="J2910">
        <v>1146821237</v>
      </c>
      <c r="K2910">
        <v>966964122</v>
      </c>
      <c r="L2910">
        <v>1090527549</v>
      </c>
      <c r="M2910">
        <v>1358416443</v>
      </c>
      <c r="N2910">
        <v>1414512560</v>
      </c>
      <c r="O2910">
        <v>1405895334</v>
      </c>
      <c r="P2910">
        <v>172</v>
      </c>
      <c r="Q2910" t="s">
        <v>6157</v>
      </c>
    </row>
    <row r="2911" spans="1:17" x14ac:dyDescent="0.3">
      <c r="A2911" t="s">
        <v>4664</v>
      </c>
      <c r="B2911" t="str">
        <f>"002227"</f>
        <v>002227</v>
      </c>
      <c r="C2911" t="s">
        <v>6158</v>
      </c>
      <c r="D2911" t="s">
        <v>470</v>
      </c>
      <c r="F2911">
        <v>240792568</v>
      </c>
      <c r="G2911">
        <v>195108357</v>
      </c>
      <c r="H2911">
        <v>266227716</v>
      </c>
      <c r="I2911">
        <v>250064715</v>
      </c>
      <c r="J2911">
        <v>209916527</v>
      </c>
      <c r="K2911">
        <v>240221787</v>
      </c>
      <c r="L2911">
        <v>284414767</v>
      </c>
      <c r="M2911">
        <v>253966613</v>
      </c>
      <c r="N2911">
        <v>218556758</v>
      </c>
      <c r="O2911">
        <v>142228605</v>
      </c>
      <c r="P2911">
        <v>162</v>
      </c>
      <c r="Q2911" t="s">
        <v>6159</v>
      </c>
    </row>
    <row r="2912" spans="1:17" x14ac:dyDescent="0.3">
      <c r="A2912" t="s">
        <v>4664</v>
      </c>
      <c r="B2912" t="str">
        <f>"002228"</f>
        <v>002228</v>
      </c>
      <c r="C2912" t="s">
        <v>6160</v>
      </c>
      <c r="D2912" t="s">
        <v>2156</v>
      </c>
      <c r="F2912">
        <v>11433027518</v>
      </c>
      <c r="G2912">
        <v>6547773857</v>
      </c>
      <c r="H2912">
        <v>7217859978</v>
      </c>
      <c r="I2912">
        <v>6252509891</v>
      </c>
      <c r="J2912">
        <v>2796882821</v>
      </c>
      <c r="K2912">
        <v>1914766495</v>
      </c>
      <c r="L2912">
        <v>1500987337</v>
      </c>
      <c r="M2912">
        <v>1320690525</v>
      </c>
      <c r="N2912">
        <v>1252644450</v>
      </c>
      <c r="O2912">
        <v>1028935578</v>
      </c>
      <c r="P2912">
        <v>290</v>
      </c>
      <c r="Q2912" t="s">
        <v>6161</v>
      </c>
    </row>
    <row r="2913" spans="1:17" x14ac:dyDescent="0.3">
      <c r="A2913" t="s">
        <v>4664</v>
      </c>
      <c r="B2913" t="str">
        <f>"002229"</f>
        <v>002229</v>
      </c>
      <c r="C2913" t="s">
        <v>6162</v>
      </c>
      <c r="D2913" t="s">
        <v>1692</v>
      </c>
      <c r="F2913">
        <v>369658189</v>
      </c>
      <c r="G2913">
        <v>341556100</v>
      </c>
      <c r="H2913">
        <v>419080985</v>
      </c>
      <c r="I2913">
        <v>535125148</v>
      </c>
      <c r="J2913">
        <v>527833636</v>
      </c>
      <c r="K2913">
        <v>681386607</v>
      </c>
      <c r="L2913">
        <v>456852715</v>
      </c>
      <c r="M2913">
        <v>598219909</v>
      </c>
      <c r="N2913">
        <v>492323243</v>
      </c>
      <c r="O2913">
        <v>446205654</v>
      </c>
      <c r="P2913">
        <v>118</v>
      </c>
      <c r="Q2913" t="s">
        <v>6163</v>
      </c>
    </row>
    <row r="2914" spans="1:17" x14ac:dyDescent="0.3">
      <c r="A2914" t="s">
        <v>4664</v>
      </c>
      <c r="B2914" t="str">
        <f>"002230"</f>
        <v>002230</v>
      </c>
      <c r="C2914" t="s">
        <v>6164</v>
      </c>
      <c r="D2914" t="s">
        <v>1189</v>
      </c>
      <c r="F2914">
        <v>10111028602</v>
      </c>
      <c r="G2914">
        <v>6100451592</v>
      </c>
      <c r="H2914">
        <v>5921770752</v>
      </c>
      <c r="I2914">
        <v>4653734548</v>
      </c>
      <c r="J2914">
        <v>2796896169</v>
      </c>
      <c r="K2914">
        <v>1921782142</v>
      </c>
      <c r="L2914">
        <v>1534630369</v>
      </c>
      <c r="M2914">
        <v>907128007</v>
      </c>
      <c r="N2914">
        <v>580581505</v>
      </c>
      <c r="O2914">
        <v>411026885</v>
      </c>
      <c r="P2914">
        <v>3020</v>
      </c>
      <c r="Q2914" t="s">
        <v>6165</v>
      </c>
    </row>
    <row r="2915" spans="1:17" x14ac:dyDescent="0.3">
      <c r="A2915" t="s">
        <v>4664</v>
      </c>
      <c r="B2915" t="str">
        <f>"002231"</f>
        <v>002231</v>
      </c>
      <c r="C2915" t="s">
        <v>6166</v>
      </c>
      <c r="D2915" t="s">
        <v>1136</v>
      </c>
      <c r="F2915">
        <v>327786270</v>
      </c>
      <c r="G2915">
        <v>217275208</v>
      </c>
      <c r="H2915">
        <v>146407349</v>
      </c>
      <c r="I2915">
        <v>365411293</v>
      </c>
      <c r="J2915">
        <v>332589137</v>
      </c>
      <c r="K2915">
        <v>330778171</v>
      </c>
      <c r="L2915">
        <v>276003426</v>
      </c>
      <c r="M2915">
        <v>199666453</v>
      </c>
      <c r="N2915">
        <v>193712693</v>
      </c>
      <c r="O2915">
        <v>207252321</v>
      </c>
      <c r="P2915">
        <v>155</v>
      </c>
      <c r="Q2915" t="s">
        <v>6167</v>
      </c>
    </row>
    <row r="2916" spans="1:17" x14ac:dyDescent="0.3">
      <c r="A2916" t="s">
        <v>4664</v>
      </c>
      <c r="B2916" t="str">
        <f>"002232"</f>
        <v>002232</v>
      </c>
      <c r="C2916" t="s">
        <v>6168</v>
      </c>
      <c r="D2916" t="s">
        <v>316</v>
      </c>
      <c r="F2916">
        <v>601011092</v>
      </c>
      <c r="G2916">
        <v>607334882</v>
      </c>
      <c r="H2916">
        <v>807561300</v>
      </c>
      <c r="I2916">
        <v>815565536</v>
      </c>
      <c r="J2916">
        <v>688890094</v>
      </c>
      <c r="K2916">
        <v>630247359</v>
      </c>
      <c r="L2916">
        <v>803828737</v>
      </c>
      <c r="M2916">
        <v>852943432</v>
      </c>
      <c r="N2916">
        <v>682330982</v>
      </c>
      <c r="O2916">
        <v>1021864856</v>
      </c>
      <c r="P2916">
        <v>247</v>
      </c>
      <c r="Q2916" t="s">
        <v>6169</v>
      </c>
    </row>
    <row r="2917" spans="1:17" x14ac:dyDescent="0.3">
      <c r="A2917" t="s">
        <v>4664</v>
      </c>
      <c r="B2917" t="str">
        <f>"002233"</f>
        <v>002233</v>
      </c>
      <c r="C2917" t="s">
        <v>6170</v>
      </c>
      <c r="D2917" t="s">
        <v>731</v>
      </c>
      <c r="F2917">
        <v>5907929279</v>
      </c>
      <c r="G2917">
        <v>5412276427</v>
      </c>
      <c r="H2917">
        <v>5098853854</v>
      </c>
      <c r="I2917">
        <v>5457340156</v>
      </c>
      <c r="J2917">
        <v>3517851456</v>
      </c>
      <c r="K2917">
        <v>2794331881</v>
      </c>
      <c r="L2917">
        <v>3235177033</v>
      </c>
      <c r="M2917">
        <v>3747962834</v>
      </c>
      <c r="N2917">
        <v>2741760563</v>
      </c>
      <c r="O2917">
        <v>2796470027</v>
      </c>
      <c r="P2917">
        <v>1388</v>
      </c>
      <c r="Q2917" t="s">
        <v>6171</v>
      </c>
    </row>
    <row r="2918" spans="1:17" x14ac:dyDescent="0.3">
      <c r="A2918" t="s">
        <v>4664</v>
      </c>
      <c r="B2918" t="str">
        <f>"002234"</f>
        <v>002234</v>
      </c>
      <c r="C2918" t="s">
        <v>6172</v>
      </c>
      <c r="D2918" t="s">
        <v>6173</v>
      </c>
      <c r="F2918">
        <v>1458696860</v>
      </c>
      <c r="G2918">
        <v>1316148877</v>
      </c>
      <c r="H2918">
        <v>2390784168</v>
      </c>
      <c r="I2918">
        <v>1206185269</v>
      </c>
      <c r="J2918">
        <v>758837136</v>
      </c>
      <c r="K2918">
        <v>1067975263</v>
      </c>
      <c r="L2918">
        <v>721791154</v>
      </c>
      <c r="M2918">
        <v>861654939</v>
      </c>
      <c r="N2918">
        <v>762938988</v>
      </c>
      <c r="O2918">
        <v>928923524</v>
      </c>
      <c r="P2918">
        <v>577</v>
      </c>
      <c r="Q2918" t="s">
        <v>6174</v>
      </c>
    </row>
    <row r="2919" spans="1:17" x14ac:dyDescent="0.3">
      <c r="A2919" t="s">
        <v>4664</v>
      </c>
      <c r="B2919" t="str">
        <f>"002235"</f>
        <v>002235</v>
      </c>
      <c r="C2919" t="s">
        <v>6175</v>
      </c>
      <c r="D2919" t="s">
        <v>244</v>
      </c>
      <c r="F2919">
        <v>317506971</v>
      </c>
      <c r="G2919">
        <v>233540246</v>
      </c>
      <c r="H2919">
        <v>311001044</v>
      </c>
      <c r="I2919">
        <v>411081003</v>
      </c>
      <c r="J2919">
        <v>470764146</v>
      </c>
      <c r="K2919">
        <v>324143396</v>
      </c>
      <c r="L2919">
        <v>340216354</v>
      </c>
      <c r="M2919">
        <v>374743186</v>
      </c>
      <c r="N2919">
        <v>440395463</v>
      </c>
      <c r="O2919">
        <v>451702671</v>
      </c>
      <c r="P2919">
        <v>142</v>
      </c>
      <c r="Q2919" t="s">
        <v>6176</v>
      </c>
    </row>
    <row r="2920" spans="1:17" x14ac:dyDescent="0.3">
      <c r="A2920" t="s">
        <v>4664</v>
      </c>
      <c r="B2920" t="str">
        <f>"002236"</f>
        <v>002236</v>
      </c>
      <c r="C2920" t="s">
        <v>6177</v>
      </c>
      <c r="D2920" t="s">
        <v>2953</v>
      </c>
      <c r="F2920">
        <v>23072421223</v>
      </c>
      <c r="G2920">
        <v>19198302426</v>
      </c>
      <c r="H2920">
        <v>16730049637</v>
      </c>
      <c r="I2920">
        <v>14096899342</v>
      </c>
      <c r="J2920">
        <v>10440057305</v>
      </c>
      <c r="K2920">
        <v>7813028118</v>
      </c>
      <c r="L2920">
        <v>5280686759</v>
      </c>
      <c r="M2920">
        <v>3797889765</v>
      </c>
      <c r="N2920">
        <v>2627472013</v>
      </c>
      <c r="O2920">
        <v>2199119861</v>
      </c>
      <c r="P2920">
        <v>32899</v>
      </c>
      <c r="Q2920" t="s">
        <v>6178</v>
      </c>
    </row>
    <row r="2921" spans="1:17" x14ac:dyDescent="0.3">
      <c r="A2921" t="s">
        <v>4664</v>
      </c>
      <c r="B2921" t="str">
        <f>"002237"</f>
        <v>002237</v>
      </c>
      <c r="C2921" t="s">
        <v>6179</v>
      </c>
      <c r="D2921" t="s">
        <v>701</v>
      </c>
      <c r="F2921">
        <v>33674543606</v>
      </c>
      <c r="G2921">
        <v>29069410367</v>
      </c>
      <c r="H2921">
        <v>22056876299</v>
      </c>
      <c r="I2921">
        <v>16279742890</v>
      </c>
      <c r="J2921">
        <v>18405874300</v>
      </c>
      <c r="K2921">
        <v>12726838296</v>
      </c>
      <c r="L2921">
        <v>11049376849</v>
      </c>
      <c r="M2921">
        <v>11010616796</v>
      </c>
      <c r="N2921">
        <v>9148647984</v>
      </c>
      <c r="O2921">
        <v>7432078198</v>
      </c>
      <c r="P2921">
        <v>193</v>
      </c>
      <c r="Q2921" t="s">
        <v>6180</v>
      </c>
    </row>
    <row r="2922" spans="1:17" x14ac:dyDescent="0.3">
      <c r="A2922" t="s">
        <v>4664</v>
      </c>
      <c r="B2922" t="str">
        <f>"002238"</f>
        <v>002238</v>
      </c>
      <c r="C2922" t="s">
        <v>6181</v>
      </c>
      <c r="D2922" t="s">
        <v>95</v>
      </c>
      <c r="F2922">
        <v>1274811103</v>
      </c>
      <c r="G2922">
        <v>1233638264</v>
      </c>
      <c r="H2922">
        <v>1169266919</v>
      </c>
      <c r="I2922">
        <v>1149545515</v>
      </c>
      <c r="J2922">
        <v>1306998723</v>
      </c>
      <c r="K2922">
        <v>1319179695</v>
      </c>
      <c r="L2922">
        <v>1026507648</v>
      </c>
      <c r="M2922">
        <v>740628393</v>
      </c>
      <c r="N2922">
        <v>651623954</v>
      </c>
      <c r="O2922">
        <v>697790846</v>
      </c>
      <c r="P2922">
        <v>205</v>
      </c>
      <c r="Q2922" t="s">
        <v>6182</v>
      </c>
    </row>
    <row r="2923" spans="1:17" x14ac:dyDescent="0.3">
      <c r="A2923" t="s">
        <v>4664</v>
      </c>
      <c r="B2923" t="str">
        <f>"002239"</f>
        <v>002239</v>
      </c>
      <c r="C2923" t="s">
        <v>6183</v>
      </c>
      <c r="D2923" t="s">
        <v>1415</v>
      </c>
      <c r="F2923">
        <v>3176928432</v>
      </c>
      <c r="G2923">
        <v>2528078170</v>
      </c>
      <c r="H2923">
        <v>2430127195</v>
      </c>
      <c r="I2923">
        <v>3565945085</v>
      </c>
      <c r="J2923">
        <v>3933281437</v>
      </c>
      <c r="K2923">
        <v>3413395049</v>
      </c>
      <c r="L2923">
        <v>1041850145</v>
      </c>
      <c r="M2923">
        <v>334965552</v>
      </c>
      <c r="N2923">
        <v>365082359</v>
      </c>
      <c r="O2923">
        <v>341573904</v>
      </c>
      <c r="P2923">
        <v>242</v>
      </c>
      <c r="Q2923" t="s">
        <v>6184</v>
      </c>
    </row>
    <row r="2924" spans="1:17" x14ac:dyDescent="0.3">
      <c r="A2924" t="s">
        <v>4664</v>
      </c>
      <c r="B2924" t="str">
        <f>"002240"</f>
        <v>002240</v>
      </c>
      <c r="C2924" t="s">
        <v>6185</v>
      </c>
      <c r="D2924" t="s">
        <v>5300</v>
      </c>
      <c r="F2924">
        <v>984962639</v>
      </c>
      <c r="G2924">
        <v>1172620285</v>
      </c>
      <c r="H2924">
        <v>1560094093</v>
      </c>
      <c r="I2924">
        <v>1805663471</v>
      </c>
      <c r="J2924">
        <v>1541730845</v>
      </c>
      <c r="K2924">
        <v>954553922</v>
      </c>
      <c r="L2924">
        <v>1060313811</v>
      </c>
      <c r="M2924">
        <v>1156495214</v>
      </c>
      <c r="N2924">
        <v>1390188502</v>
      </c>
      <c r="O2924">
        <v>1413541082</v>
      </c>
      <c r="P2924">
        <v>389</v>
      </c>
      <c r="Q2924" t="s">
        <v>6186</v>
      </c>
    </row>
    <row r="2925" spans="1:17" x14ac:dyDescent="0.3">
      <c r="A2925" t="s">
        <v>4664</v>
      </c>
      <c r="B2925" t="str">
        <f>"002241"</f>
        <v>002241</v>
      </c>
      <c r="C2925" t="s">
        <v>6187</v>
      </c>
      <c r="D2925" t="s">
        <v>313</v>
      </c>
      <c r="F2925">
        <v>56513430023</v>
      </c>
      <c r="G2925">
        <v>33183427117</v>
      </c>
      <c r="H2925">
        <v>24203143239</v>
      </c>
      <c r="I2925">
        <v>15338997721</v>
      </c>
      <c r="J2925">
        <v>16962446946</v>
      </c>
      <c r="K2925">
        <v>10747893410</v>
      </c>
      <c r="L2925">
        <v>9719618580</v>
      </c>
      <c r="M2925">
        <v>8452360441</v>
      </c>
      <c r="N2925">
        <v>5633910698</v>
      </c>
      <c r="O2925">
        <v>3834626888</v>
      </c>
      <c r="P2925">
        <v>3528</v>
      </c>
      <c r="Q2925" t="s">
        <v>6188</v>
      </c>
    </row>
    <row r="2926" spans="1:17" x14ac:dyDescent="0.3">
      <c r="A2926" t="s">
        <v>4664</v>
      </c>
      <c r="B2926" t="str">
        <f>"002242"</f>
        <v>002242</v>
      </c>
      <c r="C2926" t="s">
        <v>6189</v>
      </c>
      <c r="D2926" t="s">
        <v>5712</v>
      </c>
      <c r="F2926">
        <v>7968153432</v>
      </c>
      <c r="G2926">
        <v>8020841116</v>
      </c>
      <c r="H2926">
        <v>8272605338</v>
      </c>
      <c r="I2926">
        <v>6969163139</v>
      </c>
      <c r="J2926">
        <v>5835875940</v>
      </c>
      <c r="K2926">
        <v>5771513282</v>
      </c>
      <c r="L2926">
        <v>6055835194</v>
      </c>
      <c r="M2926">
        <v>4972881914</v>
      </c>
      <c r="N2926">
        <v>4314433029</v>
      </c>
      <c r="O2926">
        <v>3991375107</v>
      </c>
      <c r="P2926">
        <v>54902</v>
      </c>
      <c r="Q2926" t="s">
        <v>6190</v>
      </c>
    </row>
    <row r="2927" spans="1:17" x14ac:dyDescent="0.3">
      <c r="A2927" t="s">
        <v>4664</v>
      </c>
      <c r="B2927" t="str">
        <f>"002243"</f>
        <v>002243</v>
      </c>
      <c r="C2927" t="s">
        <v>6191</v>
      </c>
      <c r="D2927" t="s">
        <v>5892</v>
      </c>
      <c r="F2927">
        <v>1742948118</v>
      </c>
      <c r="G2927">
        <v>1607995041</v>
      </c>
      <c r="H2927">
        <v>1159979157</v>
      </c>
      <c r="I2927">
        <v>1019804410</v>
      </c>
      <c r="J2927">
        <v>898399399</v>
      </c>
      <c r="K2927">
        <v>902682173</v>
      </c>
      <c r="L2927">
        <v>878446450</v>
      </c>
      <c r="M2927">
        <v>867410601</v>
      </c>
      <c r="N2927">
        <v>916459319</v>
      </c>
      <c r="O2927">
        <v>812417986</v>
      </c>
      <c r="P2927">
        <v>155</v>
      </c>
      <c r="Q2927" t="s">
        <v>6192</v>
      </c>
    </row>
    <row r="2928" spans="1:17" x14ac:dyDescent="0.3">
      <c r="A2928" t="s">
        <v>4664</v>
      </c>
      <c r="B2928" t="str">
        <f>"002244"</f>
        <v>002244</v>
      </c>
      <c r="C2928" t="s">
        <v>6193</v>
      </c>
      <c r="D2928" t="s">
        <v>104</v>
      </c>
      <c r="F2928">
        <v>46021607687</v>
      </c>
      <c r="G2928">
        <v>39752892093</v>
      </c>
      <c r="H2928">
        <v>29425774380</v>
      </c>
      <c r="I2928">
        <v>14769110027</v>
      </c>
      <c r="J2928">
        <v>14822990662</v>
      </c>
      <c r="K2928">
        <v>17869370214</v>
      </c>
      <c r="L2928">
        <v>12919601371</v>
      </c>
      <c r="M2928">
        <v>5557784657</v>
      </c>
      <c r="N2928">
        <v>7874957659</v>
      </c>
      <c r="O2928">
        <v>5819019169</v>
      </c>
      <c r="P2928">
        <v>403</v>
      </c>
      <c r="Q2928" t="s">
        <v>6194</v>
      </c>
    </row>
    <row r="2929" spans="1:17" x14ac:dyDescent="0.3">
      <c r="A2929" t="s">
        <v>4664</v>
      </c>
      <c r="B2929" t="str">
        <f>"002245"</f>
        <v>002245</v>
      </c>
      <c r="C2929" t="s">
        <v>6195</v>
      </c>
      <c r="D2929" t="s">
        <v>359</v>
      </c>
      <c r="F2929">
        <v>4412236954</v>
      </c>
      <c r="G2929">
        <v>2708365116</v>
      </c>
      <c r="H2929">
        <v>2806254377</v>
      </c>
      <c r="I2929">
        <v>2448361543</v>
      </c>
      <c r="J2929">
        <v>2104472985</v>
      </c>
      <c r="K2929">
        <v>1385806208</v>
      </c>
      <c r="L2929">
        <v>1302736589</v>
      </c>
      <c r="M2929">
        <v>1208990444</v>
      </c>
      <c r="N2929">
        <v>1183359284</v>
      </c>
      <c r="O2929">
        <v>1521238693</v>
      </c>
      <c r="P2929">
        <v>377</v>
      </c>
      <c r="Q2929" t="s">
        <v>6196</v>
      </c>
    </row>
    <row r="2930" spans="1:17" x14ac:dyDescent="0.3">
      <c r="A2930" t="s">
        <v>4664</v>
      </c>
      <c r="B2930" t="str">
        <f>"002246"</f>
        <v>002246</v>
      </c>
      <c r="C2930" t="s">
        <v>6197</v>
      </c>
      <c r="D2930" t="s">
        <v>2713</v>
      </c>
      <c r="F2930">
        <v>1493083995</v>
      </c>
      <c r="G2930">
        <v>1174705218</v>
      </c>
      <c r="H2930">
        <v>1373289950</v>
      </c>
      <c r="I2930">
        <v>1078313333</v>
      </c>
      <c r="J2930">
        <v>1157141866</v>
      </c>
      <c r="K2930">
        <v>576481607</v>
      </c>
      <c r="L2930">
        <v>826923195</v>
      </c>
      <c r="M2930">
        <v>1194307499</v>
      </c>
      <c r="N2930">
        <v>1201742061</v>
      </c>
      <c r="O2930">
        <v>992189506</v>
      </c>
      <c r="P2930">
        <v>117</v>
      </c>
      <c r="Q2930" t="s">
        <v>6198</v>
      </c>
    </row>
    <row r="2931" spans="1:17" x14ac:dyDescent="0.3">
      <c r="A2931" t="s">
        <v>4664</v>
      </c>
      <c r="B2931" t="str">
        <f>"002247"</f>
        <v>002247</v>
      </c>
      <c r="C2931" t="s">
        <v>6199</v>
      </c>
      <c r="D2931" t="s">
        <v>207</v>
      </c>
      <c r="F2931">
        <v>472901635</v>
      </c>
      <c r="G2931">
        <v>487465159</v>
      </c>
      <c r="H2931">
        <v>2024866902</v>
      </c>
      <c r="I2931">
        <v>2319795610</v>
      </c>
      <c r="J2931">
        <v>1531612377</v>
      </c>
      <c r="K2931">
        <v>990185670</v>
      </c>
      <c r="L2931">
        <v>673969387</v>
      </c>
      <c r="M2931">
        <v>631821449</v>
      </c>
      <c r="N2931">
        <v>540140778</v>
      </c>
      <c r="O2931">
        <v>451236857</v>
      </c>
      <c r="P2931">
        <v>90</v>
      </c>
      <c r="Q2931" t="s">
        <v>6200</v>
      </c>
    </row>
    <row r="2932" spans="1:17" x14ac:dyDescent="0.3">
      <c r="A2932" t="s">
        <v>4664</v>
      </c>
      <c r="B2932" t="str">
        <f>"002248"</f>
        <v>002248</v>
      </c>
      <c r="C2932" t="s">
        <v>6201</v>
      </c>
      <c r="D2932" t="s">
        <v>2312</v>
      </c>
      <c r="F2932">
        <v>103294712</v>
      </c>
      <c r="G2932">
        <v>58545571</v>
      </c>
      <c r="H2932">
        <v>56693075</v>
      </c>
      <c r="I2932">
        <v>44238116</v>
      </c>
      <c r="J2932">
        <v>53215146</v>
      </c>
      <c r="K2932">
        <v>98733550</v>
      </c>
      <c r="L2932">
        <v>152895028</v>
      </c>
      <c r="M2932">
        <v>144731238</v>
      </c>
      <c r="N2932">
        <v>193922815</v>
      </c>
      <c r="O2932">
        <v>247517592</v>
      </c>
      <c r="P2932">
        <v>109</v>
      </c>
      <c r="Q2932" t="s">
        <v>6202</v>
      </c>
    </row>
    <row r="2933" spans="1:17" x14ac:dyDescent="0.3">
      <c r="A2933" t="s">
        <v>4664</v>
      </c>
      <c r="B2933" t="str">
        <f>"002249"</f>
        <v>002249</v>
      </c>
      <c r="C2933" t="s">
        <v>6203</v>
      </c>
      <c r="D2933" t="s">
        <v>1171</v>
      </c>
      <c r="F2933">
        <v>6968975783</v>
      </c>
      <c r="G2933">
        <v>5576223592</v>
      </c>
      <c r="H2933">
        <v>6237881782</v>
      </c>
      <c r="I2933">
        <v>6882793392</v>
      </c>
      <c r="J2933">
        <v>5752113058</v>
      </c>
      <c r="K2933">
        <v>4603907113</v>
      </c>
      <c r="L2933">
        <v>3322748788</v>
      </c>
      <c r="M2933">
        <v>3067974177</v>
      </c>
      <c r="N2933">
        <v>2441255617</v>
      </c>
      <c r="O2933">
        <v>2046964153</v>
      </c>
      <c r="P2933">
        <v>338</v>
      </c>
      <c r="Q2933" t="s">
        <v>6204</v>
      </c>
    </row>
    <row r="2934" spans="1:17" x14ac:dyDescent="0.3">
      <c r="A2934" t="s">
        <v>4664</v>
      </c>
      <c r="B2934" t="str">
        <f>"002250"</f>
        <v>002250</v>
      </c>
      <c r="C2934" t="s">
        <v>6205</v>
      </c>
      <c r="D2934" t="s">
        <v>853</v>
      </c>
      <c r="F2934">
        <v>3764987772</v>
      </c>
      <c r="G2934">
        <v>3376770271</v>
      </c>
      <c r="H2934">
        <v>3278464753</v>
      </c>
      <c r="I2934">
        <v>2591720544</v>
      </c>
      <c r="J2934">
        <v>2709704334</v>
      </c>
      <c r="K2934">
        <v>2387857373</v>
      </c>
      <c r="L2934">
        <v>3360936172</v>
      </c>
      <c r="M2934">
        <v>3060526720</v>
      </c>
      <c r="N2934">
        <v>2412415076</v>
      </c>
      <c r="O2934">
        <v>2155556293</v>
      </c>
      <c r="P2934">
        <v>348</v>
      </c>
      <c r="Q2934" t="s">
        <v>6206</v>
      </c>
    </row>
    <row r="2935" spans="1:17" x14ac:dyDescent="0.3">
      <c r="A2935" t="s">
        <v>4664</v>
      </c>
      <c r="B2935" t="str">
        <f>"002251"</f>
        <v>002251</v>
      </c>
      <c r="C2935" t="s">
        <v>6207</v>
      </c>
      <c r="D2935" t="s">
        <v>798</v>
      </c>
      <c r="F2935">
        <v>15606006266</v>
      </c>
      <c r="G2935">
        <v>16831427212</v>
      </c>
      <c r="H2935">
        <v>16588329819</v>
      </c>
      <c r="I2935">
        <v>15892193904</v>
      </c>
      <c r="J2935">
        <v>14667455293</v>
      </c>
      <c r="K2935">
        <v>13820708024</v>
      </c>
      <c r="L2935">
        <v>13373564686</v>
      </c>
      <c r="M2935">
        <v>10554051645</v>
      </c>
      <c r="N2935">
        <v>9922021344</v>
      </c>
      <c r="O2935">
        <v>8961501973</v>
      </c>
      <c r="P2935">
        <v>196</v>
      </c>
      <c r="Q2935" t="s">
        <v>6208</v>
      </c>
    </row>
    <row r="2936" spans="1:17" x14ac:dyDescent="0.3">
      <c r="A2936" t="s">
        <v>4664</v>
      </c>
      <c r="B2936" t="str">
        <f>"002252"</f>
        <v>002252</v>
      </c>
      <c r="C2936" t="s">
        <v>6209</v>
      </c>
      <c r="D2936" t="s">
        <v>378</v>
      </c>
      <c r="F2936">
        <v>2972986657</v>
      </c>
      <c r="G2936">
        <v>2132490741</v>
      </c>
      <c r="H2936">
        <v>2003553188</v>
      </c>
      <c r="I2936">
        <v>1520819186</v>
      </c>
      <c r="J2936">
        <v>1391151198</v>
      </c>
      <c r="K2936">
        <v>1450415588</v>
      </c>
      <c r="L2936">
        <v>1412873615</v>
      </c>
      <c r="M2936">
        <v>855830568</v>
      </c>
      <c r="N2936">
        <v>441264107</v>
      </c>
      <c r="O2936">
        <v>532141736</v>
      </c>
      <c r="P2936">
        <v>602</v>
      </c>
      <c r="Q2936" t="s">
        <v>6210</v>
      </c>
    </row>
    <row r="2937" spans="1:17" x14ac:dyDescent="0.3">
      <c r="A2937" t="s">
        <v>4664</v>
      </c>
      <c r="B2937" t="str">
        <f>"002253"</f>
        <v>002253</v>
      </c>
      <c r="C2937" t="s">
        <v>6211</v>
      </c>
      <c r="D2937" t="s">
        <v>945</v>
      </c>
      <c r="F2937">
        <v>224391842</v>
      </c>
      <c r="G2937">
        <v>189620182</v>
      </c>
      <c r="H2937">
        <v>171195853</v>
      </c>
      <c r="I2937">
        <v>201575014</v>
      </c>
      <c r="J2937">
        <v>144415444</v>
      </c>
      <c r="K2937">
        <v>159804596</v>
      </c>
      <c r="L2937">
        <v>194267443</v>
      </c>
      <c r="M2937">
        <v>158410993</v>
      </c>
      <c r="N2937">
        <v>144800742</v>
      </c>
      <c r="O2937">
        <v>145208160</v>
      </c>
      <c r="P2937">
        <v>151</v>
      </c>
      <c r="Q2937" t="s">
        <v>6212</v>
      </c>
    </row>
    <row r="2938" spans="1:17" x14ac:dyDescent="0.3">
      <c r="A2938" t="s">
        <v>4664</v>
      </c>
      <c r="B2938" t="str">
        <f>"002254"</f>
        <v>002254</v>
      </c>
      <c r="C2938" t="s">
        <v>6213</v>
      </c>
      <c r="D2938" t="s">
        <v>5558</v>
      </c>
      <c r="F2938">
        <v>1813525843</v>
      </c>
      <c r="G2938">
        <v>1076165243</v>
      </c>
      <c r="H2938">
        <v>1138666501</v>
      </c>
      <c r="I2938">
        <v>1086939896</v>
      </c>
      <c r="J2938">
        <v>944285853</v>
      </c>
      <c r="K2938">
        <v>883109731</v>
      </c>
      <c r="L2938">
        <v>806533636</v>
      </c>
      <c r="M2938">
        <v>1021265858</v>
      </c>
      <c r="N2938">
        <v>904973500</v>
      </c>
      <c r="O2938">
        <v>831795704</v>
      </c>
      <c r="P2938">
        <v>215</v>
      </c>
      <c r="Q2938" t="s">
        <v>6214</v>
      </c>
    </row>
    <row r="2939" spans="1:17" x14ac:dyDescent="0.3">
      <c r="A2939" t="s">
        <v>4664</v>
      </c>
      <c r="B2939" t="str">
        <f>"002255"</f>
        <v>002255</v>
      </c>
      <c r="C2939" t="s">
        <v>6215</v>
      </c>
      <c r="D2939" t="s">
        <v>470</v>
      </c>
      <c r="F2939">
        <v>1270986754</v>
      </c>
      <c r="G2939">
        <v>1246660002</v>
      </c>
      <c r="H2939">
        <v>1459624445</v>
      </c>
      <c r="I2939">
        <v>1448680963</v>
      </c>
      <c r="J2939">
        <v>902470857</v>
      </c>
      <c r="K2939">
        <v>544691423</v>
      </c>
      <c r="L2939">
        <v>645565889</v>
      </c>
      <c r="M2939">
        <v>909023133</v>
      </c>
      <c r="N2939">
        <v>906741231</v>
      </c>
      <c r="O2939">
        <v>1037133057</v>
      </c>
      <c r="P2939">
        <v>107</v>
      </c>
      <c r="Q2939" t="s">
        <v>6216</v>
      </c>
    </row>
    <row r="2940" spans="1:17" x14ac:dyDescent="0.3">
      <c r="A2940" t="s">
        <v>4664</v>
      </c>
      <c r="B2940" t="str">
        <f>"002256"</f>
        <v>002256</v>
      </c>
      <c r="C2940" t="s">
        <v>6217</v>
      </c>
      <c r="D2940" t="s">
        <v>86</v>
      </c>
      <c r="F2940">
        <v>213451161</v>
      </c>
      <c r="G2940">
        <v>251164738</v>
      </c>
      <c r="H2940">
        <v>259390148</v>
      </c>
      <c r="I2940">
        <v>478854922</v>
      </c>
      <c r="J2940">
        <v>400306185</v>
      </c>
      <c r="K2940">
        <v>439898801</v>
      </c>
      <c r="L2940">
        <v>352558873</v>
      </c>
      <c r="M2940">
        <v>340246316</v>
      </c>
      <c r="N2940">
        <v>409784716</v>
      </c>
      <c r="O2940">
        <v>313318830</v>
      </c>
      <c r="P2940">
        <v>151</v>
      </c>
      <c r="Q2940" t="s">
        <v>6218</v>
      </c>
    </row>
    <row r="2941" spans="1:17" x14ac:dyDescent="0.3">
      <c r="A2941" t="s">
        <v>4664</v>
      </c>
      <c r="B2941" t="str">
        <f>"002258"</f>
        <v>002258</v>
      </c>
      <c r="C2941" t="s">
        <v>6219</v>
      </c>
      <c r="D2941" t="s">
        <v>853</v>
      </c>
      <c r="F2941">
        <v>3245993941</v>
      </c>
      <c r="G2941">
        <v>2575767007</v>
      </c>
      <c r="H2941">
        <v>2450531598</v>
      </c>
      <c r="I2941">
        <v>2760373705</v>
      </c>
      <c r="J2941">
        <v>1271667690</v>
      </c>
      <c r="K2941">
        <v>855538664</v>
      </c>
      <c r="L2941">
        <v>862802377</v>
      </c>
      <c r="M2941">
        <v>781823342</v>
      </c>
      <c r="N2941">
        <v>814990165</v>
      </c>
      <c r="O2941">
        <v>721717221</v>
      </c>
      <c r="P2941">
        <v>646</v>
      </c>
      <c r="Q2941" t="s">
        <v>6220</v>
      </c>
    </row>
    <row r="2942" spans="1:17" x14ac:dyDescent="0.3">
      <c r="A2942" t="s">
        <v>4664</v>
      </c>
      <c r="B2942" t="str">
        <f>"002259"</f>
        <v>002259</v>
      </c>
      <c r="C2942" t="s">
        <v>6221</v>
      </c>
      <c r="D2942" t="s">
        <v>749</v>
      </c>
      <c r="F2942">
        <v>1143291571</v>
      </c>
      <c r="G2942">
        <v>646342642</v>
      </c>
      <c r="H2942">
        <v>926712903</v>
      </c>
      <c r="I2942">
        <v>804425805</v>
      </c>
      <c r="J2942">
        <v>958400508</v>
      </c>
      <c r="K2942">
        <v>1128066166</v>
      </c>
      <c r="L2942">
        <v>386041675</v>
      </c>
      <c r="M2942">
        <v>663241290</v>
      </c>
      <c r="N2942">
        <v>596294820</v>
      </c>
      <c r="O2942">
        <v>509095934</v>
      </c>
      <c r="P2942">
        <v>59</v>
      </c>
      <c r="Q2942" t="s">
        <v>6222</v>
      </c>
    </row>
    <row r="2943" spans="1:17" x14ac:dyDescent="0.3">
      <c r="A2943" t="s">
        <v>4664</v>
      </c>
      <c r="B2943" t="str">
        <f>"002260"</f>
        <v>002260</v>
      </c>
      <c r="C2943" t="s">
        <v>6223</v>
      </c>
      <c r="D2943" t="s">
        <v>5712</v>
      </c>
      <c r="F2943">
        <v>601328920</v>
      </c>
      <c r="G2943">
        <v>302074482</v>
      </c>
      <c r="H2943">
        <v>276157460</v>
      </c>
      <c r="I2943">
        <v>477600728</v>
      </c>
      <c r="J2943">
        <v>508936515</v>
      </c>
      <c r="K2943">
        <v>489637524</v>
      </c>
      <c r="L2943">
        <v>511678937</v>
      </c>
      <c r="M2943">
        <v>408823498</v>
      </c>
      <c r="N2943">
        <v>471798700</v>
      </c>
      <c r="O2943">
        <v>450010721</v>
      </c>
      <c r="P2943">
        <v>57</v>
      </c>
      <c r="Q2943" t="s">
        <v>6224</v>
      </c>
    </row>
    <row r="2944" spans="1:17" x14ac:dyDescent="0.3">
      <c r="A2944" t="s">
        <v>4664</v>
      </c>
      <c r="B2944" t="str">
        <f>"002261"</f>
        <v>002261</v>
      </c>
      <c r="C2944" t="s">
        <v>6225</v>
      </c>
      <c r="D2944" t="s">
        <v>1285</v>
      </c>
      <c r="F2944">
        <v>1511603335</v>
      </c>
      <c r="G2944">
        <v>920679175</v>
      </c>
      <c r="H2944">
        <v>791872419</v>
      </c>
      <c r="I2944">
        <v>755286863</v>
      </c>
      <c r="J2944">
        <v>771980848</v>
      </c>
      <c r="K2944">
        <v>715835484</v>
      </c>
      <c r="L2944">
        <v>494642372</v>
      </c>
      <c r="M2944">
        <v>512556212</v>
      </c>
      <c r="N2944">
        <v>325080107</v>
      </c>
      <c r="O2944">
        <v>236380591</v>
      </c>
      <c r="P2944">
        <v>299</v>
      </c>
      <c r="Q2944" t="s">
        <v>6226</v>
      </c>
    </row>
    <row r="2945" spans="1:17" x14ac:dyDescent="0.3">
      <c r="A2945" t="s">
        <v>4664</v>
      </c>
      <c r="B2945" t="str">
        <f>"002262"</f>
        <v>002262</v>
      </c>
      <c r="C2945" t="s">
        <v>6227</v>
      </c>
      <c r="D2945" t="s">
        <v>143</v>
      </c>
      <c r="F2945">
        <v>3160762960</v>
      </c>
      <c r="G2945">
        <v>2595400146</v>
      </c>
      <c r="H2945">
        <v>3426823922</v>
      </c>
      <c r="I2945">
        <v>2812924272</v>
      </c>
      <c r="J2945">
        <v>2495227240</v>
      </c>
      <c r="K2945">
        <v>2076800031</v>
      </c>
      <c r="L2945">
        <v>1995711988</v>
      </c>
      <c r="M2945">
        <v>1788575270</v>
      </c>
      <c r="N2945">
        <v>1591069704</v>
      </c>
      <c r="O2945">
        <v>1409624046</v>
      </c>
      <c r="P2945">
        <v>51365</v>
      </c>
      <c r="Q2945" t="s">
        <v>6228</v>
      </c>
    </row>
    <row r="2946" spans="1:17" x14ac:dyDescent="0.3">
      <c r="A2946" t="s">
        <v>4664</v>
      </c>
      <c r="B2946" t="str">
        <f>"002263"</f>
        <v>002263</v>
      </c>
      <c r="C2946" t="s">
        <v>6229</v>
      </c>
      <c r="D2946" t="s">
        <v>324</v>
      </c>
      <c r="F2946">
        <v>1168340644</v>
      </c>
      <c r="G2946">
        <v>1064108716</v>
      </c>
      <c r="H2946">
        <v>1094484752</v>
      </c>
      <c r="I2946">
        <v>1060121762</v>
      </c>
      <c r="J2946">
        <v>741256336</v>
      </c>
      <c r="K2946">
        <v>567620912</v>
      </c>
      <c r="L2946">
        <v>786105671</v>
      </c>
      <c r="M2946">
        <v>646077488</v>
      </c>
      <c r="N2946">
        <v>512018890</v>
      </c>
      <c r="O2946">
        <v>631956901</v>
      </c>
      <c r="P2946">
        <v>126</v>
      </c>
      <c r="Q2946" t="s">
        <v>6230</v>
      </c>
    </row>
    <row r="2947" spans="1:17" x14ac:dyDescent="0.3">
      <c r="A2947" t="s">
        <v>4664</v>
      </c>
      <c r="B2947" t="str">
        <f>"002264"</f>
        <v>002264</v>
      </c>
      <c r="C2947" t="s">
        <v>6231</v>
      </c>
      <c r="D2947" t="s">
        <v>798</v>
      </c>
      <c r="F2947">
        <v>4462712706</v>
      </c>
      <c r="G2947">
        <v>3877844495</v>
      </c>
      <c r="H2947">
        <v>4759800484</v>
      </c>
      <c r="I2947">
        <v>5517715485</v>
      </c>
      <c r="J2947">
        <v>5778326318</v>
      </c>
      <c r="K2947">
        <v>5586407233</v>
      </c>
      <c r="L2947">
        <v>5625479437</v>
      </c>
      <c r="M2947">
        <v>5777938995</v>
      </c>
      <c r="N2947">
        <v>6316604738</v>
      </c>
      <c r="O2947">
        <v>5810551127</v>
      </c>
      <c r="P2947">
        <v>96</v>
      </c>
      <c r="Q2947" t="s">
        <v>6232</v>
      </c>
    </row>
    <row r="2948" spans="1:17" x14ac:dyDescent="0.3">
      <c r="A2948" t="s">
        <v>4664</v>
      </c>
      <c r="B2948" t="str">
        <f>"002265"</f>
        <v>002265</v>
      </c>
      <c r="C2948" t="s">
        <v>6233</v>
      </c>
      <c r="D2948" t="s">
        <v>348</v>
      </c>
      <c r="F2948">
        <v>447376932</v>
      </c>
      <c r="G2948">
        <v>383121184</v>
      </c>
      <c r="H2948">
        <v>400671504</v>
      </c>
      <c r="I2948">
        <v>456615291</v>
      </c>
      <c r="J2948">
        <v>499721617</v>
      </c>
      <c r="K2948">
        <v>227634459</v>
      </c>
      <c r="L2948">
        <v>219954333</v>
      </c>
      <c r="M2948">
        <v>213523930</v>
      </c>
      <c r="N2948">
        <v>165977859</v>
      </c>
      <c r="O2948">
        <v>154689366</v>
      </c>
      <c r="P2948">
        <v>86</v>
      </c>
      <c r="Q2948" t="s">
        <v>6234</v>
      </c>
    </row>
    <row r="2949" spans="1:17" x14ac:dyDescent="0.3">
      <c r="A2949" t="s">
        <v>4664</v>
      </c>
      <c r="B2949" t="str">
        <f>"002266"</f>
        <v>002266</v>
      </c>
      <c r="C2949" t="s">
        <v>6235</v>
      </c>
      <c r="D2949" t="s">
        <v>499</v>
      </c>
      <c r="F2949">
        <v>11703041327</v>
      </c>
      <c r="G2949">
        <v>6356991880</v>
      </c>
      <c r="H2949">
        <v>774255862</v>
      </c>
      <c r="I2949">
        <v>653413316</v>
      </c>
      <c r="J2949">
        <v>821305746</v>
      </c>
      <c r="K2949">
        <v>729019511</v>
      </c>
      <c r="L2949">
        <v>663489672</v>
      </c>
      <c r="M2949">
        <v>571336872</v>
      </c>
      <c r="N2949">
        <v>468301324</v>
      </c>
      <c r="O2949">
        <v>629544002</v>
      </c>
      <c r="P2949">
        <v>297</v>
      </c>
      <c r="Q2949" t="s">
        <v>6236</v>
      </c>
    </row>
    <row r="2950" spans="1:17" x14ac:dyDescent="0.3">
      <c r="A2950" t="s">
        <v>4664</v>
      </c>
      <c r="B2950" t="str">
        <f>"002267"</f>
        <v>002267</v>
      </c>
      <c r="C2950" t="s">
        <v>6237</v>
      </c>
      <c r="D2950" t="s">
        <v>749</v>
      </c>
      <c r="F2950">
        <v>5536296807</v>
      </c>
      <c r="G2950">
        <v>5629469775</v>
      </c>
      <c r="H2950">
        <v>6820847939</v>
      </c>
      <c r="I2950">
        <v>6262779949</v>
      </c>
      <c r="J2950">
        <v>5380552578</v>
      </c>
      <c r="K2950">
        <v>5240112778</v>
      </c>
      <c r="L2950">
        <v>4860953498</v>
      </c>
      <c r="M2950">
        <v>3818707985</v>
      </c>
      <c r="N2950">
        <v>3120250746</v>
      </c>
      <c r="O2950">
        <v>2707315869</v>
      </c>
      <c r="P2950">
        <v>202</v>
      </c>
      <c r="Q2950" t="s">
        <v>6238</v>
      </c>
    </row>
    <row r="2951" spans="1:17" x14ac:dyDescent="0.3">
      <c r="A2951" t="s">
        <v>4664</v>
      </c>
      <c r="B2951" t="str">
        <f>"002268"</f>
        <v>002268</v>
      </c>
      <c r="C2951" t="s">
        <v>6239</v>
      </c>
      <c r="D2951" t="s">
        <v>236</v>
      </c>
      <c r="F2951">
        <v>1690293203</v>
      </c>
      <c r="G2951">
        <v>1100886050</v>
      </c>
      <c r="H2951">
        <v>1061542278</v>
      </c>
      <c r="I2951">
        <v>896929047</v>
      </c>
      <c r="J2951">
        <v>932165136</v>
      </c>
      <c r="K2951">
        <v>681157566</v>
      </c>
      <c r="L2951">
        <v>576891608</v>
      </c>
      <c r="M2951">
        <v>242461288</v>
      </c>
      <c r="N2951">
        <v>188150921</v>
      </c>
      <c r="O2951">
        <v>167383865</v>
      </c>
      <c r="P2951">
        <v>525</v>
      </c>
      <c r="Q2951" t="s">
        <v>6240</v>
      </c>
    </row>
    <row r="2952" spans="1:17" x14ac:dyDescent="0.3">
      <c r="A2952" t="s">
        <v>4664</v>
      </c>
      <c r="B2952" t="str">
        <f>"002269"</f>
        <v>002269</v>
      </c>
      <c r="C2952" t="s">
        <v>6241</v>
      </c>
      <c r="D2952" t="s">
        <v>255</v>
      </c>
      <c r="F2952">
        <v>2211870214</v>
      </c>
      <c r="G2952">
        <v>3259331346</v>
      </c>
      <c r="H2952">
        <v>4388459844</v>
      </c>
      <c r="I2952">
        <v>5727578145</v>
      </c>
      <c r="J2952">
        <v>4963015924</v>
      </c>
      <c r="K2952">
        <v>5241110067</v>
      </c>
      <c r="L2952">
        <v>5035877795</v>
      </c>
      <c r="M2952">
        <v>5505306507</v>
      </c>
      <c r="N2952">
        <v>6677146433</v>
      </c>
      <c r="O2952">
        <v>8402151201</v>
      </c>
      <c r="P2952">
        <v>143</v>
      </c>
      <c r="Q2952" t="s">
        <v>6242</v>
      </c>
    </row>
    <row r="2953" spans="1:17" x14ac:dyDescent="0.3">
      <c r="A2953" t="s">
        <v>4664</v>
      </c>
      <c r="B2953" t="str">
        <f>"002270"</f>
        <v>002270</v>
      </c>
      <c r="C2953" t="s">
        <v>6243</v>
      </c>
      <c r="D2953" t="s">
        <v>210</v>
      </c>
      <c r="F2953">
        <v>1124746502</v>
      </c>
      <c r="G2953">
        <v>975996256</v>
      </c>
      <c r="H2953">
        <v>623191831</v>
      </c>
      <c r="I2953">
        <v>907435570</v>
      </c>
      <c r="J2953">
        <v>429190294</v>
      </c>
      <c r="K2953">
        <v>515627131</v>
      </c>
      <c r="L2953">
        <v>185024736</v>
      </c>
      <c r="M2953">
        <v>243200187</v>
      </c>
      <c r="N2953">
        <v>266551178</v>
      </c>
      <c r="O2953">
        <v>230093696</v>
      </c>
      <c r="P2953">
        <v>160</v>
      </c>
      <c r="Q2953" t="s">
        <v>6244</v>
      </c>
    </row>
    <row r="2954" spans="1:17" x14ac:dyDescent="0.3">
      <c r="A2954" t="s">
        <v>4664</v>
      </c>
      <c r="B2954" t="str">
        <f>"002271"</f>
        <v>002271</v>
      </c>
      <c r="C2954" t="s">
        <v>6245</v>
      </c>
      <c r="D2954" t="s">
        <v>6246</v>
      </c>
      <c r="F2954">
        <v>21843626826</v>
      </c>
      <c r="G2954">
        <v>13731784912</v>
      </c>
      <c r="H2954">
        <v>11301670895</v>
      </c>
      <c r="I2954">
        <v>9603386532</v>
      </c>
      <c r="J2954">
        <v>7043215462</v>
      </c>
      <c r="K2954">
        <v>4727386825</v>
      </c>
      <c r="L2954">
        <v>3613824559</v>
      </c>
      <c r="M2954">
        <v>3766930114</v>
      </c>
      <c r="N2954">
        <v>3064858794</v>
      </c>
      <c r="O2954">
        <v>2252012460</v>
      </c>
      <c r="P2954">
        <v>22866</v>
      </c>
      <c r="Q2954" t="s">
        <v>6247</v>
      </c>
    </row>
    <row r="2955" spans="1:17" x14ac:dyDescent="0.3">
      <c r="A2955" t="s">
        <v>4664</v>
      </c>
      <c r="B2955" t="str">
        <f>"002272"</f>
        <v>002272</v>
      </c>
      <c r="C2955" t="s">
        <v>6248</v>
      </c>
      <c r="D2955" t="s">
        <v>2001</v>
      </c>
      <c r="F2955">
        <v>633072726</v>
      </c>
      <c r="G2955">
        <v>577303696</v>
      </c>
      <c r="H2955">
        <v>426316516</v>
      </c>
      <c r="I2955">
        <v>411758005</v>
      </c>
      <c r="J2955">
        <v>358006982</v>
      </c>
      <c r="K2955">
        <v>336398822</v>
      </c>
      <c r="L2955">
        <v>339341900</v>
      </c>
      <c r="M2955">
        <v>338894950</v>
      </c>
      <c r="N2955">
        <v>277501792</v>
      </c>
      <c r="O2955">
        <v>302142262</v>
      </c>
      <c r="P2955">
        <v>107</v>
      </c>
      <c r="Q2955" t="s">
        <v>6249</v>
      </c>
    </row>
    <row r="2956" spans="1:17" x14ac:dyDescent="0.3">
      <c r="A2956" t="s">
        <v>4664</v>
      </c>
      <c r="B2956" t="str">
        <f>"002273"</f>
        <v>002273</v>
      </c>
      <c r="C2956" t="s">
        <v>6250</v>
      </c>
      <c r="D2956" t="s">
        <v>164</v>
      </c>
      <c r="F2956">
        <v>2740056267</v>
      </c>
      <c r="G2956">
        <v>2368773217</v>
      </c>
      <c r="H2956">
        <v>1898033510</v>
      </c>
      <c r="I2956">
        <v>1532972197</v>
      </c>
      <c r="J2956">
        <v>1554284535</v>
      </c>
      <c r="K2956">
        <v>1063631877</v>
      </c>
      <c r="L2956">
        <v>708563779</v>
      </c>
      <c r="M2956">
        <v>633163854</v>
      </c>
      <c r="N2956">
        <v>370921185</v>
      </c>
      <c r="O2956">
        <v>377738459</v>
      </c>
      <c r="P2956">
        <v>949</v>
      </c>
      <c r="Q2956" t="s">
        <v>6251</v>
      </c>
    </row>
    <row r="2957" spans="1:17" x14ac:dyDescent="0.3">
      <c r="A2957" t="s">
        <v>4664</v>
      </c>
      <c r="B2957" t="str">
        <f>"002274"</f>
        <v>002274</v>
      </c>
      <c r="C2957" t="s">
        <v>6252</v>
      </c>
      <c r="D2957" t="s">
        <v>5489</v>
      </c>
      <c r="F2957">
        <v>5103352901</v>
      </c>
      <c r="G2957">
        <v>2773102785</v>
      </c>
      <c r="H2957">
        <v>3355918689</v>
      </c>
      <c r="I2957">
        <v>2839063431</v>
      </c>
      <c r="J2957">
        <v>4380264343</v>
      </c>
      <c r="K2957">
        <v>3029520433</v>
      </c>
      <c r="L2957">
        <v>3534610012</v>
      </c>
      <c r="M2957">
        <v>3571690874</v>
      </c>
      <c r="N2957">
        <v>3338937082</v>
      </c>
      <c r="O2957">
        <v>2989543273</v>
      </c>
      <c r="P2957">
        <v>217</v>
      </c>
      <c r="Q2957" t="s">
        <v>6253</v>
      </c>
    </row>
    <row r="2958" spans="1:17" x14ac:dyDescent="0.3">
      <c r="A2958" t="s">
        <v>4664</v>
      </c>
      <c r="B2958" t="str">
        <f>"002275"</f>
        <v>002275</v>
      </c>
      <c r="C2958" t="s">
        <v>6254</v>
      </c>
      <c r="D2958" t="s">
        <v>188</v>
      </c>
      <c r="F2958">
        <v>1268988790</v>
      </c>
      <c r="G2958">
        <v>1469806905</v>
      </c>
      <c r="H2958">
        <v>1520528355</v>
      </c>
      <c r="I2958">
        <v>1383674740</v>
      </c>
      <c r="J2958">
        <v>1224388631</v>
      </c>
      <c r="K2958">
        <v>1312840716</v>
      </c>
      <c r="L2958">
        <v>1197635528</v>
      </c>
      <c r="M2958">
        <v>1240106024</v>
      </c>
      <c r="N2958">
        <v>1154398398</v>
      </c>
      <c r="O2958">
        <v>996464680</v>
      </c>
      <c r="P2958">
        <v>11978</v>
      </c>
      <c r="Q2958" t="s">
        <v>6255</v>
      </c>
    </row>
    <row r="2959" spans="1:17" x14ac:dyDescent="0.3">
      <c r="A2959" t="s">
        <v>4664</v>
      </c>
      <c r="B2959" t="str">
        <f>"002276"</f>
        <v>002276</v>
      </c>
      <c r="C2959" t="s">
        <v>6256</v>
      </c>
      <c r="D2959" t="s">
        <v>1164</v>
      </c>
      <c r="F2959">
        <v>7199657569</v>
      </c>
      <c r="G2959">
        <v>5430104339</v>
      </c>
      <c r="H2959">
        <v>5809817507</v>
      </c>
      <c r="I2959">
        <v>5171233261</v>
      </c>
      <c r="J2959">
        <v>3950308528</v>
      </c>
      <c r="K2959">
        <v>3627786190</v>
      </c>
      <c r="L2959">
        <v>3474741130</v>
      </c>
      <c r="M2959">
        <v>2877234378</v>
      </c>
      <c r="N2959">
        <v>2733334846</v>
      </c>
      <c r="O2959">
        <v>1721081238</v>
      </c>
      <c r="P2959">
        <v>255</v>
      </c>
      <c r="Q2959" t="s">
        <v>6257</v>
      </c>
    </row>
    <row r="2960" spans="1:17" x14ac:dyDescent="0.3">
      <c r="A2960" t="s">
        <v>4664</v>
      </c>
      <c r="B2960" t="str">
        <f>"002277"</f>
        <v>002277</v>
      </c>
      <c r="C2960" t="s">
        <v>6258</v>
      </c>
      <c r="D2960" t="s">
        <v>633</v>
      </c>
      <c r="F2960">
        <v>5146372437</v>
      </c>
      <c r="G2960">
        <v>4391867824</v>
      </c>
      <c r="H2960">
        <v>5006497558</v>
      </c>
      <c r="I2960">
        <v>5799762588</v>
      </c>
      <c r="J2960">
        <v>5982610735</v>
      </c>
      <c r="K2960">
        <v>5490469867</v>
      </c>
      <c r="L2960">
        <v>5086458184</v>
      </c>
      <c r="M2960">
        <v>4994302337</v>
      </c>
      <c r="N2960">
        <v>5279010541</v>
      </c>
      <c r="O2960">
        <v>4883370437</v>
      </c>
      <c r="P2960">
        <v>145</v>
      </c>
      <c r="Q2960" t="s">
        <v>6259</v>
      </c>
    </row>
    <row r="2961" spans="1:17" x14ac:dyDescent="0.3">
      <c r="A2961" t="s">
        <v>4664</v>
      </c>
      <c r="B2961" t="str">
        <f>"002278"</f>
        <v>002278</v>
      </c>
      <c r="C2961" t="s">
        <v>6260</v>
      </c>
      <c r="D2961" t="s">
        <v>395</v>
      </c>
      <c r="F2961">
        <v>357986276</v>
      </c>
      <c r="G2961">
        <v>374869129</v>
      </c>
      <c r="H2961">
        <v>447977135</v>
      </c>
      <c r="I2961">
        <v>410818119</v>
      </c>
      <c r="J2961">
        <v>335878347</v>
      </c>
      <c r="K2961">
        <v>309920250</v>
      </c>
      <c r="L2961">
        <v>406702026</v>
      </c>
      <c r="M2961">
        <v>443136537</v>
      </c>
      <c r="N2961">
        <v>460672048</v>
      </c>
      <c r="O2961">
        <v>452160028</v>
      </c>
      <c r="P2961">
        <v>57</v>
      </c>
      <c r="Q2961" t="s">
        <v>6261</v>
      </c>
    </row>
    <row r="2962" spans="1:17" x14ac:dyDescent="0.3">
      <c r="A2962" t="s">
        <v>4664</v>
      </c>
      <c r="B2962" t="str">
        <f>"002279"</f>
        <v>002279</v>
      </c>
      <c r="C2962" t="s">
        <v>6262</v>
      </c>
      <c r="D2962" t="s">
        <v>1189</v>
      </c>
      <c r="F2962">
        <v>1665276652</v>
      </c>
      <c r="G2962">
        <v>2253351005</v>
      </c>
      <c r="H2962">
        <v>1923609831</v>
      </c>
      <c r="I2962">
        <v>1761874132</v>
      </c>
      <c r="J2962">
        <v>1130024725</v>
      </c>
      <c r="K2962">
        <v>707568402</v>
      </c>
      <c r="L2962">
        <v>253263868</v>
      </c>
      <c r="M2962">
        <v>136247782</v>
      </c>
      <c r="N2962">
        <v>135004172</v>
      </c>
      <c r="O2962">
        <v>97197116</v>
      </c>
      <c r="P2962">
        <v>323</v>
      </c>
      <c r="Q2962" t="s">
        <v>6263</v>
      </c>
    </row>
    <row r="2963" spans="1:17" x14ac:dyDescent="0.3">
      <c r="A2963" t="s">
        <v>4664</v>
      </c>
      <c r="B2963" t="str">
        <f>"002280"</f>
        <v>002280</v>
      </c>
      <c r="C2963" t="s">
        <v>6264</v>
      </c>
      <c r="D2963" t="s">
        <v>2014</v>
      </c>
      <c r="F2963">
        <v>13038665881</v>
      </c>
      <c r="G2963">
        <v>11712579231</v>
      </c>
      <c r="H2963">
        <v>11599359637</v>
      </c>
      <c r="I2963">
        <v>13244837177</v>
      </c>
      <c r="J2963">
        <v>9238506261</v>
      </c>
      <c r="K2963">
        <v>673413992</v>
      </c>
      <c r="L2963">
        <v>146873555</v>
      </c>
      <c r="M2963">
        <v>199465158</v>
      </c>
      <c r="N2963">
        <v>128230274</v>
      </c>
      <c r="O2963">
        <v>124905590</v>
      </c>
      <c r="P2963">
        <v>179</v>
      </c>
      <c r="Q2963" t="s">
        <v>6265</v>
      </c>
    </row>
    <row r="2964" spans="1:17" x14ac:dyDescent="0.3">
      <c r="A2964" t="s">
        <v>4664</v>
      </c>
      <c r="B2964" t="str">
        <f>"002281"</f>
        <v>002281</v>
      </c>
      <c r="C2964" t="s">
        <v>6266</v>
      </c>
      <c r="D2964" t="s">
        <v>1019</v>
      </c>
      <c r="F2964">
        <v>5193457825</v>
      </c>
      <c r="G2964">
        <v>4569138044</v>
      </c>
      <c r="H2964">
        <v>4326780762</v>
      </c>
      <c r="I2964">
        <v>3561382361</v>
      </c>
      <c r="J2964">
        <v>3473246372</v>
      </c>
      <c r="K2964">
        <v>2881078569</v>
      </c>
      <c r="L2964">
        <v>2183993133</v>
      </c>
      <c r="M2964">
        <v>1688507955</v>
      </c>
      <c r="N2964">
        <v>1645407244</v>
      </c>
      <c r="O2964">
        <v>736783137</v>
      </c>
      <c r="P2964">
        <v>894</v>
      </c>
      <c r="Q2964" t="s">
        <v>6267</v>
      </c>
    </row>
    <row r="2965" spans="1:17" x14ac:dyDescent="0.3">
      <c r="A2965" t="s">
        <v>4664</v>
      </c>
      <c r="B2965" t="str">
        <f>"002282"</f>
        <v>002282</v>
      </c>
      <c r="C2965" t="s">
        <v>6268</v>
      </c>
      <c r="D2965" t="s">
        <v>404</v>
      </c>
      <c r="F2965">
        <v>979132502</v>
      </c>
      <c r="G2965">
        <v>705582630</v>
      </c>
      <c r="H2965">
        <v>677793591</v>
      </c>
      <c r="I2965">
        <v>703018566</v>
      </c>
      <c r="J2965">
        <v>358772549</v>
      </c>
      <c r="K2965">
        <v>362953186</v>
      </c>
      <c r="L2965">
        <v>379718154</v>
      </c>
      <c r="M2965">
        <v>432042258</v>
      </c>
      <c r="N2965">
        <v>405865932</v>
      </c>
      <c r="O2965">
        <v>400472391</v>
      </c>
      <c r="P2965">
        <v>97</v>
      </c>
      <c r="Q2965" t="s">
        <v>6269</v>
      </c>
    </row>
    <row r="2966" spans="1:17" x14ac:dyDescent="0.3">
      <c r="A2966" t="s">
        <v>4664</v>
      </c>
      <c r="B2966" t="str">
        <f>"002283"</f>
        <v>002283</v>
      </c>
      <c r="C2966" t="s">
        <v>6270</v>
      </c>
      <c r="D2966" t="s">
        <v>348</v>
      </c>
      <c r="F2966">
        <v>4323623389</v>
      </c>
      <c r="G2966">
        <v>2965184835</v>
      </c>
      <c r="H2966">
        <v>2094538543</v>
      </c>
      <c r="I2966">
        <v>1877768559</v>
      </c>
      <c r="J2966">
        <v>2056825142</v>
      </c>
      <c r="K2966">
        <v>1429447229</v>
      </c>
      <c r="L2966">
        <v>1501587764</v>
      </c>
      <c r="M2966">
        <v>1339194171</v>
      </c>
      <c r="N2966">
        <v>1126570701</v>
      </c>
      <c r="O2966">
        <v>789151970</v>
      </c>
      <c r="P2966">
        <v>202</v>
      </c>
      <c r="Q2966" t="s">
        <v>6271</v>
      </c>
    </row>
    <row r="2967" spans="1:17" x14ac:dyDescent="0.3">
      <c r="A2967" t="s">
        <v>4664</v>
      </c>
      <c r="B2967" t="str">
        <f>"002284"</f>
        <v>002284</v>
      </c>
      <c r="C2967" t="s">
        <v>6272</v>
      </c>
      <c r="D2967" t="s">
        <v>348</v>
      </c>
      <c r="F2967">
        <v>2449091467</v>
      </c>
      <c r="G2967">
        <v>2019121274</v>
      </c>
      <c r="H2967">
        <v>1910131606</v>
      </c>
      <c r="I2967">
        <v>2347930621</v>
      </c>
      <c r="J2967">
        <v>2275086871</v>
      </c>
      <c r="K2967">
        <v>1870006982</v>
      </c>
      <c r="L2967">
        <v>1906652318</v>
      </c>
      <c r="M2967">
        <v>1641304337</v>
      </c>
      <c r="N2967">
        <v>1361020226</v>
      </c>
      <c r="O2967">
        <v>884244861</v>
      </c>
      <c r="P2967">
        <v>197</v>
      </c>
      <c r="Q2967" t="s">
        <v>6273</v>
      </c>
    </row>
    <row r="2968" spans="1:17" x14ac:dyDescent="0.3">
      <c r="A2968" t="s">
        <v>4664</v>
      </c>
      <c r="B2968" t="str">
        <f>"002285"</f>
        <v>002285</v>
      </c>
      <c r="C2968" t="s">
        <v>6274</v>
      </c>
      <c r="D2968" t="s">
        <v>4982</v>
      </c>
      <c r="F2968">
        <v>4621118696</v>
      </c>
      <c r="G2968">
        <v>4488833233</v>
      </c>
      <c r="H2968">
        <v>5576384936</v>
      </c>
      <c r="I2968">
        <v>5612000759</v>
      </c>
      <c r="J2968">
        <v>5402139685</v>
      </c>
      <c r="K2968">
        <v>4376414401</v>
      </c>
      <c r="L2968">
        <v>2926255522</v>
      </c>
      <c r="M2968">
        <v>2099491242</v>
      </c>
      <c r="N2968">
        <v>1745682724</v>
      </c>
      <c r="O2968">
        <v>1099592661</v>
      </c>
      <c r="P2968">
        <v>477</v>
      </c>
      <c r="Q2968" t="s">
        <v>6275</v>
      </c>
    </row>
    <row r="2969" spans="1:17" x14ac:dyDescent="0.3">
      <c r="A2969" t="s">
        <v>4664</v>
      </c>
      <c r="B2969" t="str">
        <f>"002286"</f>
        <v>002286</v>
      </c>
      <c r="C2969" t="s">
        <v>6276</v>
      </c>
      <c r="D2969" t="s">
        <v>445</v>
      </c>
      <c r="F2969">
        <v>2174896585</v>
      </c>
      <c r="G2969">
        <v>1702625963</v>
      </c>
      <c r="H2969">
        <v>1484847111</v>
      </c>
      <c r="I2969">
        <v>1363276085</v>
      </c>
      <c r="J2969">
        <v>1315425602</v>
      </c>
      <c r="K2969">
        <v>1096458298</v>
      </c>
      <c r="L2969">
        <v>1015897287</v>
      </c>
      <c r="M2969">
        <v>795820607</v>
      </c>
      <c r="N2969">
        <v>763433377</v>
      </c>
      <c r="O2969">
        <v>843216159</v>
      </c>
      <c r="P2969">
        <v>179</v>
      </c>
      <c r="Q2969" t="s">
        <v>6277</v>
      </c>
    </row>
    <row r="2970" spans="1:17" x14ac:dyDescent="0.3">
      <c r="A2970" t="s">
        <v>4664</v>
      </c>
      <c r="B2970" t="str">
        <f>"002287"</f>
        <v>002287</v>
      </c>
      <c r="C2970" t="s">
        <v>6278</v>
      </c>
      <c r="D2970" t="s">
        <v>188</v>
      </c>
      <c r="F2970">
        <v>1503280678</v>
      </c>
      <c r="G2970">
        <v>950017758</v>
      </c>
      <c r="H2970">
        <v>1045627285</v>
      </c>
      <c r="I2970">
        <v>1112767615</v>
      </c>
      <c r="J2970">
        <v>874144988</v>
      </c>
      <c r="K2970">
        <v>863541268</v>
      </c>
      <c r="L2970">
        <v>753321501</v>
      </c>
      <c r="M2970">
        <v>684432895</v>
      </c>
      <c r="N2970">
        <v>731113307</v>
      </c>
      <c r="O2970">
        <v>581139359</v>
      </c>
      <c r="P2970">
        <v>13304</v>
      </c>
      <c r="Q2970" t="s">
        <v>6279</v>
      </c>
    </row>
    <row r="2971" spans="1:17" x14ac:dyDescent="0.3">
      <c r="A2971" t="s">
        <v>4664</v>
      </c>
      <c r="B2971" t="str">
        <f>"002288"</f>
        <v>002288</v>
      </c>
      <c r="C2971" t="s">
        <v>6280</v>
      </c>
      <c r="D2971" t="s">
        <v>425</v>
      </c>
      <c r="F2971">
        <v>1917448096</v>
      </c>
      <c r="G2971">
        <v>926360359</v>
      </c>
      <c r="H2971">
        <v>769824905</v>
      </c>
      <c r="I2971">
        <v>713496882</v>
      </c>
      <c r="J2971">
        <v>769493349</v>
      </c>
      <c r="K2971">
        <v>480068679</v>
      </c>
      <c r="L2971">
        <v>568862668</v>
      </c>
      <c r="M2971">
        <v>480038190</v>
      </c>
      <c r="N2971">
        <v>480540284</v>
      </c>
      <c r="O2971">
        <v>348035333</v>
      </c>
      <c r="P2971">
        <v>176</v>
      </c>
      <c r="Q2971" t="s">
        <v>6281</v>
      </c>
    </row>
    <row r="2972" spans="1:17" x14ac:dyDescent="0.3">
      <c r="A2972" t="s">
        <v>4664</v>
      </c>
      <c r="B2972" t="str">
        <f>"002289"</f>
        <v>002289</v>
      </c>
      <c r="C2972" t="s">
        <v>6282</v>
      </c>
      <c r="D2972" t="s">
        <v>1117</v>
      </c>
      <c r="F2972">
        <v>104708407</v>
      </c>
      <c r="G2972">
        <v>75663934</v>
      </c>
      <c r="H2972">
        <v>162173989</v>
      </c>
      <c r="I2972">
        <v>231869600</v>
      </c>
      <c r="J2972">
        <v>472338052</v>
      </c>
      <c r="K2972">
        <v>1930489496</v>
      </c>
      <c r="L2972">
        <v>2278552060</v>
      </c>
      <c r="M2972">
        <v>1609937754</v>
      </c>
      <c r="N2972">
        <v>1181208938</v>
      </c>
      <c r="O2972">
        <v>574537875</v>
      </c>
      <c r="P2972">
        <v>70</v>
      </c>
      <c r="Q2972" t="s">
        <v>6283</v>
      </c>
    </row>
    <row r="2973" spans="1:17" x14ac:dyDescent="0.3">
      <c r="A2973" t="s">
        <v>4664</v>
      </c>
      <c r="B2973" t="str">
        <f>"002290"</f>
        <v>002290</v>
      </c>
      <c r="C2973" t="s">
        <v>6284</v>
      </c>
      <c r="D2973" t="s">
        <v>1253</v>
      </c>
      <c r="F2973">
        <v>984035685</v>
      </c>
      <c r="G2973">
        <v>624042455</v>
      </c>
      <c r="H2973">
        <v>803848160</v>
      </c>
      <c r="I2973">
        <v>816080506</v>
      </c>
      <c r="J2973">
        <v>685552367</v>
      </c>
      <c r="K2973">
        <v>583051185</v>
      </c>
      <c r="L2973">
        <v>637176368</v>
      </c>
      <c r="M2973">
        <v>678511300</v>
      </c>
      <c r="N2973">
        <v>683084808</v>
      </c>
      <c r="O2973">
        <v>982425762</v>
      </c>
      <c r="P2973">
        <v>80</v>
      </c>
      <c r="Q2973" t="s">
        <v>6285</v>
      </c>
    </row>
    <row r="2974" spans="1:17" x14ac:dyDescent="0.3">
      <c r="A2974" t="s">
        <v>4664</v>
      </c>
      <c r="B2974" t="str">
        <f>"002291"</f>
        <v>002291</v>
      </c>
      <c r="C2974" t="s">
        <v>6286</v>
      </c>
      <c r="D2974" t="s">
        <v>207</v>
      </c>
      <c r="F2974">
        <v>1881642168</v>
      </c>
      <c r="G2974">
        <v>1616037016</v>
      </c>
      <c r="H2974">
        <v>1592281751</v>
      </c>
      <c r="I2974">
        <v>1347518612</v>
      </c>
      <c r="J2974">
        <v>1218062410</v>
      </c>
      <c r="K2974">
        <v>1280542399</v>
      </c>
      <c r="L2974">
        <v>1360627920</v>
      </c>
      <c r="M2974">
        <v>1409613079</v>
      </c>
      <c r="N2974">
        <v>1430368874</v>
      </c>
      <c r="O2974">
        <v>1125952094</v>
      </c>
      <c r="P2974">
        <v>172</v>
      </c>
      <c r="Q2974" t="s">
        <v>6287</v>
      </c>
    </row>
    <row r="2975" spans="1:17" x14ac:dyDescent="0.3">
      <c r="A2975" t="s">
        <v>4664</v>
      </c>
      <c r="B2975" t="str">
        <f>"002292"</f>
        <v>002292</v>
      </c>
      <c r="C2975" t="s">
        <v>6288</v>
      </c>
      <c r="D2975" t="s">
        <v>113</v>
      </c>
      <c r="F2975">
        <v>2114648508</v>
      </c>
      <c r="G2975">
        <v>1828659281</v>
      </c>
      <c r="H2975">
        <v>2140275671</v>
      </c>
      <c r="I2975">
        <v>2297565113</v>
      </c>
      <c r="J2975">
        <v>2792695332</v>
      </c>
      <c r="K2975">
        <v>2918051505</v>
      </c>
      <c r="L2975">
        <v>1271137973</v>
      </c>
      <c r="M2975">
        <v>1872234113</v>
      </c>
      <c r="N2975">
        <v>1131821484</v>
      </c>
      <c r="O2975">
        <v>769131976</v>
      </c>
      <c r="P2975">
        <v>291</v>
      </c>
      <c r="Q2975" t="s">
        <v>6289</v>
      </c>
    </row>
    <row r="2976" spans="1:17" x14ac:dyDescent="0.3">
      <c r="A2976" t="s">
        <v>4664</v>
      </c>
      <c r="B2976" t="str">
        <f>"002293"</f>
        <v>002293</v>
      </c>
      <c r="C2976" t="s">
        <v>6290</v>
      </c>
      <c r="D2976" t="s">
        <v>2862</v>
      </c>
      <c r="F2976">
        <v>4427380274</v>
      </c>
      <c r="G2976">
        <v>3932109184</v>
      </c>
      <c r="H2976">
        <v>3985620435</v>
      </c>
      <c r="I2976">
        <v>4161288965</v>
      </c>
      <c r="J2976">
        <v>3517644500</v>
      </c>
      <c r="K2976">
        <v>2564846453</v>
      </c>
      <c r="L2976">
        <v>2293032683</v>
      </c>
      <c r="M2976">
        <v>2243208555</v>
      </c>
      <c r="N2976">
        <v>2119069929</v>
      </c>
      <c r="O2976">
        <v>2120726665</v>
      </c>
      <c r="P2976">
        <v>4959</v>
      </c>
      <c r="Q2976" t="s">
        <v>6291</v>
      </c>
    </row>
    <row r="2977" spans="1:17" x14ac:dyDescent="0.3">
      <c r="A2977" t="s">
        <v>4664</v>
      </c>
      <c r="B2977" t="str">
        <f>"002294"</f>
        <v>002294</v>
      </c>
      <c r="C2977" t="s">
        <v>6292</v>
      </c>
      <c r="D2977" t="s">
        <v>143</v>
      </c>
      <c r="F2977">
        <v>2280027632</v>
      </c>
      <c r="G2977">
        <v>2853510831</v>
      </c>
      <c r="H2977">
        <v>3858114829</v>
      </c>
      <c r="I2977">
        <v>3703787952</v>
      </c>
      <c r="J2977">
        <v>3112919803</v>
      </c>
      <c r="K2977">
        <v>2750234389</v>
      </c>
      <c r="L2977">
        <v>2294733404</v>
      </c>
      <c r="M2977">
        <v>2023073201</v>
      </c>
      <c r="N2977">
        <v>1502822387</v>
      </c>
      <c r="O2977">
        <v>1247772864</v>
      </c>
      <c r="P2977">
        <v>25590</v>
      </c>
      <c r="Q2977" t="s">
        <v>6293</v>
      </c>
    </row>
    <row r="2978" spans="1:17" x14ac:dyDescent="0.3">
      <c r="A2978" t="s">
        <v>4664</v>
      </c>
      <c r="B2978" t="str">
        <f>"002295"</f>
        <v>002295</v>
      </c>
      <c r="C2978" t="s">
        <v>6294</v>
      </c>
      <c r="D2978" t="s">
        <v>263</v>
      </c>
      <c r="F2978">
        <v>5710249320</v>
      </c>
      <c r="G2978">
        <v>4903985082</v>
      </c>
      <c r="H2978">
        <v>4587649949</v>
      </c>
      <c r="I2978">
        <v>5325709815</v>
      </c>
      <c r="J2978">
        <v>4154173268</v>
      </c>
      <c r="K2978">
        <v>3170404555</v>
      </c>
      <c r="L2978">
        <v>2749195644</v>
      </c>
      <c r="M2978">
        <v>1984647144</v>
      </c>
      <c r="N2978">
        <v>2087561026</v>
      </c>
      <c r="O2978">
        <v>2163557985</v>
      </c>
      <c r="P2978">
        <v>56</v>
      </c>
      <c r="Q2978" t="s">
        <v>6295</v>
      </c>
    </row>
    <row r="2979" spans="1:17" x14ac:dyDescent="0.3">
      <c r="A2979" t="s">
        <v>4664</v>
      </c>
      <c r="B2979" t="str">
        <f>"002296"</f>
        <v>002296</v>
      </c>
      <c r="C2979" t="s">
        <v>6296</v>
      </c>
      <c r="D2979" t="s">
        <v>1019</v>
      </c>
      <c r="F2979">
        <v>667242670</v>
      </c>
      <c r="G2979">
        <v>366566974</v>
      </c>
      <c r="H2979">
        <v>435693808</v>
      </c>
      <c r="I2979">
        <v>339257367</v>
      </c>
      <c r="J2979">
        <v>323422642</v>
      </c>
      <c r="K2979">
        <v>325790313</v>
      </c>
      <c r="L2979">
        <v>323651134</v>
      </c>
      <c r="M2979">
        <v>311536938</v>
      </c>
      <c r="N2979">
        <v>242714677</v>
      </c>
      <c r="O2979">
        <v>217331923</v>
      </c>
      <c r="P2979">
        <v>160</v>
      </c>
      <c r="Q2979" t="s">
        <v>6297</v>
      </c>
    </row>
    <row r="2980" spans="1:17" x14ac:dyDescent="0.3">
      <c r="A2980" t="s">
        <v>4664</v>
      </c>
      <c r="B2980" t="str">
        <f>"002297"</f>
        <v>002297</v>
      </c>
      <c r="C2980" t="s">
        <v>6298</v>
      </c>
      <c r="D2980" t="s">
        <v>98</v>
      </c>
      <c r="F2980">
        <v>276385039</v>
      </c>
      <c r="G2980">
        <v>185113247</v>
      </c>
      <c r="H2980">
        <v>197808426</v>
      </c>
      <c r="I2980">
        <v>463754236</v>
      </c>
      <c r="J2980">
        <v>425539270</v>
      </c>
      <c r="K2980">
        <v>325337254</v>
      </c>
      <c r="L2980">
        <v>255863341</v>
      </c>
      <c r="M2980">
        <v>257063437</v>
      </c>
      <c r="N2980">
        <v>291036338</v>
      </c>
      <c r="O2980">
        <v>204382283</v>
      </c>
      <c r="P2980">
        <v>100</v>
      </c>
      <c r="Q2980" t="s">
        <v>6299</v>
      </c>
    </row>
    <row r="2981" spans="1:17" x14ac:dyDescent="0.3">
      <c r="A2981" t="s">
        <v>4664</v>
      </c>
      <c r="B2981" t="str">
        <f>"002298"</f>
        <v>002298</v>
      </c>
      <c r="C2981" t="s">
        <v>6300</v>
      </c>
      <c r="D2981" t="s">
        <v>945</v>
      </c>
      <c r="F2981">
        <v>1535534047</v>
      </c>
      <c r="G2981">
        <v>1391855814</v>
      </c>
      <c r="H2981">
        <v>1200692000</v>
      </c>
      <c r="I2981">
        <v>1197469512</v>
      </c>
      <c r="J2981">
        <v>1144820135</v>
      </c>
      <c r="K2981">
        <v>1273397256</v>
      </c>
      <c r="L2981">
        <v>614642678</v>
      </c>
      <c r="M2981">
        <v>700416610</v>
      </c>
      <c r="N2981">
        <v>742492973</v>
      </c>
      <c r="O2981">
        <v>615492256</v>
      </c>
      <c r="P2981">
        <v>182</v>
      </c>
      <c r="Q2981" t="s">
        <v>6301</v>
      </c>
    </row>
    <row r="2982" spans="1:17" x14ac:dyDescent="0.3">
      <c r="A2982" t="s">
        <v>4664</v>
      </c>
      <c r="B2982" t="str">
        <f>"002299"</f>
        <v>002299</v>
      </c>
      <c r="C2982" t="s">
        <v>6302</v>
      </c>
      <c r="D2982" t="s">
        <v>6173</v>
      </c>
      <c r="F2982">
        <v>10791259709</v>
      </c>
      <c r="G2982">
        <v>10252857246</v>
      </c>
      <c r="H2982">
        <v>10519265985</v>
      </c>
      <c r="I2982">
        <v>8036075296</v>
      </c>
      <c r="J2982">
        <v>6419833362</v>
      </c>
      <c r="K2982">
        <v>6048451912</v>
      </c>
      <c r="L2982">
        <v>5069091882</v>
      </c>
      <c r="M2982">
        <v>4591406518</v>
      </c>
      <c r="N2982">
        <v>3201312193</v>
      </c>
      <c r="O2982">
        <v>2992986462</v>
      </c>
      <c r="P2982">
        <v>1371</v>
      </c>
      <c r="Q2982" t="s">
        <v>6303</v>
      </c>
    </row>
    <row r="2983" spans="1:17" x14ac:dyDescent="0.3">
      <c r="A2983" t="s">
        <v>4664</v>
      </c>
      <c r="B2983" t="str">
        <f>"002300"</f>
        <v>002300</v>
      </c>
      <c r="C2983" t="s">
        <v>6304</v>
      </c>
      <c r="D2983" t="s">
        <v>1164</v>
      </c>
      <c r="F2983">
        <v>8462459466</v>
      </c>
      <c r="G2983">
        <v>5778362798</v>
      </c>
      <c r="H2983">
        <v>4959083744</v>
      </c>
      <c r="I2983">
        <v>3500099740</v>
      </c>
      <c r="J2983">
        <v>3015967565</v>
      </c>
      <c r="K2983">
        <v>3009797816</v>
      </c>
      <c r="L2983">
        <v>3062465423</v>
      </c>
      <c r="M2983">
        <v>2796783091</v>
      </c>
      <c r="N2983">
        <v>3039697920</v>
      </c>
      <c r="O2983">
        <v>2971266837</v>
      </c>
      <c r="P2983">
        <v>125</v>
      </c>
      <c r="Q2983" t="s">
        <v>6305</v>
      </c>
    </row>
    <row r="2984" spans="1:17" x14ac:dyDescent="0.3">
      <c r="A2984" t="s">
        <v>4664</v>
      </c>
      <c r="B2984" t="str">
        <f>"002301"</f>
        <v>002301</v>
      </c>
      <c r="C2984" t="s">
        <v>6306</v>
      </c>
      <c r="D2984" t="s">
        <v>3383</v>
      </c>
      <c r="F2984">
        <v>8362106177</v>
      </c>
      <c r="G2984">
        <v>7067901944</v>
      </c>
      <c r="H2984">
        <v>5067414899</v>
      </c>
      <c r="I2984">
        <v>2811843569</v>
      </c>
      <c r="J2984">
        <v>2449989094</v>
      </c>
      <c r="K2984">
        <v>2043968983</v>
      </c>
      <c r="L2984">
        <v>1219460991</v>
      </c>
      <c r="M2984">
        <v>1225924454</v>
      </c>
      <c r="N2984">
        <v>1181976898</v>
      </c>
      <c r="O2984">
        <v>987226843</v>
      </c>
      <c r="P2984">
        <v>202</v>
      </c>
      <c r="Q2984" t="s">
        <v>6307</v>
      </c>
    </row>
    <row r="2985" spans="1:17" x14ac:dyDescent="0.3">
      <c r="A2985" t="s">
        <v>4664</v>
      </c>
      <c r="B2985" t="str">
        <f>"002302"</f>
        <v>002302</v>
      </c>
      <c r="C2985" t="s">
        <v>6308</v>
      </c>
      <c r="D2985" t="s">
        <v>3071</v>
      </c>
      <c r="F2985">
        <v>7322754905</v>
      </c>
      <c r="G2985">
        <v>6522193202</v>
      </c>
      <c r="H2985">
        <v>6231741792</v>
      </c>
      <c r="I2985">
        <v>7292638963</v>
      </c>
      <c r="J2985">
        <v>4327804374</v>
      </c>
      <c r="K2985">
        <v>3131079927</v>
      </c>
      <c r="L2985">
        <v>3013731920</v>
      </c>
      <c r="M2985">
        <v>2910647206</v>
      </c>
      <c r="N2985">
        <v>3050243330</v>
      </c>
      <c r="O2985">
        <v>1056383206</v>
      </c>
      <c r="P2985">
        <v>201</v>
      </c>
      <c r="Q2985" t="s">
        <v>6309</v>
      </c>
    </row>
    <row r="2986" spans="1:17" x14ac:dyDescent="0.3">
      <c r="A2986" t="s">
        <v>4664</v>
      </c>
      <c r="B2986" t="str">
        <f>"002303"</f>
        <v>002303</v>
      </c>
      <c r="C2986" t="s">
        <v>6310</v>
      </c>
      <c r="D2986" t="s">
        <v>2156</v>
      </c>
      <c r="F2986">
        <v>2729150499</v>
      </c>
      <c r="G2986">
        <v>2545881230</v>
      </c>
      <c r="H2986">
        <v>2513272761</v>
      </c>
      <c r="I2986">
        <v>2444637035</v>
      </c>
      <c r="J2986">
        <v>1964196832</v>
      </c>
      <c r="K2986">
        <v>1613495616</v>
      </c>
      <c r="L2986">
        <v>1498093460</v>
      </c>
      <c r="M2986">
        <v>1226862525</v>
      </c>
      <c r="N2986">
        <v>953146552</v>
      </c>
      <c r="O2986">
        <v>749844435</v>
      </c>
      <c r="P2986">
        <v>224</v>
      </c>
      <c r="Q2986" t="s">
        <v>6311</v>
      </c>
    </row>
    <row r="2987" spans="1:17" x14ac:dyDescent="0.3">
      <c r="A2987" t="s">
        <v>4664</v>
      </c>
      <c r="B2987" t="str">
        <f>"002304"</f>
        <v>002304</v>
      </c>
      <c r="C2987" t="s">
        <v>6312</v>
      </c>
      <c r="D2987" t="s">
        <v>458</v>
      </c>
      <c r="F2987">
        <v>22814067096</v>
      </c>
      <c r="G2987">
        <v>13708070618</v>
      </c>
      <c r="H2987">
        <v>19104494338</v>
      </c>
      <c r="I2987">
        <v>22290194399</v>
      </c>
      <c r="J2987">
        <v>17844569025</v>
      </c>
      <c r="K2987">
        <v>16772080578</v>
      </c>
      <c r="L2987">
        <v>15302448963</v>
      </c>
      <c r="M2987">
        <v>13775741719</v>
      </c>
      <c r="N2987">
        <v>13762069541</v>
      </c>
      <c r="O2987">
        <v>16478432020</v>
      </c>
      <c r="P2987">
        <v>52722</v>
      </c>
      <c r="Q2987" t="s">
        <v>6313</v>
      </c>
    </row>
    <row r="2988" spans="1:17" x14ac:dyDescent="0.3">
      <c r="A2988" t="s">
        <v>4664</v>
      </c>
      <c r="B2988" t="str">
        <f>"002305"</f>
        <v>002305</v>
      </c>
      <c r="C2988" t="s">
        <v>6314</v>
      </c>
      <c r="D2988" t="s">
        <v>30</v>
      </c>
      <c r="F2988">
        <v>4757461886</v>
      </c>
      <c r="G2988">
        <v>3935104564</v>
      </c>
      <c r="H2988">
        <v>1842205380</v>
      </c>
      <c r="I2988">
        <v>3799093775</v>
      </c>
      <c r="J2988">
        <v>4133864068</v>
      </c>
      <c r="K2988">
        <v>2158684493</v>
      </c>
      <c r="L2988">
        <v>1445526016</v>
      </c>
      <c r="M2988">
        <v>1441282486</v>
      </c>
      <c r="N2988">
        <v>675601050</v>
      </c>
      <c r="O2988">
        <v>2145037230</v>
      </c>
      <c r="P2988">
        <v>107</v>
      </c>
      <c r="Q2988" t="s">
        <v>6315</v>
      </c>
    </row>
    <row r="2989" spans="1:17" x14ac:dyDescent="0.3">
      <c r="A2989" t="s">
        <v>4664</v>
      </c>
      <c r="B2989" t="str">
        <f>"002306"</f>
        <v>002306</v>
      </c>
      <c r="C2989" t="s">
        <v>6316</v>
      </c>
      <c r="D2989" t="s">
        <v>3571</v>
      </c>
      <c r="F2989">
        <v>340662333</v>
      </c>
      <c r="G2989">
        <v>71147753</v>
      </c>
      <c r="H2989">
        <v>63083109</v>
      </c>
      <c r="I2989">
        <v>64250478</v>
      </c>
      <c r="J2989">
        <v>72706667</v>
      </c>
      <c r="K2989">
        <v>71933853</v>
      </c>
      <c r="L2989">
        <v>252167664</v>
      </c>
      <c r="M2989">
        <v>466481457</v>
      </c>
      <c r="N2989">
        <v>581403193</v>
      </c>
      <c r="O2989">
        <v>981706888</v>
      </c>
      <c r="P2989">
        <v>68</v>
      </c>
      <c r="Q2989" t="s">
        <v>6317</v>
      </c>
    </row>
    <row r="2990" spans="1:17" x14ac:dyDescent="0.3">
      <c r="A2990" t="s">
        <v>4664</v>
      </c>
      <c r="B2990" t="str">
        <f>"002307"</f>
        <v>002307</v>
      </c>
      <c r="C2990" t="s">
        <v>6318</v>
      </c>
      <c r="D2990" t="s">
        <v>101</v>
      </c>
      <c r="F2990">
        <v>8555019098</v>
      </c>
      <c r="G2990">
        <v>7823499883</v>
      </c>
      <c r="H2990">
        <v>6335189007</v>
      </c>
      <c r="I2990">
        <v>6826276827</v>
      </c>
      <c r="J2990">
        <v>5361432375</v>
      </c>
      <c r="K2990">
        <v>4274571342</v>
      </c>
      <c r="L2990">
        <v>3375037043</v>
      </c>
      <c r="M2990">
        <v>3153173799</v>
      </c>
      <c r="N2990">
        <v>3543841214</v>
      </c>
      <c r="O2990">
        <v>2293974529</v>
      </c>
      <c r="P2990">
        <v>90</v>
      </c>
      <c r="Q2990" t="s">
        <v>6319</v>
      </c>
    </row>
    <row r="2991" spans="1:17" x14ac:dyDescent="0.3">
      <c r="A2991" t="s">
        <v>4664</v>
      </c>
      <c r="B2991" t="str">
        <f>"002308"</f>
        <v>002308</v>
      </c>
      <c r="C2991" t="s">
        <v>6320</v>
      </c>
      <c r="D2991" t="s">
        <v>236</v>
      </c>
      <c r="F2991">
        <v>494866391</v>
      </c>
      <c r="G2991">
        <v>500848982</v>
      </c>
      <c r="H2991">
        <v>823520068</v>
      </c>
      <c r="I2991">
        <v>846764376</v>
      </c>
      <c r="J2991">
        <v>793693335</v>
      </c>
      <c r="K2991">
        <v>853291991</v>
      </c>
      <c r="L2991">
        <v>732913441</v>
      </c>
      <c r="M2991">
        <v>648943713</v>
      </c>
      <c r="N2991">
        <v>783146828</v>
      </c>
      <c r="O2991">
        <v>817244969</v>
      </c>
      <c r="P2991">
        <v>218</v>
      </c>
      <c r="Q2991" t="s">
        <v>6321</v>
      </c>
    </row>
    <row r="2992" spans="1:17" x14ac:dyDescent="0.3">
      <c r="A2992" t="s">
        <v>4664</v>
      </c>
      <c r="B2992" t="str">
        <f>"002309"</f>
        <v>002309</v>
      </c>
      <c r="C2992" t="s">
        <v>6322</v>
      </c>
      <c r="D2992" t="s">
        <v>356</v>
      </c>
      <c r="F2992">
        <v>7434056291</v>
      </c>
      <c r="G2992">
        <v>7664278159</v>
      </c>
      <c r="H2992">
        <v>11578790858</v>
      </c>
      <c r="I2992">
        <v>10089838338</v>
      </c>
      <c r="J2992">
        <v>9238623472</v>
      </c>
      <c r="K2992">
        <v>8369841098</v>
      </c>
      <c r="L2992">
        <v>5792190842</v>
      </c>
      <c r="M2992">
        <v>4304089967</v>
      </c>
      <c r="N2992">
        <v>4784710047</v>
      </c>
      <c r="O2992">
        <v>3929750424</v>
      </c>
      <c r="P2992">
        <v>284</v>
      </c>
      <c r="Q2992" t="s">
        <v>6323</v>
      </c>
    </row>
    <row r="2993" spans="1:17" x14ac:dyDescent="0.3">
      <c r="A2993" t="s">
        <v>4664</v>
      </c>
      <c r="B2993" t="str">
        <f>"002310"</f>
        <v>002310</v>
      </c>
      <c r="C2993" t="s">
        <v>6324</v>
      </c>
      <c r="D2993" t="s">
        <v>2408</v>
      </c>
      <c r="F2993">
        <v>8660940569</v>
      </c>
      <c r="G2993">
        <v>3639429239</v>
      </c>
      <c r="H2993">
        <v>3162260199</v>
      </c>
      <c r="I2993">
        <v>7040161818</v>
      </c>
      <c r="J2993">
        <v>5610499263</v>
      </c>
      <c r="K2993">
        <v>3775979525</v>
      </c>
      <c r="L2993">
        <v>1763616671</v>
      </c>
      <c r="M2993">
        <v>1750708135</v>
      </c>
      <c r="N2993">
        <v>1058464907</v>
      </c>
      <c r="O2993">
        <v>797140286</v>
      </c>
      <c r="P2993">
        <v>1194</v>
      </c>
      <c r="Q2993" t="s">
        <v>6325</v>
      </c>
    </row>
    <row r="2994" spans="1:17" x14ac:dyDescent="0.3">
      <c r="A2994" t="s">
        <v>4664</v>
      </c>
      <c r="B2994" t="str">
        <f>"002311"</f>
        <v>002311</v>
      </c>
      <c r="C2994" t="s">
        <v>6326</v>
      </c>
      <c r="D2994" t="s">
        <v>3128</v>
      </c>
      <c r="F2994">
        <v>63337093082</v>
      </c>
      <c r="G2994">
        <v>42736501756</v>
      </c>
      <c r="H2994">
        <v>35340188435</v>
      </c>
      <c r="I2994">
        <v>29922311112</v>
      </c>
      <c r="J2994">
        <v>25922553072</v>
      </c>
      <c r="K2994">
        <v>19658835424</v>
      </c>
      <c r="L2994">
        <v>17108883339</v>
      </c>
      <c r="M2994">
        <v>15865956943</v>
      </c>
      <c r="N2994">
        <v>13167940779</v>
      </c>
      <c r="O2994">
        <v>11575225491</v>
      </c>
      <c r="P2994">
        <v>1933</v>
      </c>
      <c r="Q2994" t="s">
        <v>6327</v>
      </c>
    </row>
    <row r="2995" spans="1:17" x14ac:dyDescent="0.3">
      <c r="A2995" t="s">
        <v>4664</v>
      </c>
      <c r="B2995" t="str">
        <f>"002312"</f>
        <v>002312</v>
      </c>
      <c r="C2995" t="s">
        <v>6328</v>
      </c>
      <c r="D2995" t="s">
        <v>183</v>
      </c>
      <c r="F2995">
        <v>3788919608</v>
      </c>
      <c r="G2995">
        <v>3262968176</v>
      </c>
      <c r="H2995">
        <v>510924366</v>
      </c>
      <c r="I2995">
        <v>484116313</v>
      </c>
      <c r="J2995">
        <v>626698246</v>
      </c>
      <c r="K2995">
        <v>620194773</v>
      </c>
      <c r="L2995">
        <v>670011270</v>
      </c>
      <c r="M2995">
        <v>518056489</v>
      </c>
      <c r="N2995">
        <v>367113476</v>
      </c>
      <c r="O2995">
        <v>324129973</v>
      </c>
      <c r="P2995">
        <v>249</v>
      </c>
      <c r="Q2995" t="s">
        <v>6329</v>
      </c>
    </row>
    <row r="2996" spans="1:17" x14ac:dyDescent="0.3">
      <c r="A2996" t="s">
        <v>4664</v>
      </c>
      <c r="B2996" t="str">
        <f>"002313"</f>
        <v>002313</v>
      </c>
      <c r="C2996" t="s">
        <v>6330</v>
      </c>
      <c r="D2996" t="s">
        <v>786</v>
      </c>
      <c r="F2996">
        <v>3078546770</v>
      </c>
      <c r="G2996">
        <v>2713628694</v>
      </c>
      <c r="H2996">
        <v>3576168748</v>
      </c>
      <c r="I2996">
        <v>2790312602</v>
      </c>
      <c r="J2996">
        <v>1741207169</v>
      </c>
      <c r="K2996">
        <v>1912695806</v>
      </c>
      <c r="L2996">
        <v>2123357231</v>
      </c>
      <c r="M2996">
        <v>1717377124</v>
      </c>
      <c r="N2996">
        <v>1141378243</v>
      </c>
      <c r="O2996">
        <v>1137669720</v>
      </c>
      <c r="P2996">
        <v>243</v>
      </c>
      <c r="Q2996" t="s">
        <v>6331</v>
      </c>
    </row>
    <row r="2997" spans="1:17" x14ac:dyDescent="0.3">
      <c r="A2997" t="s">
        <v>4664</v>
      </c>
      <c r="B2997" t="str">
        <f>"002314"</f>
        <v>002314</v>
      </c>
      <c r="C2997" t="s">
        <v>6332</v>
      </c>
      <c r="D2997" t="s">
        <v>104</v>
      </c>
      <c r="F2997">
        <v>14424901646</v>
      </c>
      <c r="G2997">
        <v>7767186103</v>
      </c>
      <c r="H2997">
        <v>6304705813</v>
      </c>
      <c r="I2997">
        <v>5166823732</v>
      </c>
      <c r="J2997">
        <v>4195741128</v>
      </c>
      <c r="K2997">
        <v>4456891646</v>
      </c>
      <c r="L2997">
        <v>3338555125</v>
      </c>
      <c r="M2997">
        <v>1061999166</v>
      </c>
      <c r="N2997">
        <v>1207404205</v>
      </c>
      <c r="O2997">
        <v>1469788262</v>
      </c>
      <c r="P2997">
        <v>206</v>
      </c>
      <c r="Q2997" t="s">
        <v>6333</v>
      </c>
    </row>
    <row r="2998" spans="1:17" x14ac:dyDescent="0.3">
      <c r="A2998" t="s">
        <v>4664</v>
      </c>
      <c r="B2998" t="str">
        <f>"002315"</f>
        <v>002315</v>
      </c>
      <c r="C2998" t="s">
        <v>6334</v>
      </c>
      <c r="D2998" t="s">
        <v>2014</v>
      </c>
      <c r="F2998">
        <v>943630930</v>
      </c>
      <c r="G2998">
        <v>916433601</v>
      </c>
      <c r="H2998">
        <v>700976301</v>
      </c>
      <c r="I2998">
        <v>623666125</v>
      </c>
      <c r="J2998">
        <v>920832847</v>
      </c>
      <c r="K2998">
        <v>457838126</v>
      </c>
      <c r="L2998">
        <v>332999407</v>
      </c>
      <c r="M2998">
        <v>356963068</v>
      </c>
      <c r="N2998">
        <v>374053314</v>
      </c>
      <c r="O2998">
        <v>317535493</v>
      </c>
      <c r="P2998">
        <v>221</v>
      </c>
      <c r="Q2998" t="s">
        <v>6335</v>
      </c>
    </row>
    <row r="2999" spans="1:17" x14ac:dyDescent="0.3">
      <c r="A2999" t="s">
        <v>4664</v>
      </c>
      <c r="B2999" t="str">
        <f>"002316"</f>
        <v>002316</v>
      </c>
      <c r="C2999" t="s">
        <v>6336</v>
      </c>
      <c r="D2999" t="s">
        <v>6337</v>
      </c>
      <c r="F2999">
        <v>1721194721</v>
      </c>
      <c r="G2999">
        <v>2586406601</v>
      </c>
      <c r="H2999">
        <v>3527748160</v>
      </c>
      <c r="I2999">
        <v>2368865035</v>
      </c>
      <c r="J2999">
        <v>441060372</v>
      </c>
      <c r="K2999">
        <v>484965272</v>
      </c>
      <c r="L2999">
        <v>564223354</v>
      </c>
      <c r="M2999">
        <v>351913240</v>
      </c>
      <c r="N2999">
        <v>297691613</v>
      </c>
      <c r="O2999">
        <v>207344146</v>
      </c>
      <c r="P2999">
        <v>229</v>
      </c>
      <c r="Q2999" t="s">
        <v>6338</v>
      </c>
    </row>
    <row r="3000" spans="1:17" x14ac:dyDescent="0.3">
      <c r="A3000" t="s">
        <v>4664</v>
      </c>
      <c r="B3000" t="str">
        <f>"002317"</f>
        <v>002317</v>
      </c>
      <c r="C3000" t="s">
        <v>6339</v>
      </c>
      <c r="D3000" t="s">
        <v>188</v>
      </c>
      <c r="F3000">
        <v>1810933746</v>
      </c>
      <c r="G3000">
        <v>1594665522</v>
      </c>
      <c r="H3000">
        <v>1722761967</v>
      </c>
      <c r="I3000">
        <v>1747946320</v>
      </c>
      <c r="J3000">
        <v>1285678557</v>
      </c>
      <c r="K3000">
        <v>1277532649</v>
      </c>
      <c r="L3000">
        <v>1146698752</v>
      </c>
      <c r="M3000">
        <v>811640420</v>
      </c>
      <c r="N3000">
        <v>700957675</v>
      </c>
      <c r="O3000">
        <v>575583467</v>
      </c>
      <c r="P3000">
        <v>344</v>
      </c>
      <c r="Q3000" t="s">
        <v>6340</v>
      </c>
    </row>
    <row r="3001" spans="1:17" x14ac:dyDescent="0.3">
      <c r="A3001" t="s">
        <v>4664</v>
      </c>
      <c r="B3001" t="str">
        <f>"002318"</f>
        <v>002318</v>
      </c>
      <c r="C3001" t="s">
        <v>6341</v>
      </c>
      <c r="D3001" t="s">
        <v>281</v>
      </c>
      <c r="F3001">
        <v>4813387611</v>
      </c>
      <c r="G3001">
        <v>4065136307</v>
      </c>
      <c r="H3001">
        <v>3583315877</v>
      </c>
      <c r="I3001">
        <v>3318260809</v>
      </c>
      <c r="J3001">
        <v>2164069479</v>
      </c>
      <c r="K3001">
        <v>1831791639</v>
      </c>
      <c r="L3001">
        <v>2021158868</v>
      </c>
      <c r="M3001">
        <v>2368847810</v>
      </c>
      <c r="N3001">
        <v>2317828402</v>
      </c>
      <c r="O3001">
        <v>2032965931</v>
      </c>
      <c r="P3001">
        <v>451</v>
      </c>
      <c r="Q3001" t="s">
        <v>6342</v>
      </c>
    </row>
    <row r="3002" spans="1:17" x14ac:dyDescent="0.3">
      <c r="A3002" t="s">
        <v>4664</v>
      </c>
      <c r="B3002" t="str">
        <f>"002319"</f>
        <v>002319</v>
      </c>
      <c r="C3002" t="s">
        <v>6343</v>
      </c>
      <c r="D3002" t="s">
        <v>2570</v>
      </c>
      <c r="F3002">
        <v>246572303</v>
      </c>
      <c r="G3002">
        <v>218447586</v>
      </c>
      <c r="H3002">
        <v>253677796</v>
      </c>
      <c r="I3002">
        <v>298580968</v>
      </c>
      <c r="J3002">
        <v>294770289</v>
      </c>
      <c r="K3002">
        <v>374718529</v>
      </c>
      <c r="L3002">
        <v>290540771</v>
      </c>
      <c r="M3002">
        <v>434272501</v>
      </c>
      <c r="N3002">
        <v>324645280</v>
      </c>
      <c r="O3002">
        <v>336110840</v>
      </c>
      <c r="P3002">
        <v>55</v>
      </c>
      <c r="Q3002" t="s">
        <v>6344</v>
      </c>
    </row>
    <row r="3003" spans="1:17" x14ac:dyDescent="0.3">
      <c r="A3003" t="s">
        <v>4664</v>
      </c>
      <c r="B3003" t="str">
        <f>"002320"</f>
        <v>002320</v>
      </c>
      <c r="C3003" t="s">
        <v>6345</v>
      </c>
      <c r="D3003" t="s">
        <v>69</v>
      </c>
      <c r="F3003">
        <v>1083391743</v>
      </c>
      <c r="G3003">
        <v>328404097</v>
      </c>
      <c r="H3003">
        <v>497534581</v>
      </c>
      <c r="I3003">
        <v>879350919</v>
      </c>
      <c r="J3003">
        <v>788317198</v>
      </c>
      <c r="K3003">
        <v>662902244</v>
      </c>
      <c r="L3003">
        <v>745306276</v>
      </c>
      <c r="M3003">
        <v>558621827</v>
      </c>
      <c r="N3003">
        <v>482519345</v>
      </c>
      <c r="O3003">
        <v>436934983</v>
      </c>
      <c r="P3003">
        <v>174</v>
      </c>
      <c r="Q3003" t="s">
        <v>6346</v>
      </c>
    </row>
    <row r="3004" spans="1:17" x14ac:dyDescent="0.3">
      <c r="A3004" t="s">
        <v>4664</v>
      </c>
      <c r="B3004" t="str">
        <f>"002321"</f>
        <v>002321</v>
      </c>
      <c r="C3004" t="s">
        <v>6347</v>
      </c>
      <c r="D3004" t="s">
        <v>1876</v>
      </c>
      <c r="F3004">
        <v>2387111060</v>
      </c>
      <c r="G3004">
        <v>2297978443</v>
      </c>
      <c r="H3004">
        <v>4582567356</v>
      </c>
      <c r="I3004">
        <v>4557986416</v>
      </c>
      <c r="J3004">
        <v>3190361383</v>
      </c>
      <c r="K3004">
        <v>1819815003</v>
      </c>
      <c r="L3004">
        <v>1687243612</v>
      </c>
      <c r="M3004">
        <v>1573053799</v>
      </c>
      <c r="N3004">
        <v>1545839975</v>
      </c>
      <c r="O3004">
        <v>1540132437</v>
      </c>
      <c r="P3004">
        <v>111</v>
      </c>
      <c r="Q3004" t="s">
        <v>6348</v>
      </c>
    </row>
    <row r="3005" spans="1:17" x14ac:dyDescent="0.3">
      <c r="A3005" t="s">
        <v>4664</v>
      </c>
      <c r="B3005" t="str">
        <f>"002322"</f>
        <v>002322</v>
      </c>
      <c r="C3005" t="s">
        <v>6349</v>
      </c>
      <c r="D3005" t="s">
        <v>945</v>
      </c>
      <c r="F3005">
        <v>728617162</v>
      </c>
      <c r="G3005">
        <v>737578525</v>
      </c>
      <c r="H3005">
        <v>700862270</v>
      </c>
      <c r="I3005">
        <v>505745236</v>
      </c>
      <c r="J3005">
        <v>610853116</v>
      </c>
      <c r="K3005">
        <v>382622728</v>
      </c>
      <c r="L3005">
        <v>156736868</v>
      </c>
      <c r="M3005">
        <v>211237941</v>
      </c>
      <c r="N3005">
        <v>240877767</v>
      </c>
      <c r="O3005">
        <v>176602024</v>
      </c>
      <c r="P3005">
        <v>180</v>
      </c>
      <c r="Q3005" t="s">
        <v>6350</v>
      </c>
    </row>
    <row r="3006" spans="1:17" x14ac:dyDescent="0.3">
      <c r="A3006" t="s">
        <v>4664</v>
      </c>
      <c r="B3006" t="str">
        <f>"002323"</f>
        <v>002323</v>
      </c>
      <c r="C3006" t="s">
        <v>6351</v>
      </c>
      <c r="D3006" t="s">
        <v>722</v>
      </c>
      <c r="F3006">
        <v>113901908</v>
      </c>
      <c r="G3006">
        <v>62728338</v>
      </c>
      <c r="H3006">
        <v>80006597</v>
      </c>
      <c r="I3006">
        <v>449780951</v>
      </c>
      <c r="J3006">
        <v>505508661</v>
      </c>
      <c r="K3006">
        <v>240314910</v>
      </c>
      <c r="L3006">
        <v>310233339</v>
      </c>
      <c r="M3006">
        <v>216626617</v>
      </c>
      <c r="N3006">
        <v>174303959</v>
      </c>
      <c r="O3006">
        <v>166817424</v>
      </c>
      <c r="P3006">
        <v>78</v>
      </c>
      <c r="Q3006" t="s">
        <v>6352</v>
      </c>
    </row>
    <row r="3007" spans="1:17" x14ac:dyDescent="0.3">
      <c r="A3007" t="s">
        <v>4664</v>
      </c>
      <c r="B3007" t="str">
        <f>"002324"</f>
        <v>002324</v>
      </c>
      <c r="C3007" t="s">
        <v>6353</v>
      </c>
      <c r="D3007" t="s">
        <v>341</v>
      </c>
      <c r="F3007">
        <v>3118653145</v>
      </c>
      <c r="G3007">
        <v>2907328969</v>
      </c>
      <c r="H3007">
        <v>2436541462</v>
      </c>
      <c r="I3007">
        <v>1793004343</v>
      </c>
      <c r="J3007">
        <v>1637849099</v>
      </c>
      <c r="K3007">
        <v>2076761168</v>
      </c>
      <c r="L3007">
        <v>1801522489</v>
      </c>
      <c r="M3007">
        <v>1278797422</v>
      </c>
      <c r="N3007">
        <v>903531790</v>
      </c>
      <c r="O3007">
        <v>616007739</v>
      </c>
      <c r="P3007">
        <v>212</v>
      </c>
      <c r="Q3007" t="s">
        <v>6354</v>
      </c>
    </row>
    <row r="3008" spans="1:17" x14ac:dyDescent="0.3">
      <c r="A3008" t="s">
        <v>4664</v>
      </c>
      <c r="B3008" t="str">
        <f>"002325"</f>
        <v>002325</v>
      </c>
      <c r="C3008" t="s">
        <v>6355</v>
      </c>
      <c r="D3008" t="s">
        <v>450</v>
      </c>
      <c r="F3008">
        <v>2318978463</v>
      </c>
      <c r="G3008">
        <v>2323357344</v>
      </c>
      <c r="H3008">
        <v>3134482134</v>
      </c>
      <c r="I3008">
        <v>2739512057</v>
      </c>
      <c r="J3008">
        <v>2395205800</v>
      </c>
      <c r="K3008">
        <v>1747982050</v>
      </c>
      <c r="L3008">
        <v>1438474814</v>
      </c>
      <c r="M3008">
        <v>1847544454</v>
      </c>
      <c r="N3008">
        <v>1687096592</v>
      </c>
      <c r="O3008">
        <v>1716411654</v>
      </c>
      <c r="P3008">
        <v>171</v>
      </c>
      <c r="Q3008" t="s">
        <v>6356</v>
      </c>
    </row>
    <row r="3009" spans="1:17" x14ac:dyDescent="0.3">
      <c r="A3009" t="s">
        <v>4664</v>
      </c>
      <c r="B3009" t="str">
        <f>"002326"</f>
        <v>002326</v>
      </c>
      <c r="C3009" t="s">
        <v>6357</v>
      </c>
      <c r="D3009" t="s">
        <v>375</v>
      </c>
      <c r="F3009">
        <v>2724738671</v>
      </c>
      <c r="G3009">
        <v>2440654595</v>
      </c>
      <c r="H3009">
        <v>2361827228</v>
      </c>
      <c r="I3009">
        <v>1801109430</v>
      </c>
      <c r="J3009">
        <v>1328940362</v>
      </c>
      <c r="K3009">
        <v>753958908</v>
      </c>
      <c r="L3009">
        <v>688403425</v>
      </c>
      <c r="M3009">
        <v>557578242</v>
      </c>
      <c r="N3009">
        <v>616137499</v>
      </c>
      <c r="O3009">
        <v>500267662</v>
      </c>
      <c r="P3009">
        <v>298</v>
      </c>
      <c r="Q3009" t="s">
        <v>6358</v>
      </c>
    </row>
    <row r="3010" spans="1:17" x14ac:dyDescent="0.3">
      <c r="A3010" t="s">
        <v>4664</v>
      </c>
      <c r="B3010" t="str">
        <f>"002327"</f>
        <v>002327</v>
      </c>
      <c r="C3010" t="s">
        <v>6359</v>
      </c>
      <c r="D3010" t="s">
        <v>2862</v>
      </c>
      <c r="F3010">
        <v>2223183221</v>
      </c>
      <c r="G3010">
        <v>1878787644</v>
      </c>
      <c r="H3010">
        <v>2312404827</v>
      </c>
      <c r="I3010">
        <v>2300834400</v>
      </c>
      <c r="J3010">
        <v>1897387189</v>
      </c>
      <c r="K3010">
        <v>1650213898</v>
      </c>
      <c r="L3010">
        <v>1484807559</v>
      </c>
      <c r="M3010">
        <v>1533874257</v>
      </c>
      <c r="N3010">
        <v>1438846329</v>
      </c>
      <c r="O3010">
        <v>1394364884</v>
      </c>
      <c r="P3010">
        <v>1306</v>
      </c>
      <c r="Q3010" t="s">
        <v>6360</v>
      </c>
    </row>
    <row r="3011" spans="1:17" x14ac:dyDescent="0.3">
      <c r="A3011" t="s">
        <v>4664</v>
      </c>
      <c r="B3011" t="str">
        <f>"002328"</f>
        <v>002328</v>
      </c>
      <c r="C3011" t="s">
        <v>6361</v>
      </c>
      <c r="D3011" t="s">
        <v>985</v>
      </c>
      <c r="F3011">
        <v>1988371619</v>
      </c>
      <c r="G3011">
        <v>1384737197</v>
      </c>
      <c r="H3011">
        <v>1588522824</v>
      </c>
      <c r="I3011">
        <v>1870104652</v>
      </c>
      <c r="J3011">
        <v>1775602700</v>
      </c>
      <c r="K3011">
        <v>2060607964</v>
      </c>
      <c r="L3011">
        <v>1624710559</v>
      </c>
      <c r="M3011">
        <v>2346092924</v>
      </c>
      <c r="N3011">
        <v>1699721959</v>
      </c>
      <c r="O3011">
        <v>857895427</v>
      </c>
      <c r="P3011">
        <v>110</v>
      </c>
      <c r="Q3011" t="s">
        <v>6362</v>
      </c>
    </row>
    <row r="3012" spans="1:17" x14ac:dyDescent="0.3">
      <c r="A3012" t="s">
        <v>4664</v>
      </c>
      <c r="B3012" t="str">
        <f>"002329"</f>
        <v>002329</v>
      </c>
      <c r="C3012" t="s">
        <v>6363</v>
      </c>
      <c r="D3012" t="s">
        <v>900</v>
      </c>
      <c r="F3012">
        <v>2119299885</v>
      </c>
      <c r="G3012">
        <v>1806301413</v>
      </c>
      <c r="H3012">
        <v>1945103864</v>
      </c>
      <c r="I3012">
        <v>1642592593</v>
      </c>
      <c r="J3012">
        <v>2085863499</v>
      </c>
      <c r="K3012">
        <v>1468582684</v>
      </c>
      <c r="L3012">
        <v>1120922310</v>
      </c>
      <c r="M3012">
        <v>930298376</v>
      </c>
      <c r="N3012">
        <v>891961942</v>
      </c>
      <c r="O3012">
        <v>638743240</v>
      </c>
      <c r="P3012">
        <v>186</v>
      </c>
      <c r="Q3012" t="s">
        <v>6364</v>
      </c>
    </row>
    <row r="3013" spans="1:17" x14ac:dyDescent="0.3">
      <c r="A3013" t="s">
        <v>4664</v>
      </c>
      <c r="B3013" t="str">
        <f>"002330"</f>
        <v>002330</v>
      </c>
      <c r="C3013" t="s">
        <v>6365</v>
      </c>
      <c r="D3013" t="s">
        <v>170</v>
      </c>
      <c r="F3013">
        <v>2709058798</v>
      </c>
      <c r="G3013">
        <v>2560581818</v>
      </c>
      <c r="H3013">
        <v>1993071651</v>
      </c>
      <c r="I3013">
        <v>1657415881</v>
      </c>
      <c r="J3013">
        <v>1352468612</v>
      </c>
      <c r="K3013">
        <v>1384108526</v>
      </c>
      <c r="L3013">
        <v>1418633931</v>
      </c>
      <c r="M3013">
        <v>1396241950</v>
      </c>
      <c r="N3013">
        <v>1667455628</v>
      </c>
      <c r="O3013">
        <v>1529260319</v>
      </c>
      <c r="P3013">
        <v>540</v>
      </c>
      <c r="Q3013" t="s">
        <v>6366</v>
      </c>
    </row>
    <row r="3014" spans="1:17" x14ac:dyDescent="0.3">
      <c r="A3014" t="s">
        <v>4664</v>
      </c>
      <c r="B3014" t="str">
        <f>"002331"</f>
        <v>002331</v>
      </c>
      <c r="C3014" t="s">
        <v>6367</v>
      </c>
      <c r="D3014" t="s">
        <v>316</v>
      </c>
      <c r="F3014">
        <v>765137210</v>
      </c>
      <c r="G3014">
        <v>874982452</v>
      </c>
      <c r="H3014">
        <v>754950117</v>
      </c>
      <c r="I3014">
        <v>768878768</v>
      </c>
      <c r="J3014">
        <v>523431186</v>
      </c>
      <c r="K3014">
        <v>673537307</v>
      </c>
      <c r="L3014">
        <v>638615289</v>
      </c>
      <c r="M3014">
        <v>423086783</v>
      </c>
      <c r="N3014">
        <v>520378988</v>
      </c>
      <c r="O3014">
        <v>413915964</v>
      </c>
      <c r="P3014">
        <v>121</v>
      </c>
      <c r="Q3014" t="s">
        <v>6368</v>
      </c>
    </row>
    <row r="3015" spans="1:17" x14ac:dyDescent="0.3">
      <c r="A3015" t="s">
        <v>4664</v>
      </c>
      <c r="B3015" t="str">
        <f>"002332"</f>
        <v>002332</v>
      </c>
      <c r="C3015" t="s">
        <v>6369</v>
      </c>
      <c r="D3015" t="s">
        <v>143</v>
      </c>
      <c r="F3015">
        <v>2883823085</v>
      </c>
      <c r="G3015">
        <v>2523286342</v>
      </c>
      <c r="H3015">
        <v>2456977503</v>
      </c>
      <c r="I3015">
        <v>2273443816</v>
      </c>
      <c r="J3015">
        <v>1794064962</v>
      </c>
      <c r="K3015">
        <v>1717727532</v>
      </c>
      <c r="L3015">
        <v>1990115558</v>
      </c>
      <c r="M3015">
        <v>1976554855</v>
      </c>
      <c r="N3015">
        <v>1941674923</v>
      </c>
      <c r="O3015">
        <v>2151908652</v>
      </c>
      <c r="P3015">
        <v>385</v>
      </c>
      <c r="Q3015" t="s">
        <v>6370</v>
      </c>
    </row>
    <row r="3016" spans="1:17" x14ac:dyDescent="0.3">
      <c r="A3016" t="s">
        <v>4664</v>
      </c>
      <c r="B3016" t="str">
        <f>"002333"</f>
        <v>002333</v>
      </c>
      <c r="C3016" t="s">
        <v>6371</v>
      </c>
      <c r="D3016" t="s">
        <v>722</v>
      </c>
      <c r="F3016">
        <v>1115160230</v>
      </c>
      <c r="G3016">
        <v>348154769</v>
      </c>
      <c r="H3016">
        <v>653061956</v>
      </c>
      <c r="I3016">
        <v>922219912</v>
      </c>
      <c r="J3016">
        <v>855633312</v>
      </c>
      <c r="K3016">
        <v>812441462</v>
      </c>
      <c r="L3016">
        <v>899881967</v>
      </c>
      <c r="M3016">
        <v>903031730</v>
      </c>
      <c r="N3016">
        <v>922361685</v>
      </c>
      <c r="O3016">
        <v>989019089</v>
      </c>
      <c r="P3016">
        <v>59</v>
      </c>
      <c r="Q3016" t="s">
        <v>6372</v>
      </c>
    </row>
    <row r="3017" spans="1:17" x14ac:dyDescent="0.3">
      <c r="A3017" t="s">
        <v>4664</v>
      </c>
      <c r="B3017" t="str">
        <f>"002334"</f>
        <v>002334</v>
      </c>
      <c r="C3017" t="s">
        <v>6373</v>
      </c>
      <c r="D3017" t="s">
        <v>2423</v>
      </c>
      <c r="F3017">
        <v>1406267359</v>
      </c>
      <c r="G3017">
        <v>1209413233</v>
      </c>
      <c r="H3017">
        <v>1159791179</v>
      </c>
      <c r="I3017">
        <v>963029837</v>
      </c>
      <c r="J3017">
        <v>867940952</v>
      </c>
      <c r="K3017">
        <v>544440047</v>
      </c>
      <c r="L3017">
        <v>464362419</v>
      </c>
      <c r="M3017">
        <v>506666089</v>
      </c>
      <c r="N3017">
        <v>434145306</v>
      </c>
      <c r="O3017">
        <v>329326574</v>
      </c>
      <c r="P3017">
        <v>222</v>
      </c>
      <c r="Q3017" t="s">
        <v>6374</v>
      </c>
    </row>
    <row r="3018" spans="1:17" x14ac:dyDescent="0.3">
      <c r="A3018" t="s">
        <v>4664</v>
      </c>
      <c r="B3018" t="str">
        <f>"002335"</f>
        <v>002335</v>
      </c>
      <c r="C3018" t="s">
        <v>6375</v>
      </c>
      <c r="D3018" t="s">
        <v>880</v>
      </c>
      <c r="F3018">
        <v>3022011424</v>
      </c>
      <c r="G3018">
        <v>2687637301</v>
      </c>
      <c r="H3018">
        <v>2895041880</v>
      </c>
      <c r="I3018">
        <v>1949397998</v>
      </c>
      <c r="J3018">
        <v>1316773401</v>
      </c>
      <c r="K3018">
        <v>1242668436</v>
      </c>
      <c r="L3018">
        <v>932159497</v>
      </c>
      <c r="M3018">
        <v>731062689</v>
      </c>
      <c r="N3018">
        <v>577365512</v>
      </c>
      <c r="O3018">
        <v>527088597</v>
      </c>
      <c r="P3018">
        <v>431</v>
      </c>
      <c r="Q3018" t="s">
        <v>6376</v>
      </c>
    </row>
    <row r="3019" spans="1:17" x14ac:dyDescent="0.3">
      <c r="A3019" t="s">
        <v>4664</v>
      </c>
      <c r="B3019" t="str">
        <f>"002336"</f>
        <v>002336</v>
      </c>
      <c r="C3019" t="s">
        <v>6377</v>
      </c>
      <c r="D3019" t="s">
        <v>798</v>
      </c>
      <c r="F3019">
        <v>4902815719</v>
      </c>
      <c r="G3019">
        <v>5764874436</v>
      </c>
      <c r="H3019">
        <v>6385816797</v>
      </c>
      <c r="I3019">
        <v>6823257391</v>
      </c>
      <c r="J3019">
        <v>7515493657</v>
      </c>
      <c r="K3019">
        <v>8526090971</v>
      </c>
      <c r="L3019">
        <v>9437843563</v>
      </c>
      <c r="M3019">
        <v>10030435637</v>
      </c>
      <c r="N3019">
        <v>10413044699</v>
      </c>
      <c r="O3019">
        <v>10666426620</v>
      </c>
      <c r="P3019">
        <v>69</v>
      </c>
      <c r="Q3019" t="s">
        <v>6378</v>
      </c>
    </row>
    <row r="3020" spans="1:17" x14ac:dyDescent="0.3">
      <c r="A3020" t="s">
        <v>4664</v>
      </c>
      <c r="B3020" t="str">
        <f>"002337"</f>
        <v>002337</v>
      </c>
      <c r="C3020" t="s">
        <v>6379</v>
      </c>
      <c r="D3020" t="s">
        <v>741</v>
      </c>
      <c r="F3020">
        <v>481740628</v>
      </c>
      <c r="G3020">
        <v>411770295</v>
      </c>
      <c r="H3020">
        <v>379500673</v>
      </c>
      <c r="I3020">
        <v>332260768</v>
      </c>
      <c r="J3020">
        <v>316622486</v>
      </c>
      <c r="K3020">
        <v>290577093</v>
      </c>
      <c r="L3020">
        <v>275858796</v>
      </c>
      <c r="M3020">
        <v>449947566</v>
      </c>
      <c r="N3020">
        <v>471837329</v>
      </c>
      <c r="O3020">
        <v>396582303</v>
      </c>
      <c r="P3020">
        <v>92</v>
      </c>
      <c r="Q3020" t="s">
        <v>6380</v>
      </c>
    </row>
    <row r="3021" spans="1:17" x14ac:dyDescent="0.3">
      <c r="A3021" t="s">
        <v>4664</v>
      </c>
      <c r="B3021" t="str">
        <f>"002338"</f>
        <v>002338</v>
      </c>
      <c r="C3021" t="s">
        <v>6381</v>
      </c>
      <c r="D3021" t="s">
        <v>1136</v>
      </c>
      <c r="F3021">
        <v>354689262</v>
      </c>
      <c r="G3021">
        <v>312315020</v>
      </c>
      <c r="H3021">
        <v>265277158</v>
      </c>
      <c r="I3021">
        <v>215945808</v>
      </c>
      <c r="J3021">
        <v>232760417</v>
      </c>
      <c r="K3021">
        <v>252260118</v>
      </c>
      <c r="L3021">
        <v>222249884</v>
      </c>
      <c r="M3021">
        <v>236371504</v>
      </c>
      <c r="N3021">
        <v>200603594</v>
      </c>
      <c r="O3021">
        <v>135166808</v>
      </c>
      <c r="P3021">
        <v>147</v>
      </c>
      <c r="Q3021" t="s">
        <v>6382</v>
      </c>
    </row>
    <row r="3022" spans="1:17" x14ac:dyDescent="0.3">
      <c r="A3022" t="s">
        <v>4664</v>
      </c>
      <c r="B3022" t="str">
        <f>"002339"</f>
        <v>002339</v>
      </c>
      <c r="C3022" t="s">
        <v>6383</v>
      </c>
      <c r="D3022" t="s">
        <v>610</v>
      </c>
      <c r="F3022">
        <v>1278768579</v>
      </c>
      <c r="G3022">
        <v>1165361949</v>
      </c>
      <c r="H3022">
        <v>1219514192</v>
      </c>
      <c r="I3022">
        <v>1221112438</v>
      </c>
      <c r="J3022">
        <v>861126426</v>
      </c>
      <c r="K3022">
        <v>730313963</v>
      </c>
      <c r="L3022">
        <v>601427446</v>
      </c>
      <c r="M3022">
        <v>591891754</v>
      </c>
      <c r="N3022">
        <v>525051203</v>
      </c>
      <c r="O3022">
        <v>362140328</v>
      </c>
      <c r="P3022">
        <v>120</v>
      </c>
      <c r="Q3022" t="s">
        <v>6384</v>
      </c>
    </row>
    <row r="3023" spans="1:17" x14ac:dyDescent="0.3">
      <c r="A3023" t="s">
        <v>4664</v>
      </c>
      <c r="B3023" t="str">
        <f>"002340"</f>
        <v>002340</v>
      </c>
      <c r="C3023" t="s">
        <v>6385</v>
      </c>
      <c r="D3023" t="s">
        <v>1786</v>
      </c>
      <c r="F3023">
        <v>13094293006</v>
      </c>
      <c r="G3023">
        <v>9348527902</v>
      </c>
      <c r="H3023">
        <v>10476155518</v>
      </c>
      <c r="I3023">
        <v>11079414909</v>
      </c>
      <c r="J3023">
        <v>8106585324</v>
      </c>
      <c r="K3023">
        <v>5310860732</v>
      </c>
      <c r="L3023">
        <v>3130338947</v>
      </c>
      <c r="M3023">
        <v>2576861162</v>
      </c>
      <c r="N3023">
        <v>2217631033</v>
      </c>
      <c r="O3023">
        <v>754260608</v>
      </c>
      <c r="P3023">
        <v>1302</v>
      </c>
      <c r="Q3023" t="s">
        <v>6386</v>
      </c>
    </row>
    <row r="3024" spans="1:17" x14ac:dyDescent="0.3">
      <c r="A3024" t="s">
        <v>4664</v>
      </c>
      <c r="B3024" t="str">
        <f>"002341"</f>
        <v>002341</v>
      </c>
      <c r="C3024" t="s">
        <v>6387</v>
      </c>
      <c r="D3024" t="s">
        <v>324</v>
      </c>
      <c r="F3024">
        <v>1296967516</v>
      </c>
      <c r="G3024">
        <v>1904788784</v>
      </c>
      <c r="H3024">
        <v>2061112620</v>
      </c>
      <c r="I3024">
        <v>1725489071</v>
      </c>
      <c r="J3024">
        <v>1288413279</v>
      </c>
      <c r="K3024">
        <v>753249673</v>
      </c>
      <c r="L3024">
        <v>777146239</v>
      </c>
      <c r="M3024">
        <v>851392184</v>
      </c>
      <c r="N3024">
        <v>674786139</v>
      </c>
      <c r="O3024">
        <v>682483555</v>
      </c>
      <c r="P3024">
        <v>276</v>
      </c>
      <c r="Q3024" t="s">
        <v>6388</v>
      </c>
    </row>
    <row r="3025" spans="1:17" x14ac:dyDescent="0.3">
      <c r="A3025" t="s">
        <v>4664</v>
      </c>
      <c r="B3025" t="str">
        <f>"002342"</f>
        <v>002342</v>
      </c>
      <c r="C3025" t="s">
        <v>6389</v>
      </c>
      <c r="D3025" t="s">
        <v>274</v>
      </c>
      <c r="F3025">
        <v>1319660363</v>
      </c>
      <c r="G3025">
        <v>1030074281</v>
      </c>
      <c r="H3025">
        <v>941122525</v>
      </c>
      <c r="I3025">
        <v>854072287</v>
      </c>
      <c r="J3025">
        <v>659467839</v>
      </c>
      <c r="K3025">
        <v>620129130</v>
      </c>
      <c r="L3025">
        <v>733939212</v>
      </c>
      <c r="M3025">
        <v>853103441</v>
      </c>
      <c r="N3025">
        <v>876992295</v>
      </c>
      <c r="O3025">
        <v>737371213</v>
      </c>
      <c r="P3025">
        <v>112</v>
      </c>
      <c r="Q3025" t="s">
        <v>6390</v>
      </c>
    </row>
    <row r="3026" spans="1:17" x14ac:dyDescent="0.3">
      <c r="A3026" t="s">
        <v>4664</v>
      </c>
      <c r="B3026" t="str">
        <f>"002343"</f>
        <v>002343</v>
      </c>
      <c r="C3026" t="s">
        <v>6391</v>
      </c>
      <c r="D3026" t="s">
        <v>113</v>
      </c>
      <c r="F3026">
        <v>459978489</v>
      </c>
      <c r="G3026">
        <v>735559349</v>
      </c>
      <c r="H3026">
        <v>847436557</v>
      </c>
      <c r="I3026">
        <v>1087152303</v>
      </c>
      <c r="J3026">
        <v>1144253358</v>
      </c>
      <c r="K3026">
        <v>1223459948</v>
      </c>
      <c r="L3026">
        <v>230965021</v>
      </c>
      <c r="M3026">
        <v>1216801065</v>
      </c>
      <c r="N3026">
        <v>1158961323</v>
      </c>
      <c r="O3026">
        <v>1034381528</v>
      </c>
      <c r="P3026">
        <v>183</v>
      </c>
      <c r="Q3026" t="s">
        <v>6392</v>
      </c>
    </row>
    <row r="3027" spans="1:17" x14ac:dyDescent="0.3">
      <c r="A3027" t="s">
        <v>4664</v>
      </c>
      <c r="B3027" t="str">
        <f>"002344"</f>
        <v>002344</v>
      </c>
      <c r="C3027" t="s">
        <v>6393</v>
      </c>
      <c r="D3027" t="s">
        <v>271</v>
      </c>
      <c r="F3027">
        <v>1478543595</v>
      </c>
      <c r="G3027">
        <v>1013953450</v>
      </c>
      <c r="H3027">
        <v>1174476510</v>
      </c>
      <c r="I3027">
        <v>1593660197</v>
      </c>
      <c r="J3027">
        <v>1738401016</v>
      </c>
      <c r="K3027">
        <v>1536904111</v>
      </c>
      <c r="L3027">
        <v>1515670263</v>
      </c>
      <c r="M3027">
        <v>1766137203</v>
      </c>
      <c r="N3027">
        <v>2430737468</v>
      </c>
      <c r="O3027">
        <v>2025100027</v>
      </c>
      <c r="P3027">
        <v>145</v>
      </c>
      <c r="Q3027" t="s">
        <v>6394</v>
      </c>
    </row>
    <row r="3028" spans="1:17" x14ac:dyDescent="0.3">
      <c r="A3028" t="s">
        <v>4664</v>
      </c>
      <c r="B3028" t="str">
        <f>"002345"</f>
        <v>002345</v>
      </c>
      <c r="C3028" t="s">
        <v>6395</v>
      </c>
      <c r="D3028" t="s">
        <v>1238</v>
      </c>
      <c r="F3028">
        <v>3763421296</v>
      </c>
      <c r="G3028">
        <v>2790772084</v>
      </c>
      <c r="H3028">
        <v>3161499373</v>
      </c>
      <c r="I3028">
        <v>2945563731</v>
      </c>
      <c r="J3028">
        <v>2697862027</v>
      </c>
      <c r="K3028">
        <v>2444715126</v>
      </c>
      <c r="L3028">
        <v>2358590295</v>
      </c>
      <c r="M3028">
        <v>2082726296</v>
      </c>
      <c r="N3028">
        <v>1878912732</v>
      </c>
      <c r="O3028">
        <v>1345914683</v>
      </c>
      <c r="P3028">
        <v>137</v>
      </c>
      <c r="Q3028" t="s">
        <v>6396</v>
      </c>
    </row>
    <row r="3029" spans="1:17" x14ac:dyDescent="0.3">
      <c r="A3029" t="s">
        <v>4664</v>
      </c>
      <c r="B3029" t="str">
        <f>"002346"</f>
        <v>002346</v>
      </c>
      <c r="C3029" t="s">
        <v>6397</v>
      </c>
      <c r="D3029" t="s">
        <v>210</v>
      </c>
      <c r="F3029">
        <v>395387038</v>
      </c>
      <c r="G3029">
        <v>316175426</v>
      </c>
      <c r="H3029">
        <v>367405931</v>
      </c>
      <c r="I3029">
        <v>422143291</v>
      </c>
      <c r="J3029">
        <v>322160828</v>
      </c>
      <c r="K3029">
        <v>315123797</v>
      </c>
      <c r="L3029">
        <v>383338934</v>
      </c>
      <c r="M3029">
        <v>72079495</v>
      </c>
      <c r="N3029">
        <v>179768578</v>
      </c>
      <c r="O3029">
        <v>234999176</v>
      </c>
      <c r="P3029">
        <v>105</v>
      </c>
      <c r="Q3029" t="s">
        <v>6398</v>
      </c>
    </row>
    <row r="3030" spans="1:17" x14ac:dyDescent="0.3">
      <c r="A3030" t="s">
        <v>4664</v>
      </c>
      <c r="B3030" t="str">
        <f>"002347"</f>
        <v>002347</v>
      </c>
      <c r="C3030" t="s">
        <v>6399</v>
      </c>
      <c r="D3030" t="s">
        <v>274</v>
      </c>
      <c r="F3030">
        <v>562798837</v>
      </c>
      <c r="G3030">
        <v>495883924</v>
      </c>
      <c r="H3030">
        <v>569184669</v>
      </c>
      <c r="I3030">
        <v>381217690</v>
      </c>
      <c r="J3030">
        <v>233987325</v>
      </c>
      <c r="K3030">
        <v>176785659</v>
      </c>
      <c r="L3030">
        <v>161520605</v>
      </c>
      <c r="M3030">
        <v>307710558</v>
      </c>
      <c r="N3030">
        <v>270219355</v>
      </c>
      <c r="O3030">
        <v>289626620</v>
      </c>
      <c r="P3030">
        <v>75</v>
      </c>
      <c r="Q3030" t="s">
        <v>6400</v>
      </c>
    </row>
    <row r="3031" spans="1:17" x14ac:dyDescent="0.3">
      <c r="A3031" t="s">
        <v>4664</v>
      </c>
      <c r="B3031" t="str">
        <f>"002348"</f>
        <v>002348</v>
      </c>
      <c r="C3031" t="s">
        <v>6401</v>
      </c>
      <c r="D3031" t="s">
        <v>2904</v>
      </c>
      <c r="F3031">
        <v>354680836</v>
      </c>
      <c r="G3031">
        <v>355067320</v>
      </c>
      <c r="H3031">
        <v>484785393</v>
      </c>
      <c r="I3031">
        <v>568344042</v>
      </c>
      <c r="J3031">
        <v>331004405</v>
      </c>
      <c r="K3031">
        <v>359556599</v>
      </c>
      <c r="L3031">
        <v>288573980</v>
      </c>
      <c r="M3031">
        <v>309476097</v>
      </c>
      <c r="N3031">
        <v>313108240</v>
      </c>
      <c r="O3031">
        <v>254292311</v>
      </c>
      <c r="P3031">
        <v>112</v>
      </c>
      <c r="Q3031" t="s">
        <v>6402</v>
      </c>
    </row>
    <row r="3032" spans="1:17" x14ac:dyDescent="0.3">
      <c r="A3032" t="s">
        <v>4664</v>
      </c>
      <c r="B3032" t="str">
        <f>"002349"</f>
        <v>002349</v>
      </c>
      <c r="C3032" t="s">
        <v>6403</v>
      </c>
      <c r="D3032" t="s">
        <v>188</v>
      </c>
      <c r="F3032">
        <v>985576977</v>
      </c>
      <c r="G3032">
        <v>873852783</v>
      </c>
      <c r="H3032">
        <v>915019247</v>
      </c>
      <c r="I3032">
        <v>808602948</v>
      </c>
      <c r="J3032">
        <v>735429193</v>
      </c>
      <c r="K3032">
        <v>744086745</v>
      </c>
      <c r="L3032">
        <v>466511022</v>
      </c>
      <c r="M3032">
        <v>444991229</v>
      </c>
      <c r="N3032">
        <v>506723324</v>
      </c>
      <c r="O3032">
        <v>455302317</v>
      </c>
      <c r="P3032">
        <v>194</v>
      </c>
      <c r="Q3032" t="s">
        <v>6404</v>
      </c>
    </row>
    <row r="3033" spans="1:17" x14ac:dyDescent="0.3">
      <c r="A3033" t="s">
        <v>4664</v>
      </c>
      <c r="B3033" t="str">
        <f>"002350"</f>
        <v>002350</v>
      </c>
      <c r="C3033" t="s">
        <v>6405</v>
      </c>
      <c r="D3033" t="s">
        <v>657</v>
      </c>
      <c r="F3033">
        <v>1700914195</v>
      </c>
      <c r="G3033">
        <v>1647656439</v>
      </c>
      <c r="H3033">
        <v>1768826421</v>
      </c>
      <c r="I3033">
        <v>1739609017</v>
      </c>
      <c r="J3033">
        <v>1431691860</v>
      </c>
      <c r="K3033">
        <v>1169563352</v>
      </c>
      <c r="L3033">
        <v>906965352</v>
      </c>
      <c r="M3033">
        <v>837837673</v>
      </c>
      <c r="N3033">
        <v>749061915</v>
      </c>
      <c r="O3033">
        <v>691445043</v>
      </c>
      <c r="P3033">
        <v>104</v>
      </c>
      <c r="Q3033" t="s">
        <v>6406</v>
      </c>
    </row>
    <row r="3034" spans="1:17" x14ac:dyDescent="0.3">
      <c r="A3034" t="s">
        <v>4664</v>
      </c>
      <c r="B3034" t="str">
        <f>"002351"</f>
        <v>002351</v>
      </c>
      <c r="C3034" t="s">
        <v>6407</v>
      </c>
      <c r="D3034" t="s">
        <v>3499</v>
      </c>
      <c r="F3034">
        <v>1816817865</v>
      </c>
      <c r="G3034">
        <v>1336461762</v>
      </c>
      <c r="H3034">
        <v>839367279</v>
      </c>
      <c r="I3034">
        <v>671292764</v>
      </c>
      <c r="J3034">
        <v>741433530</v>
      </c>
      <c r="K3034">
        <v>539816773</v>
      </c>
      <c r="L3034">
        <v>527035266</v>
      </c>
      <c r="M3034">
        <v>579128746</v>
      </c>
      <c r="N3034">
        <v>636381534</v>
      </c>
      <c r="O3034">
        <v>649594662</v>
      </c>
      <c r="P3034">
        <v>339</v>
      </c>
      <c r="Q3034" t="s">
        <v>6408</v>
      </c>
    </row>
    <row r="3035" spans="1:17" x14ac:dyDescent="0.3">
      <c r="A3035" t="s">
        <v>4664</v>
      </c>
      <c r="B3035" t="str">
        <f>"002352"</f>
        <v>002352</v>
      </c>
      <c r="C3035" t="s">
        <v>6409</v>
      </c>
      <c r="D3035" t="s">
        <v>537</v>
      </c>
      <c r="F3035">
        <v>140033243320</v>
      </c>
      <c r="G3035">
        <v>112542639660</v>
      </c>
      <c r="H3035">
        <v>83672464849</v>
      </c>
      <c r="I3035">
        <v>69630628592</v>
      </c>
      <c r="J3035">
        <v>52358035408</v>
      </c>
      <c r="K3035">
        <v>469169125</v>
      </c>
      <c r="L3035">
        <v>586559473</v>
      </c>
      <c r="M3035">
        <v>749407057</v>
      </c>
      <c r="N3035">
        <v>611939771</v>
      </c>
      <c r="O3035">
        <v>697164693</v>
      </c>
      <c r="P3035">
        <v>3728</v>
      </c>
      <c r="Q3035" t="s">
        <v>6410</v>
      </c>
    </row>
    <row r="3036" spans="1:17" x14ac:dyDescent="0.3">
      <c r="A3036" t="s">
        <v>4664</v>
      </c>
      <c r="B3036" t="str">
        <f>"002353"</f>
        <v>002353</v>
      </c>
      <c r="C3036" t="s">
        <v>6411</v>
      </c>
      <c r="D3036" t="s">
        <v>395</v>
      </c>
      <c r="F3036">
        <v>5158603169</v>
      </c>
      <c r="G3036">
        <v>4483378709</v>
      </c>
      <c r="H3036">
        <v>4091654998</v>
      </c>
      <c r="I3036">
        <v>2880265904</v>
      </c>
      <c r="J3036">
        <v>2158151694</v>
      </c>
      <c r="K3036">
        <v>2101520276</v>
      </c>
      <c r="L3036">
        <v>2442920645</v>
      </c>
      <c r="M3036">
        <v>3142039498</v>
      </c>
      <c r="N3036">
        <v>2662046954</v>
      </c>
      <c r="O3036">
        <v>1114765712</v>
      </c>
      <c r="P3036">
        <v>861</v>
      </c>
      <c r="Q3036" t="s">
        <v>6412</v>
      </c>
    </row>
    <row r="3037" spans="1:17" x14ac:dyDescent="0.3">
      <c r="A3037" t="s">
        <v>4664</v>
      </c>
      <c r="B3037" t="str">
        <f>"002354"</f>
        <v>002354</v>
      </c>
      <c r="C3037" t="s">
        <v>6413</v>
      </c>
      <c r="D3037" t="s">
        <v>517</v>
      </c>
      <c r="F3037">
        <v>1151856439</v>
      </c>
      <c r="G3037">
        <v>731004487</v>
      </c>
      <c r="H3037">
        <v>1238864537</v>
      </c>
      <c r="I3037">
        <v>1842229377</v>
      </c>
      <c r="J3037">
        <v>2124934952</v>
      </c>
      <c r="K3037">
        <v>1350237351</v>
      </c>
      <c r="L3037">
        <v>578521287</v>
      </c>
      <c r="M3037">
        <v>316821215</v>
      </c>
      <c r="N3037">
        <v>300031262</v>
      </c>
      <c r="O3037">
        <v>283475920</v>
      </c>
      <c r="P3037">
        <v>265</v>
      </c>
      <c r="Q3037" t="s">
        <v>6414</v>
      </c>
    </row>
    <row r="3038" spans="1:17" x14ac:dyDescent="0.3">
      <c r="A3038" t="s">
        <v>4664</v>
      </c>
      <c r="B3038" t="str">
        <f>"002355"</f>
        <v>002355</v>
      </c>
      <c r="C3038" t="s">
        <v>6415</v>
      </c>
      <c r="D3038" t="s">
        <v>422</v>
      </c>
      <c r="F3038">
        <v>603041856</v>
      </c>
      <c r="G3038">
        <v>510144897</v>
      </c>
      <c r="H3038">
        <v>725025402</v>
      </c>
      <c r="I3038">
        <v>882818646</v>
      </c>
      <c r="J3038">
        <v>866529062</v>
      </c>
      <c r="K3038">
        <v>813486089</v>
      </c>
      <c r="L3038">
        <v>585105860</v>
      </c>
      <c r="M3038">
        <v>683283264</v>
      </c>
      <c r="N3038">
        <v>665189823</v>
      </c>
      <c r="O3038">
        <v>602266282</v>
      </c>
      <c r="P3038">
        <v>120</v>
      </c>
      <c r="Q3038" t="s">
        <v>6416</v>
      </c>
    </row>
    <row r="3039" spans="1:17" x14ac:dyDescent="0.3">
      <c r="A3039" t="s">
        <v>4664</v>
      </c>
      <c r="B3039" t="str">
        <f>"002356"</f>
        <v>002356</v>
      </c>
      <c r="C3039" t="s">
        <v>6417</v>
      </c>
      <c r="D3039" t="s">
        <v>1404</v>
      </c>
      <c r="F3039">
        <v>285067730</v>
      </c>
      <c r="G3039">
        <v>324999632</v>
      </c>
      <c r="H3039">
        <v>602770642</v>
      </c>
      <c r="I3039">
        <v>1447617043</v>
      </c>
      <c r="J3039">
        <v>1334538075</v>
      </c>
      <c r="K3039">
        <v>1651023633</v>
      </c>
      <c r="L3039">
        <v>1028397841</v>
      </c>
      <c r="M3039">
        <v>464671182</v>
      </c>
      <c r="N3039">
        <v>332451651</v>
      </c>
      <c r="O3039">
        <v>286903936</v>
      </c>
      <c r="P3039">
        <v>75</v>
      </c>
      <c r="Q3039" t="s">
        <v>6418</v>
      </c>
    </row>
    <row r="3040" spans="1:17" x14ac:dyDescent="0.3">
      <c r="A3040" t="s">
        <v>4664</v>
      </c>
      <c r="B3040" t="str">
        <f>"002357"</f>
        <v>002357</v>
      </c>
      <c r="C3040" t="s">
        <v>6419</v>
      </c>
      <c r="D3040" t="s">
        <v>1133</v>
      </c>
      <c r="F3040">
        <v>519927988</v>
      </c>
      <c r="G3040">
        <v>441447161</v>
      </c>
      <c r="H3040">
        <v>674025904</v>
      </c>
      <c r="I3040">
        <v>739282141</v>
      </c>
      <c r="J3040">
        <v>824776714</v>
      </c>
      <c r="K3040">
        <v>963131753</v>
      </c>
      <c r="L3040">
        <v>460846736</v>
      </c>
      <c r="M3040">
        <v>277288962</v>
      </c>
      <c r="N3040">
        <v>323631112</v>
      </c>
      <c r="O3040">
        <v>286976414</v>
      </c>
      <c r="P3040">
        <v>102</v>
      </c>
      <c r="Q3040" t="s">
        <v>6420</v>
      </c>
    </row>
    <row r="3041" spans="1:17" x14ac:dyDescent="0.3">
      <c r="A3041" t="s">
        <v>4664</v>
      </c>
      <c r="B3041" t="str">
        <f>"002358"</f>
        <v>002358</v>
      </c>
      <c r="C3041" t="s">
        <v>6421</v>
      </c>
      <c r="D3041" t="s">
        <v>210</v>
      </c>
      <c r="F3041">
        <v>968304152</v>
      </c>
      <c r="G3041">
        <v>849121529</v>
      </c>
      <c r="H3041">
        <v>1900331255</v>
      </c>
      <c r="I3041">
        <v>1039666772</v>
      </c>
      <c r="J3041">
        <v>1487028641</v>
      </c>
      <c r="K3041">
        <v>1520438714</v>
      </c>
      <c r="L3041">
        <v>1057819638</v>
      </c>
      <c r="M3041">
        <v>686201898</v>
      </c>
      <c r="N3041">
        <v>707927640</v>
      </c>
      <c r="O3041">
        <v>581912978</v>
      </c>
      <c r="P3041">
        <v>142</v>
      </c>
      <c r="Q3041" t="s">
        <v>6422</v>
      </c>
    </row>
    <row r="3042" spans="1:17" x14ac:dyDescent="0.3">
      <c r="A3042" t="s">
        <v>4664</v>
      </c>
      <c r="B3042" t="str">
        <f>"002359"</f>
        <v>002359</v>
      </c>
      <c r="C3042" t="s">
        <v>6423</v>
      </c>
      <c r="G3042">
        <v>456057214</v>
      </c>
      <c r="H3042">
        <v>396150518</v>
      </c>
      <c r="I3042">
        <v>2172754029</v>
      </c>
      <c r="J3042">
        <v>1698624343</v>
      </c>
      <c r="K3042">
        <v>528859568</v>
      </c>
      <c r="L3042">
        <v>489807047</v>
      </c>
      <c r="M3042">
        <v>400681570</v>
      </c>
      <c r="N3042">
        <v>498007244</v>
      </c>
      <c r="O3042">
        <v>318951038</v>
      </c>
      <c r="P3042">
        <v>68</v>
      </c>
      <c r="Q3042" t="s">
        <v>6424</v>
      </c>
    </row>
    <row r="3043" spans="1:17" x14ac:dyDescent="0.3">
      <c r="A3043" t="s">
        <v>4664</v>
      </c>
      <c r="B3043" t="str">
        <f>"002360"</f>
        <v>002360</v>
      </c>
      <c r="C3043" t="s">
        <v>6425</v>
      </c>
      <c r="D3043" t="s">
        <v>2713</v>
      </c>
      <c r="F3043">
        <v>665651613</v>
      </c>
      <c r="G3043">
        <v>583307621</v>
      </c>
      <c r="H3043">
        <v>602797068</v>
      </c>
      <c r="I3043">
        <v>641940083</v>
      </c>
      <c r="J3043">
        <v>522327722</v>
      </c>
      <c r="K3043">
        <v>428034506</v>
      </c>
      <c r="L3043">
        <v>509466075</v>
      </c>
      <c r="M3043">
        <v>650280843</v>
      </c>
      <c r="N3043">
        <v>550230383</v>
      </c>
      <c r="O3043">
        <v>390692087</v>
      </c>
      <c r="P3043">
        <v>111</v>
      </c>
      <c r="Q3043" t="s">
        <v>6426</v>
      </c>
    </row>
    <row r="3044" spans="1:17" x14ac:dyDescent="0.3">
      <c r="A3044" t="s">
        <v>4664</v>
      </c>
      <c r="B3044" t="str">
        <f>"002361"</f>
        <v>002361</v>
      </c>
      <c r="C3044" t="s">
        <v>6427</v>
      </c>
      <c r="D3044" t="s">
        <v>3350</v>
      </c>
      <c r="F3044">
        <v>1289997361</v>
      </c>
      <c r="G3044">
        <v>1243833641</v>
      </c>
      <c r="H3044">
        <v>1071442781</v>
      </c>
      <c r="I3044">
        <v>1221069738</v>
      </c>
      <c r="J3044">
        <v>904543767</v>
      </c>
      <c r="K3044">
        <v>770079366</v>
      </c>
      <c r="L3044">
        <v>835490439</v>
      </c>
      <c r="M3044">
        <v>806764228</v>
      </c>
      <c r="N3044">
        <v>489938646</v>
      </c>
      <c r="O3044">
        <v>377114943</v>
      </c>
      <c r="P3044">
        <v>89</v>
      </c>
      <c r="Q3044" t="s">
        <v>6428</v>
      </c>
    </row>
    <row r="3045" spans="1:17" x14ac:dyDescent="0.3">
      <c r="A3045" t="s">
        <v>4664</v>
      </c>
      <c r="B3045" t="str">
        <f>"002362"</f>
        <v>002362</v>
      </c>
      <c r="C3045" t="s">
        <v>6429</v>
      </c>
      <c r="D3045" t="s">
        <v>945</v>
      </c>
      <c r="F3045">
        <v>981720171</v>
      </c>
      <c r="G3045">
        <v>955497504</v>
      </c>
      <c r="H3045">
        <v>544541915</v>
      </c>
      <c r="I3045">
        <v>518561246</v>
      </c>
      <c r="J3045">
        <v>423093502</v>
      </c>
      <c r="K3045">
        <v>282403658</v>
      </c>
      <c r="L3045">
        <v>260450669</v>
      </c>
      <c r="M3045">
        <v>250079453</v>
      </c>
      <c r="N3045">
        <v>245093613</v>
      </c>
      <c r="O3045">
        <v>296804550</v>
      </c>
      <c r="P3045">
        <v>197</v>
      </c>
      <c r="Q3045" t="s">
        <v>6430</v>
      </c>
    </row>
    <row r="3046" spans="1:17" x14ac:dyDescent="0.3">
      <c r="A3046" t="s">
        <v>4664</v>
      </c>
      <c r="B3046" t="str">
        <f>"002363"</f>
        <v>002363</v>
      </c>
      <c r="C3046" t="s">
        <v>6431</v>
      </c>
      <c r="D3046" t="s">
        <v>348</v>
      </c>
      <c r="F3046">
        <v>1415490526</v>
      </c>
      <c r="G3046">
        <v>1148797833</v>
      </c>
      <c r="H3046">
        <v>1492613158</v>
      </c>
      <c r="I3046">
        <v>1493689759</v>
      </c>
      <c r="J3046">
        <v>1373865305</v>
      </c>
      <c r="K3046">
        <v>1119760426</v>
      </c>
      <c r="L3046">
        <v>1119347033</v>
      </c>
      <c r="M3046">
        <v>946981006</v>
      </c>
      <c r="N3046">
        <v>890998948</v>
      </c>
      <c r="O3046">
        <v>822042201</v>
      </c>
      <c r="P3046">
        <v>126</v>
      </c>
      <c r="Q3046" t="s">
        <v>6432</v>
      </c>
    </row>
    <row r="3047" spans="1:17" x14ac:dyDescent="0.3">
      <c r="A3047" t="s">
        <v>4664</v>
      </c>
      <c r="B3047" t="str">
        <f>"002364"</f>
        <v>002364</v>
      </c>
      <c r="C3047" t="s">
        <v>6433</v>
      </c>
      <c r="D3047" t="s">
        <v>880</v>
      </c>
      <c r="F3047">
        <v>1624656024</v>
      </c>
      <c r="G3047">
        <v>862007687</v>
      </c>
      <c r="H3047">
        <v>716446312</v>
      </c>
      <c r="I3047">
        <v>647883871</v>
      </c>
      <c r="J3047">
        <v>498138352</v>
      </c>
      <c r="K3047">
        <v>557214126</v>
      </c>
      <c r="L3047">
        <v>467849446</v>
      </c>
      <c r="M3047">
        <v>351305141</v>
      </c>
      <c r="N3047">
        <v>293282419</v>
      </c>
      <c r="O3047">
        <v>202709266</v>
      </c>
      <c r="P3047">
        <v>219</v>
      </c>
      <c r="Q3047" t="s">
        <v>6434</v>
      </c>
    </row>
    <row r="3048" spans="1:17" x14ac:dyDescent="0.3">
      <c r="A3048" t="s">
        <v>4664</v>
      </c>
      <c r="B3048" t="str">
        <f>"002365"</f>
        <v>002365</v>
      </c>
      <c r="C3048" t="s">
        <v>6435</v>
      </c>
      <c r="D3048" t="s">
        <v>496</v>
      </c>
      <c r="F3048">
        <v>967056397</v>
      </c>
      <c r="G3048">
        <v>835635043</v>
      </c>
      <c r="H3048">
        <v>964097494</v>
      </c>
      <c r="I3048">
        <v>774151078</v>
      </c>
      <c r="J3048">
        <v>630317794</v>
      </c>
      <c r="K3048">
        <v>430206246</v>
      </c>
      <c r="L3048">
        <v>443005739</v>
      </c>
      <c r="M3048">
        <v>468746839</v>
      </c>
      <c r="N3048">
        <v>431758883</v>
      </c>
      <c r="O3048">
        <v>345448313</v>
      </c>
      <c r="P3048">
        <v>195</v>
      </c>
      <c r="Q3048" t="s">
        <v>6436</v>
      </c>
    </row>
    <row r="3049" spans="1:17" x14ac:dyDescent="0.3">
      <c r="A3049" t="s">
        <v>4664</v>
      </c>
      <c r="B3049" t="str">
        <f>"002366"</f>
        <v>002366</v>
      </c>
      <c r="C3049" t="s">
        <v>6437</v>
      </c>
      <c r="D3049" t="s">
        <v>880</v>
      </c>
      <c r="F3049">
        <v>226495488</v>
      </c>
      <c r="G3049">
        <v>295122688</v>
      </c>
      <c r="H3049">
        <v>530703942</v>
      </c>
      <c r="I3049">
        <v>697714982</v>
      </c>
      <c r="J3049">
        <v>503812831</v>
      </c>
      <c r="K3049">
        <v>399177543</v>
      </c>
      <c r="L3049">
        <v>242251529</v>
      </c>
      <c r="M3049">
        <v>501940174</v>
      </c>
      <c r="N3049">
        <v>537313727</v>
      </c>
      <c r="O3049">
        <v>532779903</v>
      </c>
      <c r="P3049">
        <v>175</v>
      </c>
      <c r="Q3049" t="s">
        <v>6438</v>
      </c>
    </row>
    <row r="3050" spans="1:17" x14ac:dyDescent="0.3">
      <c r="A3050" t="s">
        <v>4664</v>
      </c>
      <c r="B3050" t="str">
        <f>"002367"</f>
        <v>002367</v>
      </c>
      <c r="C3050" t="s">
        <v>6439</v>
      </c>
      <c r="D3050" t="s">
        <v>1689</v>
      </c>
      <c r="F3050">
        <v>3738388490</v>
      </c>
      <c r="G3050">
        <v>3255442473</v>
      </c>
      <c r="H3050">
        <v>3037303427</v>
      </c>
      <c r="I3050">
        <v>2635789374</v>
      </c>
      <c r="J3050">
        <v>2671123009</v>
      </c>
      <c r="K3050">
        <v>2374244766</v>
      </c>
      <c r="L3050">
        <v>2290813005</v>
      </c>
      <c r="M3050">
        <v>2296690649</v>
      </c>
      <c r="N3050">
        <v>1887424030</v>
      </c>
      <c r="O3050">
        <v>1411742030</v>
      </c>
      <c r="P3050">
        <v>388</v>
      </c>
      <c r="Q3050" t="s">
        <v>6440</v>
      </c>
    </row>
    <row r="3051" spans="1:17" x14ac:dyDescent="0.3">
      <c r="A3051" t="s">
        <v>4664</v>
      </c>
      <c r="B3051" t="str">
        <f>"002368"</f>
        <v>002368</v>
      </c>
      <c r="C3051" t="s">
        <v>6441</v>
      </c>
      <c r="D3051" t="s">
        <v>316</v>
      </c>
      <c r="F3051">
        <v>5839661703</v>
      </c>
      <c r="G3051">
        <v>3622978812</v>
      </c>
      <c r="H3051">
        <v>3871015052</v>
      </c>
      <c r="I3051">
        <v>3292989057</v>
      </c>
      <c r="J3051">
        <v>3289603824</v>
      </c>
      <c r="K3051">
        <v>3029888346</v>
      </c>
      <c r="L3051">
        <v>2426216150</v>
      </c>
      <c r="M3051">
        <v>2519590218</v>
      </c>
      <c r="N3051">
        <v>1891144057</v>
      </c>
      <c r="O3051">
        <v>1722823436</v>
      </c>
      <c r="P3051">
        <v>373</v>
      </c>
      <c r="Q3051" t="s">
        <v>6442</v>
      </c>
    </row>
    <row r="3052" spans="1:17" x14ac:dyDescent="0.3">
      <c r="A3052" t="s">
        <v>4664</v>
      </c>
      <c r="B3052" t="str">
        <f>"002369"</f>
        <v>002369</v>
      </c>
      <c r="C3052" t="s">
        <v>6443</v>
      </c>
      <c r="D3052" t="s">
        <v>313</v>
      </c>
      <c r="F3052">
        <v>2176070975</v>
      </c>
      <c r="G3052">
        <v>2770637222</v>
      </c>
      <c r="H3052">
        <v>2466380326</v>
      </c>
      <c r="I3052">
        <v>2799267340</v>
      </c>
      <c r="J3052">
        <v>2262791373</v>
      </c>
      <c r="K3052">
        <v>2445663732</v>
      </c>
      <c r="L3052">
        <v>3258274921</v>
      </c>
      <c r="M3052">
        <v>1659079609</v>
      </c>
      <c r="N3052">
        <v>1080906749</v>
      </c>
      <c r="O3052">
        <v>1086815608</v>
      </c>
      <c r="P3052">
        <v>179</v>
      </c>
      <c r="Q3052" t="s">
        <v>6444</v>
      </c>
    </row>
    <row r="3053" spans="1:17" x14ac:dyDescent="0.3">
      <c r="A3053" t="s">
        <v>4664</v>
      </c>
      <c r="B3053" t="str">
        <f>"002370"</f>
        <v>002370</v>
      </c>
      <c r="C3053" t="s">
        <v>6445</v>
      </c>
      <c r="D3053" t="s">
        <v>143</v>
      </c>
      <c r="F3053">
        <v>203039881</v>
      </c>
      <c r="G3053">
        <v>282131359</v>
      </c>
      <c r="H3053">
        <v>599581683</v>
      </c>
      <c r="I3053">
        <v>832576333</v>
      </c>
      <c r="J3053">
        <v>763999504</v>
      </c>
      <c r="K3053">
        <v>527421621</v>
      </c>
      <c r="L3053">
        <v>267778741</v>
      </c>
      <c r="M3053">
        <v>165933415</v>
      </c>
      <c r="N3053">
        <v>142472918</v>
      </c>
      <c r="O3053">
        <v>116865962</v>
      </c>
      <c r="P3053">
        <v>201</v>
      </c>
      <c r="Q3053" t="s">
        <v>6446</v>
      </c>
    </row>
    <row r="3054" spans="1:17" x14ac:dyDescent="0.3">
      <c r="A3054" t="s">
        <v>4664</v>
      </c>
      <c r="B3054" t="str">
        <f>"002371"</f>
        <v>002371</v>
      </c>
      <c r="C3054" t="s">
        <v>6447</v>
      </c>
      <c r="D3054" t="s">
        <v>3160</v>
      </c>
      <c r="F3054">
        <v>6903202749</v>
      </c>
      <c r="G3054">
        <v>3590300730</v>
      </c>
      <c r="H3054">
        <v>1998908367</v>
      </c>
      <c r="I3054">
        <v>2099066989</v>
      </c>
      <c r="J3054">
        <v>1438619693</v>
      </c>
      <c r="K3054">
        <v>818829888</v>
      </c>
      <c r="L3054">
        <v>483351760</v>
      </c>
      <c r="M3054">
        <v>565166983</v>
      </c>
      <c r="N3054">
        <v>522482568</v>
      </c>
      <c r="O3054">
        <v>379795539</v>
      </c>
      <c r="P3054">
        <v>1587</v>
      </c>
      <c r="Q3054" t="s">
        <v>6448</v>
      </c>
    </row>
    <row r="3055" spans="1:17" x14ac:dyDescent="0.3">
      <c r="A3055" t="s">
        <v>4664</v>
      </c>
      <c r="B3055" t="str">
        <f>"002372"</f>
        <v>002372</v>
      </c>
      <c r="C3055" t="s">
        <v>6449</v>
      </c>
      <c r="D3055" t="s">
        <v>3320</v>
      </c>
      <c r="F3055">
        <v>4619316816</v>
      </c>
      <c r="G3055">
        <v>3643766357</v>
      </c>
      <c r="H3055">
        <v>3560908569</v>
      </c>
      <c r="I3055">
        <v>3427455129</v>
      </c>
      <c r="J3055">
        <v>3040657329</v>
      </c>
      <c r="K3055">
        <v>2589851214</v>
      </c>
      <c r="L3055">
        <v>2130365861</v>
      </c>
      <c r="M3055">
        <v>1946201022</v>
      </c>
      <c r="N3055">
        <v>2057603409</v>
      </c>
      <c r="O3055">
        <v>1790402957</v>
      </c>
      <c r="P3055">
        <v>10689</v>
      </c>
      <c r="Q3055" t="s">
        <v>6450</v>
      </c>
    </row>
    <row r="3056" spans="1:17" x14ac:dyDescent="0.3">
      <c r="A3056" t="s">
        <v>4664</v>
      </c>
      <c r="B3056" t="str">
        <f>"002373"</f>
        <v>002373</v>
      </c>
      <c r="C3056" t="s">
        <v>6451</v>
      </c>
      <c r="D3056" t="s">
        <v>316</v>
      </c>
      <c r="F3056">
        <v>6796484007</v>
      </c>
      <c r="G3056">
        <v>6013593272</v>
      </c>
      <c r="H3056">
        <v>5629733119</v>
      </c>
      <c r="I3056">
        <v>4268304090</v>
      </c>
      <c r="J3056">
        <v>1316919833</v>
      </c>
      <c r="K3056">
        <v>1204601697</v>
      </c>
      <c r="L3056">
        <v>609228996</v>
      </c>
      <c r="M3056">
        <v>577028796</v>
      </c>
      <c r="N3056">
        <v>327480480</v>
      </c>
      <c r="O3056">
        <v>510338884</v>
      </c>
      <c r="P3056">
        <v>713</v>
      </c>
      <c r="Q3056" t="s">
        <v>6452</v>
      </c>
    </row>
    <row r="3057" spans="1:17" x14ac:dyDescent="0.3">
      <c r="A3057" t="s">
        <v>4664</v>
      </c>
      <c r="B3057" t="str">
        <f>"002374"</f>
        <v>002374</v>
      </c>
      <c r="C3057" t="s">
        <v>6453</v>
      </c>
      <c r="D3057" t="s">
        <v>2364</v>
      </c>
      <c r="F3057">
        <v>936603112</v>
      </c>
      <c r="G3057">
        <v>522030022</v>
      </c>
      <c r="H3057">
        <v>701129384</v>
      </c>
      <c r="I3057">
        <v>720012438</v>
      </c>
      <c r="J3057">
        <v>812390639</v>
      </c>
      <c r="K3057">
        <v>760081035</v>
      </c>
      <c r="L3057">
        <v>521140065</v>
      </c>
      <c r="M3057">
        <v>417163361</v>
      </c>
      <c r="N3057">
        <v>498533604</v>
      </c>
      <c r="O3057">
        <v>482081850</v>
      </c>
      <c r="P3057">
        <v>92</v>
      </c>
      <c r="Q3057" t="s">
        <v>6454</v>
      </c>
    </row>
    <row r="3058" spans="1:17" x14ac:dyDescent="0.3">
      <c r="A3058" t="s">
        <v>4664</v>
      </c>
      <c r="B3058" t="str">
        <f>"002375"</f>
        <v>002375</v>
      </c>
      <c r="C3058" t="s">
        <v>6455</v>
      </c>
      <c r="D3058" t="s">
        <v>450</v>
      </c>
      <c r="F3058">
        <v>8495040510</v>
      </c>
      <c r="G3058">
        <v>7008133695</v>
      </c>
      <c r="H3058">
        <v>7701470795</v>
      </c>
      <c r="I3058">
        <v>6668597899</v>
      </c>
      <c r="J3058">
        <v>6385628670</v>
      </c>
      <c r="K3058">
        <v>6098447714</v>
      </c>
      <c r="L3058">
        <v>5924451329</v>
      </c>
      <c r="M3058">
        <v>5924300492</v>
      </c>
      <c r="N3058">
        <v>6028417291</v>
      </c>
      <c r="O3058">
        <v>4460457484</v>
      </c>
      <c r="P3058">
        <v>176</v>
      </c>
      <c r="Q3058" t="s">
        <v>6456</v>
      </c>
    </row>
    <row r="3059" spans="1:17" x14ac:dyDescent="0.3">
      <c r="A3059" t="s">
        <v>4664</v>
      </c>
      <c r="B3059" t="str">
        <f>"002376"</f>
        <v>002376</v>
      </c>
      <c r="C3059" t="s">
        <v>6457</v>
      </c>
      <c r="D3059" t="s">
        <v>236</v>
      </c>
      <c r="F3059">
        <v>1711451556</v>
      </c>
      <c r="G3059">
        <v>1541860637</v>
      </c>
      <c r="H3059">
        <v>1554145162</v>
      </c>
      <c r="I3059">
        <v>1583105326</v>
      </c>
      <c r="J3059">
        <v>1424267429</v>
      </c>
      <c r="K3059">
        <v>1185211769</v>
      </c>
      <c r="L3059">
        <v>807651356</v>
      </c>
      <c r="M3059">
        <v>674130363</v>
      </c>
      <c r="N3059">
        <v>442653709</v>
      </c>
      <c r="O3059">
        <v>416527199</v>
      </c>
      <c r="P3059">
        <v>298</v>
      </c>
      <c r="Q3059" t="s">
        <v>6458</v>
      </c>
    </row>
    <row r="3060" spans="1:17" x14ac:dyDescent="0.3">
      <c r="A3060" t="s">
        <v>4664</v>
      </c>
      <c r="B3060" t="str">
        <f>"002377"</f>
        <v>002377</v>
      </c>
      <c r="C3060" t="s">
        <v>6459</v>
      </c>
      <c r="D3060" t="s">
        <v>4982</v>
      </c>
      <c r="F3060">
        <v>2926454375</v>
      </c>
      <c r="G3060">
        <v>3446094441</v>
      </c>
      <c r="H3060">
        <v>3522377046</v>
      </c>
      <c r="I3060">
        <v>3048658664</v>
      </c>
      <c r="J3060">
        <v>1327490267</v>
      </c>
      <c r="K3060">
        <v>608606297</v>
      </c>
      <c r="L3060">
        <v>1289375191</v>
      </c>
      <c r="M3060">
        <v>1066796779</v>
      </c>
      <c r="N3060">
        <v>855912605</v>
      </c>
      <c r="O3060">
        <v>995728042</v>
      </c>
      <c r="P3060">
        <v>95</v>
      </c>
      <c r="Q3060" t="s">
        <v>6460</v>
      </c>
    </row>
    <row r="3061" spans="1:17" x14ac:dyDescent="0.3">
      <c r="A3061" t="s">
        <v>4664</v>
      </c>
      <c r="B3061" t="str">
        <f>"002378"</f>
        <v>002378</v>
      </c>
      <c r="C3061" t="s">
        <v>6461</v>
      </c>
      <c r="D3061" t="s">
        <v>1110</v>
      </c>
      <c r="F3061">
        <v>1612652583</v>
      </c>
      <c r="G3061">
        <v>1324606827</v>
      </c>
      <c r="H3061">
        <v>1058114308</v>
      </c>
      <c r="I3061">
        <v>1164781745</v>
      </c>
      <c r="J3061">
        <v>1113856837</v>
      </c>
      <c r="K3061">
        <v>762309673</v>
      </c>
      <c r="L3061">
        <v>1120298719</v>
      </c>
      <c r="M3061">
        <v>1424392224</v>
      </c>
      <c r="N3061">
        <v>1184107279</v>
      </c>
      <c r="O3061">
        <v>1185027913</v>
      </c>
      <c r="P3061">
        <v>128</v>
      </c>
      <c r="Q3061" t="s">
        <v>6462</v>
      </c>
    </row>
    <row r="3062" spans="1:17" x14ac:dyDescent="0.3">
      <c r="A3062" t="s">
        <v>4664</v>
      </c>
      <c r="B3062" t="str">
        <f>"002379"</f>
        <v>002379</v>
      </c>
      <c r="C3062" t="s">
        <v>6463</v>
      </c>
      <c r="D3062" t="s">
        <v>504</v>
      </c>
      <c r="F3062">
        <v>1859130658</v>
      </c>
      <c r="G3062">
        <v>1351228632</v>
      </c>
      <c r="H3062">
        <v>1655797496</v>
      </c>
      <c r="I3062">
        <v>1109206771</v>
      </c>
      <c r="J3062">
        <v>1116082364</v>
      </c>
      <c r="K3062">
        <v>517415912</v>
      </c>
      <c r="L3062">
        <v>1392229655</v>
      </c>
      <c r="M3062">
        <v>1762143545</v>
      </c>
      <c r="N3062">
        <v>1874184607</v>
      </c>
      <c r="O3062">
        <v>1718084994</v>
      </c>
      <c r="P3062">
        <v>88</v>
      </c>
      <c r="Q3062" t="s">
        <v>6464</v>
      </c>
    </row>
    <row r="3063" spans="1:17" x14ac:dyDescent="0.3">
      <c r="A3063" t="s">
        <v>4664</v>
      </c>
      <c r="B3063" t="str">
        <f>"002380"</f>
        <v>002380</v>
      </c>
      <c r="C3063" t="s">
        <v>6465</v>
      </c>
      <c r="D3063" t="s">
        <v>316</v>
      </c>
      <c r="F3063">
        <v>639463009</v>
      </c>
      <c r="G3063">
        <v>580965892</v>
      </c>
      <c r="H3063">
        <v>562935936</v>
      </c>
      <c r="I3063">
        <v>473740701</v>
      </c>
      <c r="J3063">
        <v>441284368</v>
      </c>
      <c r="K3063">
        <v>340370593</v>
      </c>
      <c r="L3063">
        <v>292766815</v>
      </c>
      <c r="M3063">
        <v>207669900</v>
      </c>
      <c r="N3063">
        <v>186024004</v>
      </c>
      <c r="O3063">
        <v>197883649</v>
      </c>
      <c r="P3063">
        <v>131</v>
      </c>
      <c r="Q3063" t="s">
        <v>6466</v>
      </c>
    </row>
    <row r="3064" spans="1:17" x14ac:dyDescent="0.3">
      <c r="A3064" t="s">
        <v>4664</v>
      </c>
      <c r="B3064" t="str">
        <f>"002381"</f>
        <v>002381</v>
      </c>
      <c r="C3064" t="s">
        <v>6467</v>
      </c>
      <c r="D3064" t="s">
        <v>2460</v>
      </c>
      <c r="F3064">
        <v>1085615342</v>
      </c>
      <c r="G3064">
        <v>1116417745</v>
      </c>
      <c r="H3064">
        <v>1004890078</v>
      </c>
      <c r="I3064">
        <v>808217573</v>
      </c>
      <c r="J3064">
        <v>990306112</v>
      </c>
      <c r="K3064">
        <v>868414028</v>
      </c>
      <c r="L3064">
        <v>918664728</v>
      </c>
      <c r="M3064">
        <v>979096092</v>
      </c>
      <c r="N3064">
        <v>950872038</v>
      </c>
      <c r="O3064">
        <v>932881512</v>
      </c>
      <c r="P3064">
        <v>276</v>
      </c>
      <c r="Q3064" t="s">
        <v>6468</v>
      </c>
    </row>
    <row r="3065" spans="1:17" x14ac:dyDescent="0.3">
      <c r="A3065" t="s">
        <v>4664</v>
      </c>
      <c r="B3065" t="str">
        <f>"002382"</f>
        <v>002382</v>
      </c>
      <c r="C3065" t="s">
        <v>6469</v>
      </c>
      <c r="D3065" t="s">
        <v>1077</v>
      </c>
      <c r="F3065">
        <v>6765395067</v>
      </c>
      <c r="G3065">
        <v>4914030595</v>
      </c>
      <c r="H3065">
        <v>2660775428</v>
      </c>
      <c r="I3065">
        <v>1742283010</v>
      </c>
      <c r="J3065">
        <v>1165604328</v>
      </c>
      <c r="K3065">
        <v>1042465796</v>
      </c>
      <c r="L3065">
        <v>1127822354</v>
      </c>
      <c r="M3065">
        <v>1152838620</v>
      </c>
      <c r="N3065">
        <v>946493590</v>
      </c>
      <c r="O3065">
        <v>1028750182</v>
      </c>
      <c r="P3065">
        <v>849</v>
      </c>
      <c r="Q3065" t="s">
        <v>6470</v>
      </c>
    </row>
    <row r="3066" spans="1:17" x14ac:dyDescent="0.3">
      <c r="A3066" t="s">
        <v>4664</v>
      </c>
      <c r="B3066" t="str">
        <f>"002383"</f>
        <v>002383</v>
      </c>
      <c r="C3066" t="s">
        <v>6471</v>
      </c>
      <c r="D3066" t="s">
        <v>1136</v>
      </c>
      <c r="F3066">
        <v>1479233356</v>
      </c>
      <c r="G3066">
        <v>1589602112</v>
      </c>
      <c r="H3066">
        <v>2200111637</v>
      </c>
      <c r="I3066">
        <v>3645780398</v>
      </c>
      <c r="J3066">
        <v>1594823484</v>
      </c>
      <c r="K3066">
        <v>519209615</v>
      </c>
      <c r="L3066">
        <v>378838302</v>
      </c>
      <c r="M3066">
        <v>386042404</v>
      </c>
      <c r="N3066">
        <v>381573880</v>
      </c>
      <c r="O3066">
        <v>287984309</v>
      </c>
      <c r="P3066">
        <v>211</v>
      </c>
      <c r="Q3066" t="s">
        <v>6472</v>
      </c>
    </row>
    <row r="3067" spans="1:17" x14ac:dyDescent="0.3">
      <c r="A3067" t="s">
        <v>4664</v>
      </c>
      <c r="B3067" t="str">
        <f>"002384"</f>
        <v>002384</v>
      </c>
      <c r="C3067" t="s">
        <v>6473</v>
      </c>
      <c r="D3067" t="s">
        <v>425</v>
      </c>
      <c r="F3067">
        <v>20335897079</v>
      </c>
      <c r="G3067">
        <v>18263919847</v>
      </c>
      <c r="H3067">
        <v>15905683049</v>
      </c>
      <c r="I3067">
        <v>10645067591</v>
      </c>
      <c r="J3067">
        <v>8825307430</v>
      </c>
      <c r="K3067">
        <v>4083161932</v>
      </c>
      <c r="L3067">
        <v>2338844454</v>
      </c>
      <c r="M3067">
        <v>1293048060</v>
      </c>
      <c r="N3067">
        <v>1058263277</v>
      </c>
      <c r="O3067">
        <v>803712503</v>
      </c>
      <c r="P3067">
        <v>1070</v>
      </c>
      <c r="Q3067" t="s">
        <v>6474</v>
      </c>
    </row>
    <row r="3068" spans="1:17" x14ac:dyDescent="0.3">
      <c r="A3068" t="s">
        <v>4664</v>
      </c>
      <c r="B3068" t="str">
        <f>"002385"</f>
        <v>002385</v>
      </c>
      <c r="C3068" t="s">
        <v>6475</v>
      </c>
      <c r="D3068" t="s">
        <v>2859</v>
      </c>
      <c r="F3068">
        <v>23429360696</v>
      </c>
      <c r="G3068">
        <v>15015246431</v>
      </c>
      <c r="H3068">
        <v>11988512961</v>
      </c>
      <c r="I3068">
        <v>13165003845</v>
      </c>
      <c r="J3068">
        <v>12344372864</v>
      </c>
      <c r="K3068">
        <v>10977467581</v>
      </c>
      <c r="L3068">
        <v>10810568234</v>
      </c>
      <c r="M3068">
        <v>12343130791</v>
      </c>
      <c r="N3068">
        <v>10542183292</v>
      </c>
      <c r="O3068">
        <v>7051772449</v>
      </c>
      <c r="P3068">
        <v>890</v>
      </c>
      <c r="Q3068" t="s">
        <v>6476</v>
      </c>
    </row>
    <row r="3069" spans="1:17" x14ac:dyDescent="0.3">
      <c r="A3069" t="s">
        <v>4664</v>
      </c>
      <c r="B3069" t="str">
        <f>"002386"</f>
        <v>002386</v>
      </c>
      <c r="C3069" t="s">
        <v>6477</v>
      </c>
      <c r="D3069" t="s">
        <v>175</v>
      </c>
      <c r="F3069">
        <v>10496962485</v>
      </c>
      <c r="G3069">
        <v>16621991740</v>
      </c>
      <c r="H3069">
        <v>19022280107</v>
      </c>
      <c r="I3069">
        <v>13919352523</v>
      </c>
      <c r="J3069">
        <v>9736243223</v>
      </c>
      <c r="K3069">
        <v>8912706561</v>
      </c>
      <c r="L3069">
        <v>5372374487</v>
      </c>
      <c r="M3069">
        <v>5562450148</v>
      </c>
      <c r="N3069">
        <v>5536415424</v>
      </c>
      <c r="O3069">
        <v>3389199017</v>
      </c>
      <c r="P3069">
        <v>143</v>
      </c>
      <c r="Q3069" t="s">
        <v>6478</v>
      </c>
    </row>
    <row r="3070" spans="1:17" x14ac:dyDescent="0.3">
      <c r="A3070" t="s">
        <v>4664</v>
      </c>
      <c r="B3070" t="str">
        <f>"002387"</f>
        <v>002387</v>
      </c>
      <c r="C3070" t="s">
        <v>6479</v>
      </c>
      <c r="D3070" t="s">
        <v>1117</v>
      </c>
      <c r="F3070">
        <v>3512993980</v>
      </c>
      <c r="G3070">
        <v>1677843410</v>
      </c>
      <c r="H3070">
        <v>1088552404</v>
      </c>
      <c r="I3070">
        <v>961496308</v>
      </c>
      <c r="J3070">
        <v>5200400</v>
      </c>
      <c r="K3070">
        <v>145137532</v>
      </c>
      <c r="L3070">
        <v>359094631</v>
      </c>
      <c r="M3070">
        <v>380203963</v>
      </c>
      <c r="N3070">
        <v>562097649</v>
      </c>
      <c r="O3070">
        <v>570618407</v>
      </c>
      <c r="P3070">
        <v>274</v>
      </c>
      <c r="Q3070" t="s">
        <v>6480</v>
      </c>
    </row>
    <row r="3071" spans="1:17" x14ac:dyDescent="0.3">
      <c r="A3071" t="s">
        <v>4664</v>
      </c>
      <c r="B3071" t="str">
        <f>"002388"</f>
        <v>002388</v>
      </c>
      <c r="C3071" t="s">
        <v>6481</v>
      </c>
      <c r="D3071" t="s">
        <v>651</v>
      </c>
      <c r="F3071">
        <v>2303040354</v>
      </c>
      <c r="G3071">
        <v>2025304816</v>
      </c>
      <c r="H3071">
        <v>1511142959</v>
      </c>
      <c r="I3071">
        <v>1225827116</v>
      </c>
      <c r="J3071">
        <v>1254820783</v>
      </c>
      <c r="K3071">
        <v>701431913</v>
      </c>
      <c r="L3071">
        <v>501890406</v>
      </c>
      <c r="M3071">
        <v>433543071</v>
      </c>
      <c r="N3071">
        <v>342536843</v>
      </c>
      <c r="O3071">
        <v>400607676</v>
      </c>
      <c r="P3071">
        <v>148</v>
      </c>
      <c r="Q3071" t="s">
        <v>6482</v>
      </c>
    </row>
    <row r="3072" spans="1:17" x14ac:dyDescent="0.3">
      <c r="A3072" t="s">
        <v>4664</v>
      </c>
      <c r="B3072" t="str">
        <f>"002389"</f>
        <v>002389</v>
      </c>
      <c r="C3072" t="s">
        <v>6483</v>
      </c>
      <c r="D3072" t="s">
        <v>98</v>
      </c>
      <c r="F3072">
        <v>1553709966</v>
      </c>
      <c r="G3072">
        <v>1542294937</v>
      </c>
      <c r="H3072">
        <v>1487546444</v>
      </c>
      <c r="I3072">
        <v>1292695609</v>
      </c>
      <c r="J3072">
        <v>1143843702</v>
      </c>
      <c r="K3072">
        <v>976013957</v>
      </c>
      <c r="L3072">
        <v>734297998</v>
      </c>
      <c r="M3072">
        <v>570092343</v>
      </c>
      <c r="N3072">
        <v>256705084</v>
      </c>
      <c r="O3072">
        <v>297539144</v>
      </c>
      <c r="P3072">
        <v>435</v>
      </c>
      <c r="Q3072" t="s">
        <v>6484</v>
      </c>
    </row>
    <row r="3073" spans="1:17" x14ac:dyDescent="0.3">
      <c r="A3073" t="s">
        <v>4664</v>
      </c>
      <c r="B3073" t="str">
        <f>"002390"</f>
        <v>002390</v>
      </c>
      <c r="C3073" t="s">
        <v>6485</v>
      </c>
      <c r="D3073" t="s">
        <v>188</v>
      </c>
      <c r="F3073">
        <v>4738697151</v>
      </c>
      <c r="G3073">
        <v>4434505899</v>
      </c>
      <c r="H3073">
        <v>4711635403</v>
      </c>
      <c r="I3073">
        <v>4830749296</v>
      </c>
      <c r="J3073">
        <v>4042173671</v>
      </c>
      <c r="K3073">
        <v>3529439944</v>
      </c>
      <c r="L3073">
        <v>2708145327</v>
      </c>
      <c r="M3073">
        <v>1540372011</v>
      </c>
      <c r="N3073">
        <v>421167533</v>
      </c>
      <c r="O3073">
        <v>323318627</v>
      </c>
      <c r="P3073">
        <v>272</v>
      </c>
      <c r="Q3073" t="s">
        <v>6486</v>
      </c>
    </row>
    <row r="3074" spans="1:17" x14ac:dyDescent="0.3">
      <c r="A3074" t="s">
        <v>4664</v>
      </c>
      <c r="B3074" t="str">
        <f>"002391"</f>
        <v>002391</v>
      </c>
      <c r="C3074" t="s">
        <v>6487</v>
      </c>
      <c r="D3074" t="s">
        <v>853</v>
      </c>
      <c r="F3074">
        <v>1816220831</v>
      </c>
      <c r="G3074">
        <v>1637253377</v>
      </c>
      <c r="H3074">
        <v>1760352617</v>
      </c>
      <c r="I3074">
        <v>1546600748</v>
      </c>
      <c r="J3074">
        <v>1247460577</v>
      </c>
      <c r="K3074">
        <v>1149341264</v>
      </c>
      <c r="L3074">
        <v>1049639850</v>
      </c>
      <c r="M3074">
        <v>958654398</v>
      </c>
      <c r="N3074">
        <v>858898559</v>
      </c>
      <c r="O3074">
        <v>808912315</v>
      </c>
      <c r="P3074">
        <v>192</v>
      </c>
      <c r="Q3074" t="s">
        <v>6488</v>
      </c>
    </row>
    <row r="3075" spans="1:17" x14ac:dyDescent="0.3">
      <c r="A3075" t="s">
        <v>4664</v>
      </c>
      <c r="B3075" t="str">
        <f>"002392"</f>
        <v>002392</v>
      </c>
      <c r="C3075" t="s">
        <v>6489</v>
      </c>
      <c r="D3075" t="s">
        <v>5835</v>
      </c>
      <c r="F3075">
        <v>1975986149</v>
      </c>
      <c r="G3075">
        <v>2151902702</v>
      </c>
      <c r="H3075">
        <v>1743633699</v>
      </c>
      <c r="I3075">
        <v>1449190704</v>
      </c>
      <c r="J3075">
        <v>1277528875</v>
      </c>
      <c r="K3075">
        <v>803047759</v>
      </c>
      <c r="L3075">
        <v>580862316</v>
      </c>
      <c r="M3075">
        <v>558680310</v>
      </c>
      <c r="N3075">
        <v>565941161</v>
      </c>
      <c r="O3075">
        <v>377481027</v>
      </c>
      <c r="P3075">
        <v>142</v>
      </c>
      <c r="Q3075" t="s">
        <v>6490</v>
      </c>
    </row>
    <row r="3076" spans="1:17" x14ac:dyDescent="0.3">
      <c r="A3076" t="s">
        <v>4664</v>
      </c>
      <c r="B3076" t="str">
        <f>"002393"</f>
        <v>002393</v>
      </c>
      <c r="C3076" t="s">
        <v>6491</v>
      </c>
      <c r="D3076" t="s">
        <v>143</v>
      </c>
      <c r="F3076">
        <v>734509013</v>
      </c>
      <c r="G3076">
        <v>810889831</v>
      </c>
      <c r="H3076">
        <v>1192508854</v>
      </c>
      <c r="I3076">
        <v>967476397</v>
      </c>
      <c r="J3076">
        <v>731938002</v>
      </c>
      <c r="K3076">
        <v>576831462</v>
      </c>
      <c r="L3076">
        <v>568897792</v>
      </c>
      <c r="M3076">
        <v>550226671</v>
      </c>
      <c r="N3076">
        <v>702453535</v>
      </c>
      <c r="O3076">
        <v>775977060</v>
      </c>
      <c r="P3076">
        <v>153</v>
      </c>
      <c r="Q3076" t="s">
        <v>6492</v>
      </c>
    </row>
    <row r="3077" spans="1:17" x14ac:dyDescent="0.3">
      <c r="A3077" t="s">
        <v>4664</v>
      </c>
      <c r="B3077" t="str">
        <f>"002394"</f>
        <v>002394</v>
      </c>
      <c r="C3077" t="s">
        <v>6493</v>
      </c>
      <c r="D3077" t="s">
        <v>1009</v>
      </c>
      <c r="F3077">
        <v>3010508797</v>
      </c>
      <c r="G3077">
        <v>2606625428</v>
      </c>
      <c r="H3077">
        <v>2542901811</v>
      </c>
      <c r="I3077">
        <v>3286796707</v>
      </c>
      <c r="J3077">
        <v>3184845147</v>
      </c>
      <c r="K3077">
        <v>2853103290</v>
      </c>
      <c r="L3077">
        <v>2680438592</v>
      </c>
      <c r="M3077">
        <v>2406422232</v>
      </c>
      <c r="N3077">
        <v>2281443141</v>
      </c>
      <c r="O3077">
        <v>1853622410</v>
      </c>
      <c r="P3077">
        <v>673</v>
      </c>
      <c r="Q3077" t="s">
        <v>6494</v>
      </c>
    </row>
    <row r="3078" spans="1:17" x14ac:dyDescent="0.3">
      <c r="A3078" t="s">
        <v>4664</v>
      </c>
      <c r="B3078" t="str">
        <f>"002395"</f>
        <v>002395</v>
      </c>
      <c r="C3078" t="s">
        <v>6495</v>
      </c>
      <c r="D3078" t="s">
        <v>3350</v>
      </c>
      <c r="F3078">
        <v>648370642</v>
      </c>
      <c r="G3078">
        <v>565174462</v>
      </c>
      <c r="H3078">
        <v>858179904</v>
      </c>
      <c r="I3078">
        <v>861303285</v>
      </c>
      <c r="J3078">
        <v>764090540</v>
      </c>
      <c r="K3078">
        <v>728247323</v>
      </c>
      <c r="L3078">
        <v>618196358</v>
      </c>
      <c r="M3078">
        <v>510316753</v>
      </c>
      <c r="N3078">
        <v>437336457</v>
      </c>
      <c r="O3078">
        <v>415519753</v>
      </c>
      <c r="P3078">
        <v>59</v>
      </c>
      <c r="Q3078" t="s">
        <v>6496</v>
      </c>
    </row>
    <row r="3079" spans="1:17" x14ac:dyDescent="0.3">
      <c r="A3079" t="s">
        <v>4664</v>
      </c>
      <c r="B3079" t="str">
        <f>"002396"</f>
        <v>002396</v>
      </c>
      <c r="C3079" t="s">
        <v>6497</v>
      </c>
      <c r="D3079" t="s">
        <v>1019</v>
      </c>
      <c r="F3079">
        <v>10050663426</v>
      </c>
      <c r="G3079">
        <v>7019825384</v>
      </c>
      <c r="H3079">
        <v>6450683312</v>
      </c>
      <c r="I3079">
        <v>6267183953</v>
      </c>
      <c r="J3079">
        <v>4584888461</v>
      </c>
      <c r="K3079">
        <v>3698679412</v>
      </c>
      <c r="L3079">
        <v>3102334651</v>
      </c>
      <c r="M3079">
        <v>2591631630</v>
      </c>
      <c r="N3079">
        <v>2218173455</v>
      </c>
      <c r="O3079">
        <v>1989405120</v>
      </c>
      <c r="P3079">
        <v>3694</v>
      </c>
      <c r="Q3079" t="s">
        <v>6498</v>
      </c>
    </row>
    <row r="3080" spans="1:17" x14ac:dyDescent="0.3">
      <c r="A3080" t="s">
        <v>4664</v>
      </c>
      <c r="B3080" t="str">
        <f>"002397"</f>
        <v>002397</v>
      </c>
      <c r="C3080" t="s">
        <v>6499</v>
      </c>
      <c r="D3080" t="s">
        <v>2862</v>
      </c>
      <c r="F3080">
        <v>1789516335</v>
      </c>
      <c r="G3080">
        <v>1642785780</v>
      </c>
      <c r="H3080">
        <v>1968442394</v>
      </c>
      <c r="I3080">
        <v>1703938298</v>
      </c>
      <c r="J3080">
        <v>1309504981</v>
      </c>
      <c r="K3080">
        <v>1008433847</v>
      </c>
      <c r="L3080">
        <v>1017049161</v>
      </c>
      <c r="M3080">
        <v>1123746097</v>
      </c>
      <c r="N3080">
        <v>1053089660</v>
      </c>
      <c r="O3080">
        <v>919376844</v>
      </c>
      <c r="P3080">
        <v>109</v>
      </c>
      <c r="Q3080" t="s">
        <v>6500</v>
      </c>
    </row>
    <row r="3081" spans="1:17" x14ac:dyDescent="0.3">
      <c r="A3081" t="s">
        <v>4664</v>
      </c>
      <c r="B3081" t="str">
        <f>"002398"</f>
        <v>002398</v>
      </c>
      <c r="C3081" t="s">
        <v>6501</v>
      </c>
      <c r="D3081" t="s">
        <v>722</v>
      </c>
      <c r="F3081">
        <v>2864599637</v>
      </c>
      <c r="G3081">
        <v>2191524611</v>
      </c>
      <c r="H3081">
        <v>1926906935</v>
      </c>
      <c r="I3081">
        <v>1364896427</v>
      </c>
      <c r="J3081">
        <v>943376093</v>
      </c>
      <c r="K3081">
        <v>756828268</v>
      </c>
      <c r="L3081">
        <v>778923811</v>
      </c>
      <c r="M3081">
        <v>779776942</v>
      </c>
      <c r="N3081">
        <v>657808462</v>
      </c>
      <c r="O3081">
        <v>552480858</v>
      </c>
      <c r="P3081">
        <v>217</v>
      </c>
      <c r="Q3081" t="s">
        <v>6502</v>
      </c>
    </row>
    <row r="3082" spans="1:17" x14ac:dyDescent="0.3">
      <c r="A3082" t="s">
        <v>4664</v>
      </c>
      <c r="B3082" t="str">
        <f>"002399"</f>
        <v>002399</v>
      </c>
      <c r="C3082" t="s">
        <v>6503</v>
      </c>
      <c r="D3082" t="s">
        <v>496</v>
      </c>
      <c r="F3082">
        <v>4701180657</v>
      </c>
      <c r="G3082">
        <v>3476393822</v>
      </c>
      <c r="H3082">
        <v>3300416918</v>
      </c>
      <c r="I3082">
        <v>3299579873</v>
      </c>
      <c r="J3082">
        <v>1674933781</v>
      </c>
      <c r="K3082">
        <v>1771545882</v>
      </c>
      <c r="L3082">
        <v>1698820166</v>
      </c>
      <c r="M3082">
        <v>1538182500</v>
      </c>
      <c r="N3082">
        <v>1419339588</v>
      </c>
      <c r="O3082">
        <v>1415330619</v>
      </c>
      <c r="P3082">
        <v>285</v>
      </c>
      <c r="Q3082" t="s">
        <v>6504</v>
      </c>
    </row>
    <row r="3083" spans="1:17" x14ac:dyDescent="0.3">
      <c r="A3083" t="s">
        <v>4664</v>
      </c>
      <c r="B3083" t="str">
        <f>"002400"</f>
        <v>002400</v>
      </c>
      <c r="C3083" t="s">
        <v>6505</v>
      </c>
      <c r="D3083" t="s">
        <v>207</v>
      </c>
      <c r="F3083">
        <v>10223858423</v>
      </c>
      <c r="G3083">
        <v>9194008166</v>
      </c>
      <c r="H3083">
        <v>8997267216</v>
      </c>
      <c r="I3083">
        <v>9424095693</v>
      </c>
      <c r="J3083">
        <v>7326298292</v>
      </c>
      <c r="K3083">
        <v>6884840459</v>
      </c>
      <c r="L3083">
        <v>6105541857</v>
      </c>
      <c r="M3083">
        <v>4025812790</v>
      </c>
      <c r="N3083">
        <v>3573627126</v>
      </c>
      <c r="O3083">
        <v>2863575689</v>
      </c>
      <c r="P3083">
        <v>328</v>
      </c>
      <c r="Q3083" t="s">
        <v>6506</v>
      </c>
    </row>
    <row r="3084" spans="1:17" x14ac:dyDescent="0.3">
      <c r="A3084" t="s">
        <v>4664</v>
      </c>
      <c r="B3084" t="str">
        <f>"002401"</f>
        <v>002401</v>
      </c>
      <c r="C3084" t="s">
        <v>6507</v>
      </c>
      <c r="D3084" t="s">
        <v>316</v>
      </c>
      <c r="F3084">
        <v>973052432</v>
      </c>
      <c r="G3084">
        <v>1192889085</v>
      </c>
      <c r="H3084">
        <v>984944320</v>
      </c>
      <c r="I3084">
        <v>778694076</v>
      </c>
      <c r="J3084">
        <v>555369377</v>
      </c>
      <c r="K3084">
        <v>674454328</v>
      </c>
      <c r="L3084">
        <v>538732798</v>
      </c>
      <c r="M3084">
        <v>251245278</v>
      </c>
      <c r="N3084">
        <v>272394691</v>
      </c>
      <c r="O3084">
        <v>203345305</v>
      </c>
      <c r="P3084">
        <v>152</v>
      </c>
      <c r="Q3084" t="s">
        <v>6508</v>
      </c>
    </row>
    <row r="3085" spans="1:17" x14ac:dyDescent="0.3">
      <c r="A3085" t="s">
        <v>4664</v>
      </c>
      <c r="B3085" t="str">
        <f>"002402"</f>
        <v>002402</v>
      </c>
      <c r="C3085" t="s">
        <v>6509</v>
      </c>
      <c r="D3085" t="s">
        <v>313</v>
      </c>
      <c r="F3085">
        <v>3832096397</v>
      </c>
      <c r="G3085">
        <v>2723893934</v>
      </c>
      <c r="H3085">
        <v>2420940593</v>
      </c>
      <c r="I3085">
        <v>1565982046</v>
      </c>
      <c r="J3085">
        <v>1193801409</v>
      </c>
      <c r="K3085">
        <v>897197409</v>
      </c>
      <c r="L3085">
        <v>787644734</v>
      </c>
      <c r="M3085">
        <v>552666191</v>
      </c>
      <c r="N3085">
        <v>432080928</v>
      </c>
      <c r="O3085">
        <v>341773910</v>
      </c>
      <c r="P3085">
        <v>1281</v>
      </c>
      <c r="Q3085" t="s">
        <v>6510</v>
      </c>
    </row>
    <row r="3086" spans="1:17" x14ac:dyDescent="0.3">
      <c r="A3086" t="s">
        <v>4664</v>
      </c>
      <c r="B3086" t="str">
        <f>"002403"</f>
        <v>002403</v>
      </c>
      <c r="C3086" t="s">
        <v>6511</v>
      </c>
      <c r="D3086" t="s">
        <v>5712</v>
      </c>
      <c r="F3086">
        <v>2173458841</v>
      </c>
      <c r="G3086">
        <v>2083869504</v>
      </c>
      <c r="H3086">
        <v>2403154530</v>
      </c>
      <c r="I3086">
        <v>2223192112</v>
      </c>
      <c r="J3086">
        <v>2138527245</v>
      </c>
      <c r="K3086">
        <v>1777273062</v>
      </c>
      <c r="L3086">
        <v>1442567360</v>
      </c>
      <c r="M3086">
        <v>1482231927</v>
      </c>
      <c r="N3086">
        <v>1404639571</v>
      </c>
      <c r="O3086">
        <v>1546736034</v>
      </c>
      <c r="P3086">
        <v>151</v>
      </c>
      <c r="Q3086" t="s">
        <v>6512</v>
      </c>
    </row>
    <row r="3087" spans="1:17" x14ac:dyDescent="0.3">
      <c r="A3087" t="s">
        <v>4664</v>
      </c>
      <c r="B3087" t="str">
        <f>"002404"</f>
        <v>002404</v>
      </c>
      <c r="C3087" t="s">
        <v>6513</v>
      </c>
      <c r="D3087" t="s">
        <v>366</v>
      </c>
      <c r="F3087">
        <v>2772652809</v>
      </c>
      <c r="G3087">
        <v>1897276973</v>
      </c>
      <c r="H3087">
        <v>2827875094</v>
      </c>
      <c r="I3087">
        <v>2575453896</v>
      </c>
      <c r="J3087">
        <v>2222998038</v>
      </c>
      <c r="K3087">
        <v>1744259880</v>
      </c>
      <c r="L3087">
        <v>1614241554</v>
      </c>
      <c r="M3087">
        <v>1554161761</v>
      </c>
      <c r="N3087">
        <v>1437087857</v>
      </c>
      <c r="O3087">
        <v>1332535551</v>
      </c>
      <c r="P3087">
        <v>108</v>
      </c>
      <c r="Q3087" t="s">
        <v>6514</v>
      </c>
    </row>
    <row r="3088" spans="1:17" x14ac:dyDescent="0.3">
      <c r="A3088" t="s">
        <v>4664</v>
      </c>
      <c r="B3088" t="str">
        <f>"002405"</f>
        <v>002405</v>
      </c>
      <c r="C3088" t="s">
        <v>6515</v>
      </c>
      <c r="D3088" t="s">
        <v>945</v>
      </c>
      <c r="F3088">
        <v>1817891930</v>
      </c>
      <c r="G3088">
        <v>1470112979</v>
      </c>
      <c r="H3088">
        <v>1403998151</v>
      </c>
      <c r="I3088">
        <v>1748717213</v>
      </c>
      <c r="J3088">
        <v>1293806483</v>
      </c>
      <c r="K3088">
        <v>1095113761</v>
      </c>
      <c r="L3088">
        <v>984856312</v>
      </c>
      <c r="M3088">
        <v>752816949</v>
      </c>
      <c r="N3088">
        <v>608264936</v>
      </c>
      <c r="O3088">
        <v>433063647</v>
      </c>
      <c r="P3088">
        <v>3861</v>
      </c>
      <c r="Q3088" t="s">
        <v>6516</v>
      </c>
    </row>
    <row r="3089" spans="1:17" x14ac:dyDescent="0.3">
      <c r="A3089" t="s">
        <v>4664</v>
      </c>
      <c r="B3089" t="str">
        <f>"002406"</f>
        <v>002406</v>
      </c>
      <c r="C3089" t="s">
        <v>6517</v>
      </c>
      <c r="D3089" t="s">
        <v>348</v>
      </c>
      <c r="F3089">
        <v>1269913384</v>
      </c>
      <c r="G3089">
        <v>902526851</v>
      </c>
      <c r="H3089">
        <v>677492182</v>
      </c>
      <c r="I3089">
        <v>869900790</v>
      </c>
      <c r="J3089">
        <v>1100149230</v>
      </c>
      <c r="K3089">
        <v>637302565</v>
      </c>
      <c r="L3089">
        <v>758350120</v>
      </c>
      <c r="M3089">
        <v>954305462</v>
      </c>
      <c r="N3089">
        <v>823006932</v>
      </c>
      <c r="O3089">
        <v>593906108</v>
      </c>
      <c r="P3089">
        <v>272</v>
      </c>
      <c r="Q3089" t="s">
        <v>6518</v>
      </c>
    </row>
    <row r="3090" spans="1:17" x14ac:dyDescent="0.3">
      <c r="A3090" t="s">
        <v>4664</v>
      </c>
      <c r="B3090" t="str">
        <f>"002407"</f>
        <v>002407</v>
      </c>
      <c r="C3090" t="s">
        <v>6519</v>
      </c>
      <c r="D3090" t="s">
        <v>375</v>
      </c>
      <c r="F3090">
        <v>4023815058</v>
      </c>
      <c r="G3090">
        <v>2032363224</v>
      </c>
      <c r="H3090">
        <v>1661403522</v>
      </c>
      <c r="I3090">
        <v>1794748930</v>
      </c>
      <c r="J3090">
        <v>1591563641</v>
      </c>
      <c r="K3090">
        <v>1188940554</v>
      </c>
      <c r="L3090">
        <v>916254365</v>
      </c>
      <c r="M3090">
        <v>1001127300</v>
      </c>
      <c r="N3090">
        <v>678122131</v>
      </c>
      <c r="O3090">
        <v>721656453</v>
      </c>
      <c r="P3090">
        <v>566</v>
      </c>
      <c r="Q3090" t="s">
        <v>6520</v>
      </c>
    </row>
    <row r="3091" spans="1:17" x14ac:dyDescent="0.3">
      <c r="A3091" t="s">
        <v>4664</v>
      </c>
      <c r="B3091" t="str">
        <f>"002408"</f>
        <v>002408</v>
      </c>
      <c r="C3091" t="s">
        <v>6521</v>
      </c>
      <c r="D3091" t="s">
        <v>1615</v>
      </c>
      <c r="F3091">
        <v>25863023333</v>
      </c>
      <c r="G3091">
        <v>18141107945</v>
      </c>
      <c r="H3091">
        <v>24468619979</v>
      </c>
      <c r="I3091">
        <v>16124939685</v>
      </c>
      <c r="J3091">
        <v>14824558173</v>
      </c>
      <c r="K3091">
        <v>3502821456</v>
      </c>
      <c r="L3091">
        <v>2471934923</v>
      </c>
      <c r="M3091">
        <v>3747040483</v>
      </c>
      <c r="N3091">
        <v>2585800374</v>
      </c>
      <c r="O3091">
        <v>1990590501</v>
      </c>
      <c r="P3091">
        <v>317</v>
      </c>
      <c r="Q3091" t="s">
        <v>6522</v>
      </c>
    </row>
    <row r="3092" spans="1:17" x14ac:dyDescent="0.3">
      <c r="A3092" t="s">
        <v>4664</v>
      </c>
      <c r="B3092" t="str">
        <f>"002409"</f>
        <v>002409</v>
      </c>
      <c r="C3092" t="s">
        <v>6523</v>
      </c>
      <c r="D3092" t="s">
        <v>475</v>
      </c>
      <c r="F3092">
        <v>2737957475</v>
      </c>
      <c r="G3092">
        <v>1682200710</v>
      </c>
      <c r="H3092">
        <v>1277919154</v>
      </c>
      <c r="I3092">
        <v>1004324822</v>
      </c>
      <c r="J3092">
        <v>715186229</v>
      </c>
      <c r="K3092">
        <v>725619776</v>
      </c>
      <c r="L3092">
        <v>959015138</v>
      </c>
      <c r="M3092">
        <v>1116292726</v>
      </c>
      <c r="N3092">
        <v>911788247</v>
      </c>
      <c r="O3092">
        <v>805658098</v>
      </c>
      <c r="P3092">
        <v>496</v>
      </c>
      <c r="Q3092" t="s">
        <v>6524</v>
      </c>
    </row>
    <row r="3093" spans="1:17" x14ac:dyDescent="0.3">
      <c r="A3093" t="s">
        <v>4664</v>
      </c>
      <c r="B3093" t="str">
        <f>"002410"</f>
        <v>002410</v>
      </c>
      <c r="C3093" t="s">
        <v>6525</v>
      </c>
      <c r="D3093" t="s">
        <v>945</v>
      </c>
      <c r="F3093">
        <v>3920562782</v>
      </c>
      <c r="G3093">
        <v>3189758081</v>
      </c>
      <c r="H3093">
        <v>2449803441</v>
      </c>
      <c r="I3093">
        <v>1949691800</v>
      </c>
      <c r="J3093">
        <v>1555636556</v>
      </c>
      <c r="K3093">
        <v>1383992494</v>
      </c>
      <c r="L3093">
        <v>950150787</v>
      </c>
      <c r="M3093">
        <v>1210684536</v>
      </c>
      <c r="N3093">
        <v>1015205400</v>
      </c>
      <c r="O3093">
        <v>571057645</v>
      </c>
      <c r="P3093">
        <v>2190</v>
      </c>
      <c r="Q3093" t="s">
        <v>6526</v>
      </c>
    </row>
    <row r="3094" spans="1:17" x14ac:dyDescent="0.3">
      <c r="A3094" t="s">
        <v>4664</v>
      </c>
      <c r="B3094" t="str">
        <f>"002411"</f>
        <v>002411</v>
      </c>
      <c r="C3094" t="s">
        <v>6527</v>
      </c>
      <c r="D3094" t="s">
        <v>125</v>
      </c>
      <c r="F3094">
        <v>5822493918</v>
      </c>
      <c r="G3094">
        <v>5086852627</v>
      </c>
      <c r="H3094">
        <v>5557378409</v>
      </c>
      <c r="I3094">
        <v>5528034750</v>
      </c>
      <c r="J3094">
        <v>3552843955</v>
      </c>
      <c r="K3094">
        <v>2768197425</v>
      </c>
      <c r="L3094">
        <v>431827131</v>
      </c>
      <c r="M3094">
        <v>410416167</v>
      </c>
      <c r="N3094">
        <v>441638572</v>
      </c>
      <c r="O3094">
        <v>520804133</v>
      </c>
      <c r="P3094">
        <v>244</v>
      </c>
      <c r="Q3094" t="s">
        <v>6528</v>
      </c>
    </row>
    <row r="3095" spans="1:17" x14ac:dyDescent="0.3">
      <c r="A3095" t="s">
        <v>4664</v>
      </c>
      <c r="B3095" t="str">
        <f>"002412"</f>
        <v>002412</v>
      </c>
      <c r="C3095" t="s">
        <v>6529</v>
      </c>
      <c r="D3095" t="s">
        <v>188</v>
      </c>
      <c r="F3095">
        <v>779328523</v>
      </c>
      <c r="G3095">
        <v>651313135</v>
      </c>
      <c r="H3095">
        <v>666050741</v>
      </c>
      <c r="I3095">
        <v>733974189</v>
      </c>
      <c r="J3095">
        <v>643163712</v>
      </c>
      <c r="K3095">
        <v>633391162</v>
      </c>
      <c r="L3095">
        <v>596535771</v>
      </c>
      <c r="M3095">
        <v>548195317</v>
      </c>
      <c r="N3095">
        <v>419252844</v>
      </c>
      <c r="O3095">
        <v>408095755</v>
      </c>
      <c r="P3095">
        <v>155</v>
      </c>
      <c r="Q3095" t="s">
        <v>6530</v>
      </c>
    </row>
    <row r="3096" spans="1:17" x14ac:dyDescent="0.3">
      <c r="A3096" t="s">
        <v>4664</v>
      </c>
      <c r="B3096" t="str">
        <f>"002413"</f>
        <v>002413</v>
      </c>
      <c r="C3096" t="s">
        <v>6531</v>
      </c>
      <c r="D3096" t="s">
        <v>1136</v>
      </c>
      <c r="F3096">
        <v>676927461</v>
      </c>
      <c r="G3096">
        <v>658293681</v>
      </c>
      <c r="H3096">
        <v>412675232</v>
      </c>
      <c r="I3096">
        <v>466134907</v>
      </c>
      <c r="J3096">
        <v>248259857</v>
      </c>
      <c r="K3096">
        <v>166575056</v>
      </c>
      <c r="L3096">
        <v>1348152727</v>
      </c>
      <c r="M3096">
        <v>1831322675</v>
      </c>
      <c r="N3096">
        <v>1398914222</v>
      </c>
      <c r="O3096">
        <v>1201375665</v>
      </c>
      <c r="P3096">
        <v>218</v>
      </c>
      <c r="Q3096" t="s">
        <v>6532</v>
      </c>
    </row>
    <row r="3097" spans="1:17" x14ac:dyDescent="0.3">
      <c r="A3097" t="s">
        <v>4664</v>
      </c>
      <c r="B3097" t="str">
        <f>"002414"</f>
        <v>002414</v>
      </c>
      <c r="C3097" t="s">
        <v>6533</v>
      </c>
      <c r="D3097" t="s">
        <v>1136</v>
      </c>
      <c r="F3097">
        <v>1745272789</v>
      </c>
      <c r="G3097">
        <v>1540731333</v>
      </c>
      <c r="H3097">
        <v>860461133</v>
      </c>
      <c r="I3097">
        <v>665828490</v>
      </c>
      <c r="J3097">
        <v>434175479</v>
      </c>
      <c r="K3097">
        <v>340179247</v>
      </c>
      <c r="L3097">
        <v>231343075</v>
      </c>
      <c r="M3097">
        <v>158028230</v>
      </c>
      <c r="N3097">
        <v>266859082</v>
      </c>
      <c r="O3097">
        <v>104220839</v>
      </c>
      <c r="P3097">
        <v>789</v>
      </c>
      <c r="Q3097" t="s">
        <v>6534</v>
      </c>
    </row>
    <row r="3098" spans="1:17" x14ac:dyDescent="0.3">
      <c r="A3098" t="s">
        <v>4664</v>
      </c>
      <c r="B3098" t="str">
        <f>"002415"</f>
        <v>002415</v>
      </c>
      <c r="C3098" t="s">
        <v>6535</v>
      </c>
      <c r="D3098" t="s">
        <v>2953</v>
      </c>
      <c r="F3098">
        <v>57804183013</v>
      </c>
      <c r="G3098">
        <v>44732201358</v>
      </c>
      <c r="H3098">
        <v>39797920691</v>
      </c>
      <c r="I3098">
        <v>36015579776</v>
      </c>
      <c r="J3098">
        <v>27024807953</v>
      </c>
      <c r="K3098">
        <v>21024107808</v>
      </c>
      <c r="L3098">
        <v>14081333471</v>
      </c>
      <c r="M3098">
        <v>10042780830</v>
      </c>
      <c r="N3098">
        <v>6391252347</v>
      </c>
      <c r="O3098">
        <v>4779154388</v>
      </c>
      <c r="P3098">
        <v>63223</v>
      </c>
      <c r="Q3098" t="s">
        <v>6536</v>
      </c>
    </row>
    <row r="3099" spans="1:17" x14ac:dyDescent="0.3">
      <c r="A3099" t="s">
        <v>4664</v>
      </c>
      <c r="B3099" t="str">
        <f>"002416"</f>
        <v>002416</v>
      </c>
      <c r="C3099" t="s">
        <v>6537</v>
      </c>
      <c r="D3099" t="s">
        <v>295</v>
      </c>
      <c r="F3099">
        <v>73752930132</v>
      </c>
      <c r="G3099">
        <v>49653727279</v>
      </c>
      <c r="H3099">
        <v>46691385343</v>
      </c>
      <c r="I3099">
        <v>48643758035</v>
      </c>
      <c r="J3099">
        <v>45543088800</v>
      </c>
      <c r="K3099">
        <v>40044316042</v>
      </c>
      <c r="L3099">
        <v>39914825736</v>
      </c>
      <c r="M3099">
        <v>43926224335</v>
      </c>
      <c r="N3099">
        <v>35256932639</v>
      </c>
      <c r="O3099">
        <v>16229149777</v>
      </c>
      <c r="P3099">
        <v>251</v>
      </c>
      <c r="Q3099" t="s">
        <v>6538</v>
      </c>
    </row>
    <row r="3100" spans="1:17" x14ac:dyDescent="0.3">
      <c r="A3100" t="s">
        <v>4664</v>
      </c>
      <c r="B3100" t="str">
        <f>"002417"</f>
        <v>002417</v>
      </c>
      <c r="C3100" t="s">
        <v>6539</v>
      </c>
      <c r="D3100" t="s">
        <v>316</v>
      </c>
      <c r="F3100">
        <v>122089288</v>
      </c>
      <c r="G3100">
        <v>223469554</v>
      </c>
      <c r="H3100">
        <v>284185281</v>
      </c>
      <c r="I3100">
        <v>88337646</v>
      </c>
      <c r="J3100">
        <v>70511807</v>
      </c>
      <c r="K3100">
        <v>397186822</v>
      </c>
      <c r="L3100">
        <v>363078428</v>
      </c>
      <c r="M3100">
        <v>411444063</v>
      </c>
      <c r="N3100">
        <v>452031607</v>
      </c>
      <c r="O3100">
        <v>480562756</v>
      </c>
      <c r="P3100">
        <v>140</v>
      </c>
      <c r="Q3100" t="s">
        <v>6540</v>
      </c>
    </row>
    <row r="3101" spans="1:17" x14ac:dyDescent="0.3">
      <c r="A3101" t="s">
        <v>4664</v>
      </c>
      <c r="B3101" t="str">
        <f>"002418"</f>
        <v>002418</v>
      </c>
      <c r="C3101" t="s">
        <v>6541</v>
      </c>
      <c r="D3101" t="s">
        <v>1253</v>
      </c>
      <c r="F3101">
        <v>1432204663</v>
      </c>
      <c r="G3101">
        <v>930751075</v>
      </c>
      <c r="H3101">
        <v>1061309372</v>
      </c>
      <c r="I3101">
        <v>1518106030</v>
      </c>
      <c r="J3101">
        <v>2024387780</v>
      </c>
      <c r="K3101">
        <v>1574852150</v>
      </c>
      <c r="L3101">
        <v>844846828</v>
      </c>
      <c r="M3101">
        <v>1068741616</v>
      </c>
      <c r="N3101">
        <v>923213756</v>
      </c>
      <c r="O3101">
        <v>705186482</v>
      </c>
      <c r="P3101">
        <v>94</v>
      </c>
      <c r="Q3101" t="s">
        <v>6542</v>
      </c>
    </row>
    <row r="3102" spans="1:17" x14ac:dyDescent="0.3">
      <c r="A3102" t="s">
        <v>4664</v>
      </c>
      <c r="B3102" t="str">
        <f>"002419"</f>
        <v>002419</v>
      </c>
      <c r="C3102" t="s">
        <v>6543</v>
      </c>
      <c r="D3102" t="s">
        <v>633</v>
      </c>
      <c r="F3102">
        <v>15158240985</v>
      </c>
      <c r="G3102">
        <v>14046414542</v>
      </c>
      <c r="H3102">
        <v>15117194694</v>
      </c>
      <c r="I3102">
        <v>15382586876</v>
      </c>
      <c r="J3102">
        <v>14593225769</v>
      </c>
      <c r="K3102">
        <v>14135330769</v>
      </c>
      <c r="L3102">
        <v>14296548102</v>
      </c>
      <c r="M3102">
        <v>13468248233</v>
      </c>
      <c r="N3102">
        <v>11946430145</v>
      </c>
      <c r="O3102">
        <v>11850230922</v>
      </c>
      <c r="P3102">
        <v>421</v>
      </c>
      <c r="Q3102" t="s">
        <v>6544</v>
      </c>
    </row>
    <row r="3103" spans="1:17" x14ac:dyDescent="0.3">
      <c r="A3103" t="s">
        <v>4664</v>
      </c>
      <c r="B3103" t="str">
        <f>"002420"</f>
        <v>002420</v>
      </c>
      <c r="C3103" t="s">
        <v>6545</v>
      </c>
      <c r="D3103" t="s">
        <v>1253</v>
      </c>
      <c r="F3103">
        <v>1940850918</v>
      </c>
      <c r="G3103">
        <v>2065814909</v>
      </c>
      <c r="H3103">
        <v>2602857847</v>
      </c>
      <c r="I3103">
        <v>4751916245</v>
      </c>
      <c r="J3103">
        <v>4178096879</v>
      </c>
      <c r="K3103">
        <v>4580094227</v>
      </c>
      <c r="L3103">
        <v>3038359255</v>
      </c>
      <c r="M3103">
        <v>2471992930</v>
      </c>
      <c r="N3103">
        <v>2095528844</v>
      </c>
      <c r="O3103">
        <v>1822797558</v>
      </c>
      <c r="P3103">
        <v>82</v>
      </c>
      <c r="Q3103" t="s">
        <v>6546</v>
      </c>
    </row>
    <row r="3104" spans="1:17" x14ac:dyDescent="0.3">
      <c r="A3104" t="s">
        <v>4664</v>
      </c>
      <c r="B3104" t="str">
        <f>"002421"</f>
        <v>002421</v>
      </c>
      <c r="C3104" t="s">
        <v>6547</v>
      </c>
      <c r="D3104" t="s">
        <v>316</v>
      </c>
      <c r="F3104">
        <v>1908637582</v>
      </c>
      <c r="G3104">
        <v>1729986802</v>
      </c>
      <c r="H3104">
        <v>1755121678</v>
      </c>
      <c r="I3104">
        <v>1304406607</v>
      </c>
      <c r="J3104">
        <v>1540385403</v>
      </c>
      <c r="K3104">
        <v>1369805431</v>
      </c>
      <c r="L3104">
        <v>849154190</v>
      </c>
      <c r="M3104">
        <v>754575530</v>
      </c>
      <c r="N3104">
        <v>664589908</v>
      </c>
      <c r="O3104">
        <v>393996117</v>
      </c>
      <c r="P3104">
        <v>199</v>
      </c>
      <c r="Q3104" t="s">
        <v>6548</v>
      </c>
    </row>
    <row r="3105" spans="1:17" x14ac:dyDescent="0.3">
      <c r="A3105" t="s">
        <v>4664</v>
      </c>
      <c r="B3105" t="str">
        <f>"002422"</f>
        <v>002422</v>
      </c>
      <c r="C3105" t="s">
        <v>6549</v>
      </c>
      <c r="D3105" t="s">
        <v>143</v>
      </c>
      <c r="F3105">
        <v>15535514126</v>
      </c>
      <c r="G3105">
        <v>13703276091</v>
      </c>
      <c r="H3105">
        <v>14861740789</v>
      </c>
      <c r="I3105">
        <v>13939102471</v>
      </c>
      <c r="J3105">
        <v>8192771057</v>
      </c>
      <c r="K3105">
        <v>6819736946</v>
      </c>
      <c r="L3105">
        <v>6633711924</v>
      </c>
      <c r="M3105">
        <v>6590141128</v>
      </c>
      <c r="N3105">
        <v>5267389775</v>
      </c>
      <c r="O3105">
        <v>4818904579</v>
      </c>
      <c r="P3105">
        <v>927</v>
      </c>
      <c r="Q3105" t="s">
        <v>6550</v>
      </c>
    </row>
    <row r="3106" spans="1:17" x14ac:dyDescent="0.3">
      <c r="A3106" t="s">
        <v>4664</v>
      </c>
      <c r="B3106" t="str">
        <f>"002423"</f>
        <v>002423</v>
      </c>
      <c r="C3106" t="s">
        <v>6551</v>
      </c>
      <c r="D3106" t="s">
        <v>140</v>
      </c>
      <c r="F3106">
        <v>8556725152</v>
      </c>
      <c r="G3106">
        <v>0</v>
      </c>
      <c r="H3106">
        <v>234376071</v>
      </c>
      <c r="I3106">
        <v>1028484228</v>
      </c>
      <c r="J3106">
        <v>875909457</v>
      </c>
      <c r="K3106">
        <v>1064976141</v>
      </c>
      <c r="L3106">
        <v>1060706525</v>
      </c>
      <c r="M3106">
        <v>1129394216</v>
      </c>
      <c r="N3106">
        <v>1095240357</v>
      </c>
      <c r="O3106">
        <v>1299036476</v>
      </c>
      <c r="P3106">
        <v>145</v>
      </c>
      <c r="Q3106" t="s">
        <v>6552</v>
      </c>
    </row>
    <row r="3107" spans="1:17" x14ac:dyDescent="0.3">
      <c r="A3107" t="s">
        <v>4664</v>
      </c>
      <c r="B3107" t="str">
        <f>"002424"</f>
        <v>002424</v>
      </c>
      <c r="C3107" t="s">
        <v>6553</v>
      </c>
      <c r="D3107" t="s">
        <v>188</v>
      </c>
      <c r="F3107">
        <v>2114231657</v>
      </c>
      <c r="G3107">
        <v>2360032721</v>
      </c>
      <c r="H3107">
        <v>2103207606</v>
      </c>
      <c r="I3107">
        <v>1530107050</v>
      </c>
      <c r="J3107">
        <v>1242131580</v>
      </c>
      <c r="K3107">
        <v>1248688787</v>
      </c>
      <c r="L3107">
        <v>1171760787</v>
      </c>
      <c r="M3107">
        <v>1158326702</v>
      </c>
      <c r="N3107">
        <v>915555700</v>
      </c>
      <c r="O3107">
        <v>735621104</v>
      </c>
      <c r="P3107">
        <v>472</v>
      </c>
      <c r="Q3107" t="s">
        <v>6554</v>
      </c>
    </row>
    <row r="3108" spans="1:17" x14ac:dyDescent="0.3">
      <c r="A3108" t="s">
        <v>4664</v>
      </c>
      <c r="B3108" t="str">
        <f>"002425"</f>
        <v>002425</v>
      </c>
      <c r="C3108" t="s">
        <v>6555</v>
      </c>
      <c r="D3108" t="s">
        <v>517</v>
      </c>
      <c r="F3108">
        <v>650113314</v>
      </c>
      <c r="G3108">
        <v>420139016</v>
      </c>
      <c r="H3108">
        <v>485346693</v>
      </c>
      <c r="I3108">
        <v>500658965</v>
      </c>
      <c r="J3108">
        <v>315964906</v>
      </c>
      <c r="K3108">
        <v>403371713</v>
      </c>
      <c r="L3108">
        <v>380357312</v>
      </c>
      <c r="M3108">
        <v>337041700</v>
      </c>
      <c r="N3108">
        <v>412346649</v>
      </c>
      <c r="O3108">
        <v>361667162</v>
      </c>
      <c r="P3108">
        <v>257</v>
      </c>
      <c r="Q3108" t="s">
        <v>6556</v>
      </c>
    </row>
    <row r="3109" spans="1:17" x14ac:dyDescent="0.3">
      <c r="A3109" t="s">
        <v>4664</v>
      </c>
      <c r="B3109" t="str">
        <f>"002426"</f>
        <v>002426</v>
      </c>
      <c r="C3109" t="s">
        <v>6557</v>
      </c>
      <c r="D3109" t="s">
        <v>274</v>
      </c>
      <c r="F3109">
        <v>4201672040</v>
      </c>
      <c r="G3109">
        <v>8171549670</v>
      </c>
      <c r="H3109">
        <v>12322537965</v>
      </c>
      <c r="I3109">
        <v>13708886086</v>
      </c>
      <c r="J3109">
        <v>12592393051</v>
      </c>
      <c r="K3109">
        <v>10964285526</v>
      </c>
      <c r="L3109">
        <v>3255188501</v>
      </c>
      <c r="M3109">
        <v>1966361287</v>
      </c>
      <c r="N3109">
        <v>1678897420</v>
      </c>
      <c r="O3109">
        <v>1514390368</v>
      </c>
      <c r="P3109">
        <v>207</v>
      </c>
      <c r="Q3109" t="s">
        <v>6558</v>
      </c>
    </row>
    <row r="3110" spans="1:17" x14ac:dyDescent="0.3">
      <c r="A3110" t="s">
        <v>4664</v>
      </c>
      <c r="B3110" t="str">
        <f>"002427"</f>
        <v>002427</v>
      </c>
      <c r="C3110" t="s">
        <v>6559</v>
      </c>
      <c r="D3110" t="s">
        <v>2708</v>
      </c>
      <c r="F3110">
        <v>1633173655</v>
      </c>
      <c r="G3110">
        <v>1659782063</v>
      </c>
      <c r="H3110">
        <v>1822772260</v>
      </c>
      <c r="I3110">
        <v>1732752805</v>
      </c>
      <c r="J3110">
        <v>2286204007</v>
      </c>
      <c r="K3110">
        <v>1409526536</v>
      </c>
      <c r="L3110">
        <v>1287770180</v>
      </c>
      <c r="M3110">
        <v>1587542233</v>
      </c>
      <c r="N3110">
        <v>797755457</v>
      </c>
      <c r="O3110">
        <v>634394620</v>
      </c>
      <c r="P3110">
        <v>82</v>
      </c>
      <c r="Q3110" t="s">
        <v>6560</v>
      </c>
    </row>
    <row r="3111" spans="1:17" x14ac:dyDescent="0.3">
      <c r="A3111" t="s">
        <v>4664</v>
      </c>
      <c r="B3111" t="str">
        <f>"002428"</f>
        <v>002428</v>
      </c>
      <c r="C3111" t="s">
        <v>6561</v>
      </c>
      <c r="D3111" t="s">
        <v>636</v>
      </c>
      <c r="F3111">
        <v>398964996</v>
      </c>
      <c r="G3111">
        <v>535132123</v>
      </c>
      <c r="H3111">
        <v>341276779</v>
      </c>
      <c r="I3111">
        <v>258898427</v>
      </c>
      <c r="J3111">
        <v>299681107</v>
      </c>
      <c r="K3111">
        <v>324184808</v>
      </c>
      <c r="L3111">
        <v>365805221</v>
      </c>
      <c r="M3111">
        <v>499939338</v>
      </c>
      <c r="N3111">
        <v>677690367</v>
      </c>
      <c r="O3111">
        <v>200127266</v>
      </c>
      <c r="P3111">
        <v>186</v>
      </c>
      <c r="Q3111" t="s">
        <v>6562</v>
      </c>
    </row>
    <row r="3112" spans="1:17" x14ac:dyDescent="0.3">
      <c r="A3112" t="s">
        <v>4664</v>
      </c>
      <c r="B3112" t="str">
        <f>"002429"</f>
        <v>002429</v>
      </c>
      <c r="C3112" t="s">
        <v>6563</v>
      </c>
      <c r="D3112" t="s">
        <v>137</v>
      </c>
      <c r="F3112">
        <v>16783327048</v>
      </c>
      <c r="G3112">
        <v>10810065194</v>
      </c>
      <c r="H3112">
        <v>9057059825</v>
      </c>
      <c r="I3112">
        <v>7720572724</v>
      </c>
      <c r="J3112">
        <v>6779536925</v>
      </c>
      <c r="K3112">
        <v>5425472250</v>
      </c>
      <c r="L3112">
        <v>4616097648</v>
      </c>
      <c r="M3112">
        <v>5786231332</v>
      </c>
      <c r="N3112">
        <v>4575315511</v>
      </c>
      <c r="O3112">
        <v>4500943404</v>
      </c>
      <c r="P3112">
        <v>454</v>
      </c>
      <c r="Q3112" t="s">
        <v>6564</v>
      </c>
    </row>
    <row r="3113" spans="1:17" x14ac:dyDescent="0.3">
      <c r="A3113" t="s">
        <v>4664</v>
      </c>
      <c r="B3113" t="str">
        <f>"002430"</f>
        <v>002430</v>
      </c>
      <c r="C3113" t="s">
        <v>6565</v>
      </c>
      <c r="D3113" t="s">
        <v>741</v>
      </c>
      <c r="F3113">
        <v>5776029701</v>
      </c>
      <c r="G3113">
        <v>4487677487</v>
      </c>
      <c r="H3113">
        <v>4296504952</v>
      </c>
      <c r="I3113">
        <v>3951145981</v>
      </c>
      <c r="J3113">
        <v>2574633027</v>
      </c>
      <c r="K3113">
        <v>1706253549</v>
      </c>
      <c r="L3113">
        <v>1975728643</v>
      </c>
      <c r="M3113">
        <v>2064694098</v>
      </c>
      <c r="N3113">
        <v>2026614150</v>
      </c>
      <c r="O3113">
        <v>1902464197</v>
      </c>
      <c r="P3113">
        <v>395</v>
      </c>
      <c r="Q3113" t="s">
        <v>6566</v>
      </c>
    </row>
    <row r="3114" spans="1:17" x14ac:dyDescent="0.3">
      <c r="A3114" t="s">
        <v>4664</v>
      </c>
      <c r="B3114" t="str">
        <f>"002431"</f>
        <v>002431</v>
      </c>
      <c r="C3114" t="s">
        <v>6567</v>
      </c>
      <c r="D3114" t="s">
        <v>2408</v>
      </c>
      <c r="F3114">
        <v>2155521161</v>
      </c>
      <c r="G3114">
        <v>2643892749</v>
      </c>
      <c r="H3114">
        <v>2681807395</v>
      </c>
      <c r="I3114">
        <v>4255479318</v>
      </c>
      <c r="J3114">
        <v>3420754156</v>
      </c>
      <c r="K3114">
        <v>2732689103</v>
      </c>
      <c r="L3114">
        <v>2285308591</v>
      </c>
      <c r="M3114">
        <v>2138391611</v>
      </c>
      <c r="N3114">
        <v>1681465741</v>
      </c>
      <c r="O3114">
        <v>1440402670</v>
      </c>
      <c r="P3114">
        <v>124</v>
      </c>
      <c r="Q3114" t="s">
        <v>6568</v>
      </c>
    </row>
    <row r="3115" spans="1:17" x14ac:dyDescent="0.3">
      <c r="A3115" t="s">
        <v>4664</v>
      </c>
      <c r="B3115" t="str">
        <f>"002432"</f>
        <v>002432</v>
      </c>
      <c r="C3115" t="s">
        <v>6569</v>
      </c>
      <c r="D3115" t="s">
        <v>122</v>
      </c>
      <c r="F3115">
        <v>771335857</v>
      </c>
      <c r="G3115">
        <v>1649828817</v>
      </c>
      <c r="H3115">
        <v>508827762</v>
      </c>
      <c r="I3115">
        <v>445114410</v>
      </c>
      <c r="J3115">
        <v>504924707</v>
      </c>
      <c r="K3115">
        <v>370285086</v>
      </c>
      <c r="L3115">
        <v>307102200</v>
      </c>
      <c r="M3115">
        <v>358188887</v>
      </c>
      <c r="N3115">
        <v>313213609</v>
      </c>
      <c r="O3115">
        <v>217530108</v>
      </c>
      <c r="P3115">
        <v>281</v>
      </c>
      <c r="Q3115" t="s">
        <v>6570</v>
      </c>
    </row>
    <row r="3116" spans="1:17" x14ac:dyDescent="0.3">
      <c r="A3116" t="s">
        <v>4664</v>
      </c>
      <c r="B3116" t="str">
        <f>"002433"</f>
        <v>002433</v>
      </c>
      <c r="C3116" t="s">
        <v>6571</v>
      </c>
      <c r="D3116" t="s">
        <v>188</v>
      </c>
      <c r="F3116">
        <v>1743221630</v>
      </c>
      <c r="G3116">
        <v>3035852610</v>
      </c>
      <c r="H3116">
        <v>3206574814</v>
      </c>
      <c r="I3116">
        <v>2597350151</v>
      </c>
      <c r="J3116">
        <v>2611504820</v>
      </c>
      <c r="K3116">
        <v>2438497880</v>
      </c>
      <c r="L3116">
        <v>1833199585</v>
      </c>
      <c r="M3116">
        <v>930265054</v>
      </c>
      <c r="N3116">
        <v>558970014</v>
      </c>
      <c r="O3116">
        <v>354771899</v>
      </c>
      <c r="P3116">
        <v>235</v>
      </c>
      <c r="Q3116" t="s">
        <v>6572</v>
      </c>
    </row>
    <row r="3117" spans="1:17" x14ac:dyDescent="0.3">
      <c r="A3117" t="s">
        <v>4664</v>
      </c>
      <c r="B3117" t="str">
        <f>"002434"</f>
        <v>002434</v>
      </c>
      <c r="C3117" t="s">
        <v>6573</v>
      </c>
      <c r="D3117" t="s">
        <v>348</v>
      </c>
      <c r="F3117">
        <v>3813265959</v>
      </c>
      <c r="G3117">
        <v>3874945611</v>
      </c>
      <c r="H3117">
        <v>3008289820</v>
      </c>
      <c r="I3117">
        <v>3576895878</v>
      </c>
      <c r="J3117">
        <v>3477132446</v>
      </c>
      <c r="K3117">
        <v>2789042322</v>
      </c>
      <c r="L3117">
        <v>1719911859</v>
      </c>
      <c r="M3117">
        <v>1161416474</v>
      </c>
      <c r="N3117">
        <v>1216490591</v>
      </c>
      <c r="O3117">
        <v>1282762970</v>
      </c>
      <c r="P3117">
        <v>238</v>
      </c>
      <c r="Q3117" t="s">
        <v>6574</v>
      </c>
    </row>
    <row r="3118" spans="1:17" x14ac:dyDescent="0.3">
      <c r="A3118" t="s">
        <v>4664</v>
      </c>
      <c r="B3118" t="str">
        <f>"002435"</f>
        <v>002435</v>
      </c>
      <c r="C3118" t="s">
        <v>6575</v>
      </c>
      <c r="D3118" t="s">
        <v>143</v>
      </c>
      <c r="F3118">
        <v>4670966135</v>
      </c>
      <c r="G3118">
        <v>3316875266</v>
      </c>
      <c r="H3118">
        <v>4187038781</v>
      </c>
      <c r="I3118">
        <v>4100484867</v>
      </c>
      <c r="J3118">
        <v>2346872202</v>
      </c>
      <c r="K3118">
        <v>839505041</v>
      </c>
      <c r="L3118">
        <v>896458698</v>
      </c>
      <c r="M3118">
        <v>1138779922</v>
      </c>
      <c r="N3118">
        <v>1034807154</v>
      </c>
      <c r="O3118">
        <v>844798151</v>
      </c>
      <c r="P3118">
        <v>139</v>
      </c>
      <c r="Q3118" t="s">
        <v>6576</v>
      </c>
    </row>
    <row r="3119" spans="1:17" x14ac:dyDescent="0.3">
      <c r="A3119" t="s">
        <v>4664</v>
      </c>
      <c r="B3119" t="str">
        <f>"002436"</f>
        <v>002436</v>
      </c>
      <c r="C3119" t="s">
        <v>6577</v>
      </c>
      <c r="D3119" t="s">
        <v>425</v>
      </c>
      <c r="F3119">
        <v>3284186916</v>
      </c>
      <c r="G3119">
        <v>2903157745</v>
      </c>
      <c r="H3119">
        <v>2778599015</v>
      </c>
      <c r="I3119">
        <v>2757120510</v>
      </c>
      <c r="J3119">
        <v>2408879977</v>
      </c>
      <c r="K3119">
        <v>1762241411</v>
      </c>
      <c r="L3119">
        <v>1250186622</v>
      </c>
      <c r="M3119">
        <v>918966811</v>
      </c>
      <c r="N3119">
        <v>750251660</v>
      </c>
      <c r="O3119">
        <v>608656347</v>
      </c>
      <c r="P3119">
        <v>563</v>
      </c>
      <c r="Q3119" t="s">
        <v>6578</v>
      </c>
    </row>
    <row r="3120" spans="1:17" x14ac:dyDescent="0.3">
      <c r="A3120" t="s">
        <v>4664</v>
      </c>
      <c r="B3120" t="str">
        <f>"002437"</f>
        <v>002437</v>
      </c>
      <c r="C3120" t="s">
        <v>6579</v>
      </c>
      <c r="D3120" t="s">
        <v>143</v>
      </c>
      <c r="F3120">
        <v>2635190302</v>
      </c>
      <c r="G3120">
        <v>2502838922</v>
      </c>
      <c r="H3120">
        <v>4458612884</v>
      </c>
      <c r="I3120">
        <v>4086159231</v>
      </c>
      <c r="J3120">
        <v>2109619466</v>
      </c>
      <c r="K3120">
        <v>2281254352</v>
      </c>
      <c r="L3120">
        <v>2209199302</v>
      </c>
      <c r="M3120">
        <v>1704878984</v>
      </c>
      <c r="N3120">
        <v>1074506466</v>
      </c>
      <c r="O3120">
        <v>642003520</v>
      </c>
      <c r="P3120">
        <v>189</v>
      </c>
      <c r="Q3120" t="s">
        <v>6580</v>
      </c>
    </row>
    <row r="3121" spans="1:17" x14ac:dyDescent="0.3">
      <c r="A3121" t="s">
        <v>4664</v>
      </c>
      <c r="B3121" t="str">
        <f>"002438"</f>
        <v>002438</v>
      </c>
      <c r="C3121" t="s">
        <v>6581</v>
      </c>
      <c r="D3121" t="s">
        <v>274</v>
      </c>
      <c r="F3121">
        <v>1431019580</v>
      </c>
      <c r="G3121">
        <v>1023882281</v>
      </c>
      <c r="H3121">
        <v>1023613290</v>
      </c>
      <c r="I3121">
        <v>895075345</v>
      </c>
      <c r="J3121">
        <v>668023612</v>
      </c>
      <c r="K3121">
        <v>488530849</v>
      </c>
      <c r="L3121">
        <v>328488075</v>
      </c>
      <c r="M3121">
        <v>384749192</v>
      </c>
      <c r="N3121">
        <v>337337510</v>
      </c>
      <c r="O3121">
        <v>279352085</v>
      </c>
      <c r="P3121">
        <v>185</v>
      </c>
      <c r="Q3121" t="s">
        <v>6582</v>
      </c>
    </row>
    <row r="3122" spans="1:17" x14ac:dyDescent="0.3">
      <c r="A3122" t="s">
        <v>4664</v>
      </c>
      <c r="B3122" t="str">
        <f>"002439"</f>
        <v>002439</v>
      </c>
      <c r="C3122" t="s">
        <v>6583</v>
      </c>
      <c r="D3122" t="s">
        <v>1189</v>
      </c>
      <c r="F3122">
        <v>2797125375</v>
      </c>
      <c r="G3122">
        <v>1997627505</v>
      </c>
      <c r="H3122">
        <v>1769355346</v>
      </c>
      <c r="I3122">
        <v>1364654348</v>
      </c>
      <c r="J3122">
        <v>1176952022</v>
      </c>
      <c r="K3122">
        <v>941986804</v>
      </c>
      <c r="L3122">
        <v>848877404</v>
      </c>
      <c r="M3122">
        <v>634322147</v>
      </c>
      <c r="N3122">
        <v>529561658</v>
      </c>
      <c r="O3122">
        <v>340211060</v>
      </c>
      <c r="P3122">
        <v>1190</v>
      </c>
      <c r="Q3122" t="s">
        <v>6584</v>
      </c>
    </row>
    <row r="3123" spans="1:17" x14ac:dyDescent="0.3">
      <c r="A3123" t="s">
        <v>4664</v>
      </c>
      <c r="B3123" t="str">
        <f>"002440"</f>
        <v>002440</v>
      </c>
      <c r="C3123" t="s">
        <v>6585</v>
      </c>
      <c r="D3123" t="s">
        <v>779</v>
      </c>
      <c r="F3123">
        <v>3148958880</v>
      </c>
      <c r="G3123">
        <v>2825724230</v>
      </c>
      <c r="H3123">
        <v>2973040007</v>
      </c>
      <c r="I3123">
        <v>2400402459</v>
      </c>
      <c r="J3123">
        <v>1921316519</v>
      </c>
      <c r="K3123">
        <v>1898777355</v>
      </c>
      <c r="L3123">
        <v>1572722608</v>
      </c>
      <c r="M3123">
        <v>1916173218</v>
      </c>
      <c r="N3123">
        <v>1159189516</v>
      </c>
      <c r="O3123">
        <v>1528026075</v>
      </c>
      <c r="P3123">
        <v>537</v>
      </c>
      <c r="Q3123" t="s">
        <v>6586</v>
      </c>
    </row>
    <row r="3124" spans="1:17" x14ac:dyDescent="0.3">
      <c r="A3124" t="s">
        <v>4664</v>
      </c>
      <c r="B3124" t="str">
        <f>"002441"</f>
        <v>002441</v>
      </c>
      <c r="C3124" t="s">
        <v>6587</v>
      </c>
      <c r="D3124" t="s">
        <v>657</v>
      </c>
      <c r="F3124">
        <v>7236909134</v>
      </c>
      <c r="G3124">
        <v>6077264261</v>
      </c>
      <c r="H3124">
        <v>6182506630</v>
      </c>
      <c r="I3124">
        <v>5399063502</v>
      </c>
      <c r="J3124">
        <v>4912595047</v>
      </c>
      <c r="K3124">
        <v>4373013386</v>
      </c>
      <c r="L3124">
        <v>4434504899</v>
      </c>
      <c r="M3124">
        <v>4794159697</v>
      </c>
      <c r="N3124">
        <v>4149637083</v>
      </c>
      <c r="O3124">
        <v>3691295111</v>
      </c>
      <c r="P3124">
        <v>134</v>
      </c>
      <c r="Q3124" t="s">
        <v>6588</v>
      </c>
    </row>
    <row r="3125" spans="1:17" x14ac:dyDescent="0.3">
      <c r="A3125" t="s">
        <v>4664</v>
      </c>
      <c r="B3125" t="str">
        <f>"002442"</f>
        <v>002442</v>
      </c>
      <c r="C3125" t="s">
        <v>6589</v>
      </c>
      <c r="D3125" t="s">
        <v>3619</v>
      </c>
      <c r="F3125">
        <v>1459733057</v>
      </c>
      <c r="G3125">
        <v>1797281256</v>
      </c>
      <c r="H3125">
        <v>2553501468</v>
      </c>
      <c r="I3125">
        <v>2828309646</v>
      </c>
      <c r="J3125">
        <v>2151138444</v>
      </c>
      <c r="K3125">
        <v>1508496647</v>
      </c>
      <c r="L3125">
        <v>1311631640</v>
      </c>
      <c r="M3125">
        <v>2028104084</v>
      </c>
      <c r="N3125">
        <v>1907709140</v>
      </c>
      <c r="O3125">
        <v>1618459868</v>
      </c>
      <c r="P3125">
        <v>105</v>
      </c>
      <c r="Q3125" t="s">
        <v>6590</v>
      </c>
    </row>
    <row r="3126" spans="1:17" x14ac:dyDescent="0.3">
      <c r="A3126" t="s">
        <v>4664</v>
      </c>
      <c r="B3126" t="str">
        <f>"002443"</f>
        <v>002443</v>
      </c>
      <c r="C3126" t="s">
        <v>6591</v>
      </c>
      <c r="D3126" t="s">
        <v>281</v>
      </c>
      <c r="F3126">
        <v>5377105315</v>
      </c>
      <c r="G3126">
        <v>3594291786</v>
      </c>
      <c r="H3126">
        <v>3503831060</v>
      </c>
      <c r="I3126">
        <v>3262444293</v>
      </c>
      <c r="J3126">
        <v>2791131481</v>
      </c>
      <c r="K3126">
        <v>1919132513</v>
      </c>
      <c r="L3126">
        <v>2071058584</v>
      </c>
      <c r="M3126">
        <v>2152942901</v>
      </c>
      <c r="N3126">
        <v>2801166353</v>
      </c>
      <c r="O3126">
        <v>2780824787</v>
      </c>
      <c r="P3126">
        <v>257</v>
      </c>
      <c r="Q3126" t="s">
        <v>6592</v>
      </c>
    </row>
    <row r="3127" spans="1:17" x14ac:dyDescent="0.3">
      <c r="A3127" t="s">
        <v>4664</v>
      </c>
      <c r="B3127" t="str">
        <f>"002444"</f>
        <v>002444</v>
      </c>
      <c r="C3127" t="s">
        <v>6593</v>
      </c>
      <c r="D3127" t="s">
        <v>560</v>
      </c>
      <c r="F3127">
        <v>6982810321</v>
      </c>
      <c r="G3127">
        <v>5211575478</v>
      </c>
      <c r="H3127">
        <v>4879850394</v>
      </c>
      <c r="I3127">
        <v>4010713489</v>
      </c>
      <c r="J3127">
        <v>2771662519</v>
      </c>
      <c r="K3127">
        <v>2397799710</v>
      </c>
      <c r="L3127">
        <v>2201599132</v>
      </c>
      <c r="M3127">
        <v>1999476495</v>
      </c>
      <c r="N3127">
        <v>1621834612</v>
      </c>
      <c r="O3127">
        <v>1582576690</v>
      </c>
      <c r="P3127">
        <v>656</v>
      </c>
      <c r="Q3127" t="s">
        <v>6594</v>
      </c>
    </row>
    <row r="3128" spans="1:17" x14ac:dyDescent="0.3">
      <c r="A3128" t="s">
        <v>4664</v>
      </c>
      <c r="B3128" t="str">
        <f>"002445"</f>
        <v>002445</v>
      </c>
      <c r="C3128" t="s">
        <v>6595</v>
      </c>
      <c r="D3128" t="s">
        <v>517</v>
      </c>
      <c r="F3128">
        <v>258099804</v>
      </c>
      <c r="G3128">
        <v>286010970</v>
      </c>
      <c r="H3128">
        <v>539243872</v>
      </c>
      <c r="I3128">
        <v>1177590468</v>
      </c>
      <c r="J3128">
        <v>1076795083</v>
      </c>
      <c r="K3128">
        <v>769158125</v>
      </c>
      <c r="L3128">
        <v>1058917004</v>
      </c>
      <c r="M3128">
        <v>652807492</v>
      </c>
      <c r="N3128">
        <v>1239585870</v>
      </c>
      <c r="O3128">
        <v>522682145</v>
      </c>
      <c r="P3128">
        <v>110</v>
      </c>
      <c r="Q3128" t="s">
        <v>6596</v>
      </c>
    </row>
    <row r="3129" spans="1:17" x14ac:dyDescent="0.3">
      <c r="A3129" t="s">
        <v>4664</v>
      </c>
      <c r="B3129" t="str">
        <f>"002446"</f>
        <v>002446</v>
      </c>
      <c r="C3129" t="s">
        <v>6597</v>
      </c>
      <c r="D3129" t="s">
        <v>1136</v>
      </c>
      <c r="F3129">
        <v>634999078</v>
      </c>
      <c r="G3129">
        <v>922025693</v>
      </c>
      <c r="H3129">
        <v>1151430570</v>
      </c>
      <c r="I3129">
        <v>896254215</v>
      </c>
      <c r="J3129">
        <v>775666587</v>
      </c>
      <c r="K3129">
        <v>848947625</v>
      </c>
      <c r="L3129">
        <v>586204873</v>
      </c>
      <c r="M3129">
        <v>325156853</v>
      </c>
      <c r="N3129">
        <v>264064460</v>
      </c>
      <c r="O3129">
        <v>226373528</v>
      </c>
      <c r="P3129">
        <v>371</v>
      </c>
      <c r="Q3129" t="s">
        <v>6598</v>
      </c>
    </row>
    <row r="3130" spans="1:17" x14ac:dyDescent="0.3">
      <c r="A3130" t="s">
        <v>4664</v>
      </c>
      <c r="B3130" t="str">
        <f>"002447"</f>
        <v>002447</v>
      </c>
      <c r="C3130" t="s">
        <v>6599</v>
      </c>
      <c r="D3130" t="s">
        <v>517</v>
      </c>
      <c r="F3130">
        <v>91576242</v>
      </c>
      <c r="G3130">
        <v>66733965</v>
      </c>
      <c r="H3130">
        <v>26817008</v>
      </c>
      <c r="I3130">
        <v>227696640</v>
      </c>
      <c r="J3130">
        <v>208458336</v>
      </c>
      <c r="K3130">
        <v>176723623</v>
      </c>
      <c r="L3130">
        <v>193490533</v>
      </c>
      <c r="M3130">
        <v>301474469</v>
      </c>
      <c r="N3130">
        <v>198207290</v>
      </c>
      <c r="O3130">
        <v>191209201</v>
      </c>
      <c r="P3130">
        <v>92</v>
      </c>
      <c r="Q3130" t="s">
        <v>6600</v>
      </c>
    </row>
    <row r="3131" spans="1:17" x14ac:dyDescent="0.3">
      <c r="A3131" t="s">
        <v>4664</v>
      </c>
      <c r="B3131" t="str">
        <f>"002448"</f>
        <v>002448</v>
      </c>
      <c r="C3131" t="s">
        <v>6601</v>
      </c>
      <c r="D3131" t="s">
        <v>348</v>
      </c>
      <c r="F3131">
        <v>1413980817</v>
      </c>
      <c r="G3131">
        <v>857648625</v>
      </c>
      <c r="H3131">
        <v>898113270</v>
      </c>
      <c r="I3131">
        <v>958582210</v>
      </c>
      <c r="J3131">
        <v>861102014</v>
      </c>
      <c r="K3131">
        <v>669890206</v>
      </c>
      <c r="L3131">
        <v>610471308</v>
      </c>
      <c r="M3131">
        <v>611994217</v>
      </c>
      <c r="N3131">
        <v>645702737</v>
      </c>
      <c r="O3131">
        <v>547148119</v>
      </c>
      <c r="P3131">
        <v>194</v>
      </c>
      <c r="Q3131" t="s">
        <v>6602</v>
      </c>
    </row>
    <row r="3132" spans="1:17" x14ac:dyDescent="0.3">
      <c r="A3132" t="s">
        <v>4664</v>
      </c>
      <c r="B3132" t="str">
        <f>"002449"</f>
        <v>002449</v>
      </c>
      <c r="C3132" t="s">
        <v>6603</v>
      </c>
      <c r="D3132" t="s">
        <v>803</v>
      </c>
      <c r="F3132">
        <v>2986249910</v>
      </c>
      <c r="G3132">
        <v>2988585894</v>
      </c>
      <c r="H3132">
        <v>2798874349</v>
      </c>
      <c r="I3132">
        <v>2911232201</v>
      </c>
      <c r="J3132">
        <v>2429536895</v>
      </c>
      <c r="K3132">
        <v>856648901</v>
      </c>
      <c r="L3132">
        <v>599600125</v>
      </c>
      <c r="M3132">
        <v>532606784</v>
      </c>
      <c r="N3132">
        <v>540354600</v>
      </c>
      <c r="O3132">
        <v>531815581</v>
      </c>
      <c r="P3132">
        <v>392</v>
      </c>
      <c r="Q3132" t="s">
        <v>6604</v>
      </c>
    </row>
    <row r="3133" spans="1:17" x14ac:dyDescent="0.3">
      <c r="A3133" t="s">
        <v>4664</v>
      </c>
      <c r="B3133" t="str">
        <f>"002450"</f>
        <v>002450</v>
      </c>
      <c r="C3133" t="s">
        <v>6605</v>
      </c>
      <c r="G3133">
        <v>510384695</v>
      </c>
      <c r="H3133">
        <v>1359351887</v>
      </c>
      <c r="I3133">
        <v>8802985040</v>
      </c>
      <c r="J3133">
        <v>9436275968</v>
      </c>
      <c r="K3133">
        <v>6753191185</v>
      </c>
      <c r="L3133">
        <v>4560658693</v>
      </c>
      <c r="M3133">
        <v>3416314816</v>
      </c>
      <c r="N3133">
        <v>2711071857</v>
      </c>
      <c r="O3133">
        <v>1579980786</v>
      </c>
      <c r="P3133">
        <v>1520</v>
      </c>
      <c r="Q3133" t="s">
        <v>6606</v>
      </c>
    </row>
    <row r="3134" spans="1:17" x14ac:dyDescent="0.3">
      <c r="A3134" t="s">
        <v>4664</v>
      </c>
      <c r="B3134" t="str">
        <f>"002451"</f>
        <v>002451</v>
      </c>
      <c r="C3134" t="s">
        <v>6607</v>
      </c>
      <c r="D3134" t="s">
        <v>1164</v>
      </c>
      <c r="F3134">
        <v>633834479</v>
      </c>
      <c r="G3134">
        <v>339290169</v>
      </c>
      <c r="H3134">
        <v>388652536</v>
      </c>
      <c r="I3134">
        <v>669012306</v>
      </c>
      <c r="J3134">
        <v>569687472</v>
      </c>
      <c r="K3134">
        <v>525451737</v>
      </c>
      <c r="L3134">
        <v>419630301</v>
      </c>
      <c r="M3134">
        <v>349108812</v>
      </c>
      <c r="N3134">
        <v>267163099</v>
      </c>
      <c r="O3134">
        <v>323407474</v>
      </c>
      <c r="P3134">
        <v>105</v>
      </c>
      <c r="Q3134" t="s">
        <v>6608</v>
      </c>
    </row>
    <row r="3135" spans="1:17" x14ac:dyDescent="0.3">
      <c r="A3135" t="s">
        <v>4664</v>
      </c>
      <c r="B3135" t="str">
        <f>"002452"</f>
        <v>002452</v>
      </c>
      <c r="C3135" t="s">
        <v>6609</v>
      </c>
      <c r="D3135" t="s">
        <v>210</v>
      </c>
      <c r="F3135">
        <v>1095731607</v>
      </c>
      <c r="G3135">
        <v>950004895</v>
      </c>
      <c r="H3135">
        <v>683188556</v>
      </c>
      <c r="I3135">
        <v>609115269</v>
      </c>
      <c r="J3135">
        <v>1003879013</v>
      </c>
      <c r="K3135">
        <v>620980255</v>
      </c>
      <c r="L3135">
        <v>324623154</v>
      </c>
      <c r="M3135">
        <v>349131315</v>
      </c>
      <c r="N3135">
        <v>368331151</v>
      </c>
      <c r="O3135">
        <v>242632121</v>
      </c>
      <c r="P3135">
        <v>173</v>
      </c>
      <c r="Q3135" t="s">
        <v>6610</v>
      </c>
    </row>
    <row r="3136" spans="1:17" x14ac:dyDescent="0.3">
      <c r="A3136" t="s">
        <v>4664</v>
      </c>
      <c r="B3136" t="str">
        <f>"002453"</f>
        <v>002453</v>
      </c>
      <c r="C3136" t="s">
        <v>6611</v>
      </c>
      <c r="D3136" t="s">
        <v>386</v>
      </c>
      <c r="F3136">
        <v>2803774574</v>
      </c>
      <c r="G3136">
        <v>2143069956</v>
      </c>
      <c r="H3136">
        <v>2009164817</v>
      </c>
      <c r="I3136">
        <v>1307850175</v>
      </c>
      <c r="J3136">
        <v>1017107811</v>
      </c>
      <c r="K3136">
        <v>477915175</v>
      </c>
      <c r="L3136">
        <v>457763806</v>
      </c>
      <c r="M3136">
        <v>406273212</v>
      </c>
      <c r="N3136">
        <v>495041900</v>
      </c>
      <c r="O3136">
        <v>462849823</v>
      </c>
      <c r="P3136">
        <v>125</v>
      </c>
      <c r="Q3136" t="s">
        <v>6612</v>
      </c>
    </row>
    <row r="3137" spans="1:17" x14ac:dyDescent="0.3">
      <c r="A3137" t="s">
        <v>4664</v>
      </c>
      <c r="B3137" t="str">
        <f>"002454"</f>
        <v>002454</v>
      </c>
      <c r="C3137" t="s">
        <v>6613</v>
      </c>
      <c r="D3137" t="s">
        <v>1415</v>
      </c>
      <c r="F3137">
        <v>2870626159</v>
      </c>
      <c r="G3137">
        <v>1778531248</v>
      </c>
      <c r="H3137">
        <v>1870853435</v>
      </c>
      <c r="I3137">
        <v>2475583388</v>
      </c>
      <c r="J3137">
        <v>1946284443</v>
      </c>
      <c r="K3137">
        <v>1614567869</v>
      </c>
      <c r="L3137">
        <v>1503720290</v>
      </c>
      <c r="M3137">
        <v>1694482606</v>
      </c>
      <c r="N3137">
        <v>1252827524</v>
      </c>
      <c r="O3137">
        <v>934043918</v>
      </c>
      <c r="P3137">
        <v>191</v>
      </c>
      <c r="Q3137" t="s">
        <v>6614</v>
      </c>
    </row>
    <row r="3138" spans="1:17" x14ac:dyDescent="0.3">
      <c r="A3138" t="s">
        <v>4664</v>
      </c>
      <c r="B3138" t="str">
        <f>"002455"</f>
        <v>002455</v>
      </c>
      <c r="C3138" t="s">
        <v>6615</v>
      </c>
      <c r="D3138" t="s">
        <v>386</v>
      </c>
      <c r="F3138">
        <v>2500564848</v>
      </c>
      <c r="G3138">
        <v>1356820217</v>
      </c>
      <c r="H3138">
        <v>1405061134</v>
      </c>
      <c r="I3138">
        <v>1539866134</v>
      </c>
      <c r="J3138">
        <v>1858842642</v>
      </c>
      <c r="K3138">
        <v>1673602768</v>
      </c>
      <c r="L3138">
        <v>2018210215</v>
      </c>
      <c r="M3138">
        <v>2327319612</v>
      </c>
      <c r="N3138">
        <v>2058815118</v>
      </c>
      <c r="O3138">
        <v>1469684677</v>
      </c>
      <c r="P3138">
        <v>209</v>
      </c>
      <c r="Q3138" t="s">
        <v>6616</v>
      </c>
    </row>
    <row r="3139" spans="1:17" x14ac:dyDescent="0.3">
      <c r="A3139" t="s">
        <v>4664</v>
      </c>
      <c r="B3139" t="str">
        <f>"002456"</f>
        <v>002456</v>
      </c>
      <c r="C3139" t="s">
        <v>6617</v>
      </c>
      <c r="D3139" t="s">
        <v>164</v>
      </c>
      <c r="F3139">
        <v>22121500251</v>
      </c>
      <c r="G3139">
        <v>36620650180</v>
      </c>
      <c r="H3139">
        <v>34525589766</v>
      </c>
      <c r="I3139">
        <v>28641248708</v>
      </c>
      <c r="J3139">
        <v>23196660068</v>
      </c>
      <c r="K3139">
        <v>19348178771</v>
      </c>
      <c r="L3139">
        <v>13881458269</v>
      </c>
      <c r="M3139">
        <v>13641252419</v>
      </c>
      <c r="N3139">
        <v>5341558886</v>
      </c>
      <c r="O3139">
        <v>1873515043</v>
      </c>
      <c r="P3139">
        <v>1607</v>
      </c>
      <c r="Q3139" t="s">
        <v>6618</v>
      </c>
    </row>
    <row r="3140" spans="1:17" x14ac:dyDescent="0.3">
      <c r="A3140" t="s">
        <v>4664</v>
      </c>
      <c r="B3140" t="str">
        <f>"002457"</f>
        <v>002457</v>
      </c>
      <c r="C3140" t="s">
        <v>6619</v>
      </c>
      <c r="D3140" t="s">
        <v>3320</v>
      </c>
      <c r="F3140">
        <v>1248188104</v>
      </c>
      <c r="G3140">
        <v>1102111205</v>
      </c>
      <c r="H3140">
        <v>1100097077</v>
      </c>
      <c r="I3140">
        <v>709994651</v>
      </c>
      <c r="J3140">
        <v>698430134</v>
      </c>
      <c r="K3140">
        <v>833834583</v>
      </c>
      <c r="L3140">
        <v>619603605</v>
      </c>
      <c r="M3140">
        <v>684432298</v>
      </c>
      <c r="N3140">
        <v>704228001</v>
      </c>
      <c r="O3140">
        <v>757978615</v>
      </c>
      <c r="P3140">
        <v>132</v>
      </c>
      <c r="Q3140" t="s">
        <v>6620</v>
      </c>
    </row>
    <row r="3141" spans="1:17" x14ac:dyDescent="0.3">
      <c r="A3141" t="s">
        <v>4664</v>
      </c>
      <c r="B3141" t="str">
        <f>"002458"</f>
        <v>002458</v>
      </c>
      <c r="C3141" t="s">
        <v>6621</v>
      </c>
      <c r="D3141" t="s">
        <v>6173</v>
      </c>
      <c r="F3141">
        <v>1687439998</v>
      </c>
      <c r="G3141">
        <v>1400192829</v>
      </c>
      <c r="H3141">
        <v>2386601992</v>
      </c>
      <c r="I3141">
        <v>879339203</v>
      </c>
      <c r="J3141">
        <v>461069827</v>
      </c>
      <c r="K3141">
        <v>1245415271</v>
      </c>
      <c r="L3141">
        <v>458301798</v>
      </c>
      <c r="M3141">
        <v>562672306</v>
      </c>
      <c r="N3141">
        <v>377808995</v>
      </c>
      <c r="O3141">
        <v>483323535</v>
      </c>
      <c r="P3141">
        <v>815</v>
      </c>
      <c r="Q3141" t="s">
        <v>6622</v>
      </c>
    </row>
    <row r="3142" spans="1:17" x14ac:dyDescent="0.3">
      <c r="A3142" t="s">
        <v>4664</v>
      </c>
      <c r="B3142" t="str">
        <f>"002459"</f>
        <v>002459</v>
      </c>
      <c r="C3142" t="s">
        <v>6623</v>
      </c>
      <c r="D3142" t="s">
        <v>356</v>
      </c>
      <c r="F3142">
        <v>20325341540</v>
      </c>
      <c r="G3142">
        <v>13997707209</v>
      </c>
      <c r="H3142">
        <v>277429823</v>
      </c>
      <c r="I3142">
        <v>240751088</v>
      </c>
      <c r="J3142">
        <v>216956240</v>
      </c>
      <c r="K3142">
        <v>206870600</v>
      </c>
      <c r="L3142">
        <v>278473804</v>
      </c>
      <c r="M3142">
        <v>408294010</v>
      </c>
      <c r="N3142">
        <v>600083038</v>
      </c>
      <c r="O3142">
        <v>710165450</v>
      </c>
      <c r="P3142">
        <v>1227</v>
      </c>
      <c r="Q3142" t="s">
        <v>6624</v>
      </c>
    </row>
    <row r="3143" spans="1:17" x14ac:dyDescent="0.3">
      <c r="A3143" t="s">
        <v>4664</v>
      </c>
      <c r="B3143" t="str">
        <f>"002460"</f>
        <v>002460</v>
      </c>
      <c r="C3143" t="s">
        <v>6625</v>
      </c>
      <c r="D3143" t="s">
        <v>5300</v>
      </c>
      <c r="F3143">
        <v>7095598511</v>
      </c>
      <c r="G3143">
        <v>3737188756</v>
      </c>
      <c r="H3143">
        <v>4711616990</v>
      </c>
      <c r="I3143">
        <v>2650784933</v>
      </c>
      <c r="J3143">
        <v>3102726846</v>
      </c>
      <c r="K3143">
        <v>2345154362</v>
      </c>
      <c r="L3143">
        <v>1013338666</v>
      </c>
      <c r="M3143">
        <v>702842080</v>
      </c>
      <c r="N3143">
        <v>520241910</v>
      </c>
      <c r="O3143">
        <v>486175970</v>
      </c>
      <c r="P3143">
        <v>2486</v>
      </c>
      <c r="Q3143" t="s">
        <v>6626</v>
      </c>
    </row>
    <row r="3144" spans="1:17" x14ac:dyDescent="0.3">
      <c r="A3144" t="s">
        <v>4664</v>
      </c>
      <c r="B3144" t="str">
        <f>"002461"</f>
        <v>002461</v>
      </c>
      <c r="C3144" t="s">
        <v>6627</v>
      </c>
      <c r="D3144" t="s">
        <v>319</v>
      </c>
      <c r="F3144">
        <v>4330260556</v>
      </c>
      <c r="G3144">
        <v>3953930588</v>
      </c>
      <c r="H3144">
        <v>3995691442</v>
      </c>
      <c r="I3144">
        <v>3871292923</v>
      </c>
      <c r="J3144">
        <v>3542763188</v>
      </c>
      <c r="K3144">
        <v>3304698442</v>
      </c>
      <c r="L3144">
        <v>3363586380</v>
      </c>
      <c r="M3144">
        <v>2884329487</v>
      </c>
      <c r="N3144">
        <v>2222093421</v>
      </c>
      <c r="O3144">
        <v>2256607259</v>
      </c>
      <c r="P3144">
        <v>461</v>
      </c>
      <c r="Q3144" t="s">
        <v>6628</v>
      </c>
    </row>
    <row r="3145" spans="1:17" x14ac:dyDescent="0.3">
      <c r="A3145" t="s">
        <v>4664</v>
      </c>
      <c r="B3145" t="str">
        <f>"002462"</f>
        <v>002462</v>
      </c>
      <c r="C3145" t="s">
        <v>6629</v>
      </c>
      <c r="D3145" t="s">
        <v>125</v>
      </c>
      <c r="F3145">
        <v>21361860431</v>
      </c>
      <c r="G3145">
        <v>17877382937</v>
      </c>
      <c r="H3145">
        <v>17875284028</v>
      </c>
      <c r="I3145">
        <v>14122213442</v>
      </c>
      <c r="J3145">
        <v>11647468728</v>
      </c>
      <c r="K3145">
        <v>8364047502</v>
      </c>
      <c r="L3145">
        <v>5977565067</v>
      </c>
      <c r="M3145">
        <v>3805551841</v>
      </c>
      <c r="N3145">
        <v>2518671702</v>
      </c>
      <c r="O3145">
        <v>1864732806</v>
      </c>
      <c r="P3145">
        <v>258</v>
      </c>
      <c r="Q3145" t="s">
        <v>6630</v>
      </c>
    </row>
    <row r="3146" spans="1:17" x14ac:dyDescent="0.3">
      <c r="A3146" t="s">
        <v>4664</v>
      </c>
      <c r="B3146" t="str">
        <f>"002463"</f>
        <v>002463</v>
      </c>
      <c r="C3146" t="s">
        <v>6631</v>
      </c>
      <c r="D3146" t="s">
        <v>425</v>
      </c>
      <c r="F3146">
        <v>5575874751</v>
      </c>
      <c r="G3146">
        <v>6101342294</v>
      </c>
      <c r="H3146">
        <v>5443399016</v>
      </c>
      <c r="I3146">
        <v>3975070600</v>
      </c>
      <c r="J3146">
        <v>3186462540</v>
      </c>
      <c r="K3146">
        <v>2910137255</v>
      </c>
      <c r="L3146">
        <v>2275677753</v>
      </c>
      <c r="M3146">
        <v>2405126678</v>
      </c>
      <c r="N3146">
        <v>2296285507</v>
      </c>
      <c r="O3146">
        <v>2230740235</v>
      </c>
      <c r="P3146">
        <v>3004</v>
      </c>
      <c r="Q3146" t="s">
        <v>6632</v>
      </c>
    </row>
    <row r="3147" spans="1:17" x14ac:dyDescent="0.3">
      <c r="A3147" t="s">
        <v>4664</v>
      </c>
      <c r="B3147" t="str">
        <f>"002464"</f>
        <v>002464</v>
      </c>
      <c r="C3147" t="s">
        <v>6633</v>
      </c>
      <c r="D3147" t="s">
        <v>517</v>
      </c>
      <c r="F3147">
        <v>178422747</v>
      </c>
      <c r="G3147">
        <v>113094570</v>
      </c>
      <c r="H3147">
        <v>457274633</v>
      </c>
      <c r="I3147">
        <v>520072578</v>
      </c>
      <c r="J3147">
        <v>381606931</v>
      </c>
      <c r="K3147">
        <v>338681101</v>
      </c>
      <c r="L3147">
        <v>312891856</v>
      </c>
      <c r="M3147">
        <v>399365444</v>
      </c>
      <c r="N3147">
        <v>379571060</v>
      </c>
      <c r="O3147">
        <v>297008953</v>
      </c>
      <c r="P3147">
        <v>110</v>
      </c>
      <c r="Q3147" t="s">
        <v>6634</v>
      </c>
    </row>
    <row r="3148" spans="1:17" x14ac:dyDescent="0.3">
      <c r="A3148" t="s">
        <v>4664</v>
      </c>
      <c r="B3148" t="str">
        <f>"002465"</f>
        <v>002465</v>
      </c>
      <c r="C3148" t="s">
        <v>6635</v>
      </c>
      <c r="D3148" t="s">
        <v>1136</v>
      </c>
      <c r="F3148">
        <v>2898924899</v>
      </c>
      <c r="G3148">
        <v>2604202785</v>
      </c>
      <c r="H3148">
        <v>2412170203</v>
      </c>
      <c r="I3148">
        <v>2660018664</v>
      </c>
      <c r="J3148">
        <v>2325243937</v>
      </c>
      <c r="K3148">
        <v>1800250171</v>
      </c>
      <c r="L3148">
        <v>1839339937</v>
      </c>
      <c r="M3148">
        <v>1057891035</v>
      </c>
      <c r="N3148">
        <v>624587296</v>
      </c>
      <c r="O3148">
        <v>486069614</v>
      </c>
      <c r="P3148">
        <v>544</v>
      </c>
      <c r="Q3148" t="s">
        <v>6636</v>
      </c>
    </row>
    <row r="3149" spans="1:17" x14ac:dyDescent="0.3">
      <c r="A3149" t="s">
        <v>4664</v>
      </c>
      <c r="B3149" t="str">
        <f>"002466"</f>
        <v>002466</v>
      </c>
      <c r="C3149" t="s">
        <v>6637</v>
      </c>
      <c r="D3149" t="s">
        <v>5300</v>
      </c>
      <c r="F3149">
        <v>3368085066</v>
      </c>
      <c r="G3149">
        <v>2803991646</v>
      </c>
      <c r="H3149">
        <v>4410659219</v>
      </c>
      <c r="I3149">
        <v>5232480223</v>
      </c>
      <c r="J3149">
        <v>4124510006</v>
      </c>
      <c r="K3149">
        <v>2390965480</v>
      </c>
      <c r="L3149">
        <v>1103034642</v>
      </c>
      <c r="M3149">
        <v>709419129</v>
      </c>
      <c r="N3149">
        <v>209749194</v>
      </c>
      <c r="O3149">
        <v>229892255</v>
      </c>
      <c r="P3149">
        <v>2365</v>
      </c>
      <c r="Q3149" t="s">
        <v>6638</v>
      </c>
    </row>
    <row r="3150" spans="1:17" x14ac:dyDescent="0.3">
      <c r="A3150" t="s">
        <v>4664</v>
      </c>
      <c r="B3150" t="str">
        <f>"002467"</f>
        <v>002467</v>
      </c>
      <c r="C3150" t="s">
        <v>6639</v>
      </c>
      <c r="D3150" t="s">
        <v>5597</v>
      </c>
      <c r="F3150">
        <v>654300035</v>
      </c>
      <c r="G3150">
        <v>787522726</v>
      </c>
      <c r="H3150">
        <v>765083918</v>
      </c>
      <c r="I3150">
        <v>673824473</v>
      </c>
      <c r="J3150">
        <v>658577995</v>
      </c>
      <c r="K3150">
        <v>616277997</v>
      </c>
      <c r="L3150">
        <v>493700833</v>
      </c>
      <c r="M3150">
        <v>527155260</v>
      </c>
      <c r="N3150">
        <v>537053830</v>
      </c>
      <c r="O3150">
        <v>270272478</v>
      </c>
      <c r="P3150">
        <v>200</v>
      </c>
      <c r="Q3150" t="s">
        <v>6640</v>
      </c>
    </row>
    <row r="3151" spans="1:17" x14ac:dyDescent="0.3">
      <c r="A3151" t="s">
        <v>4664</v>
      </c>
      <c r="B3151" t="str">
        <f>"002468"</f>
        <v>002468</v>
      </c>
      <c r="C3151" t="s">
        <v>6641</v>
      </c>
      <c r="D3151" t="s">
        <v>537</v>
      </c>
      <c r="F3151">
        <v>18513254905</v>
      </c>
      <c r="G3151">
        <v>14842603270</v>
      </c>
      <c r="H3151">
        <v>16737247773</v>
      </c>
      <c r="I3151">
        <v>11947841297</v>
      </c>
      <c r="J3151">
        <v>8875410763</v>
      </c>
      <c r="K3151">
        <v>1148298472</v>
      </c>
      <c r="L3151">
        <v>1183889821</v>
      </c>
      <c r="M3151">
        <v>1314137527</v>
      </c>
      <c r="N3151">
        <v>1093561510</v>
      </c>
      <c r="O3151">
        <v>829278852</v>
      </c>
      <c r="P3151">
        <v>638</v>
      </c>
      <c r="Q3151" t="s">
        <v>6642</v>
      </c>
    </row>
    <row r="3152" spans="1:17" x14ac:dyDescent="0.3">
      <c r="A3152" t="s">
        <v>4664</v>
      </c>
      <c r="B3152" t="str">
        <f>"002469"</f>
        <v>002469</v>
      </c>
      <c r="C3152" t="s">
        <v>6643</v>
      </c>
      <c r="D3152" t="s">
        <v>2019</v>
      </c>
      <c r="F3152">
        <v>1859444110</v>
      </c>
      <c r="G3152">
        <v>384024933</v>
      </c>
      <c r="H3152">
        <v>348719966</v>
      </c>
      <c r="I3152">
        <v>471509034</v>
      </c>
      <c r="J3152">
        <v>292020468</v>
      </c>
      <c r="K3152">
        <v>339661726</v>
      </c>
      <c r="L3152">
        <v>476594414</v>
      </c>
      <c r="M3152">
        <v>214542771</v>
      </c>
      <c r="N3152">
        <v>442540337</v>
      </c>
      <c r="O3152">
        <v>247653942</v>
      </c>
      <c r="P3152">
        <v>126</v>
      </c>
      <c r="Q3152" t="s">
        <v>6644</v>
      </c>
    </row>
    <row r="3153" spans="1:17" x14ac:dyDescent="0.3">
      <c r="A3153" t="s">
        <v>4664</v>
      </c>
      <c r="B3153" t="str">
        <f>"002470"</f>
        <v>002470</v>
      </c>
      <c r="C3153" t="s">
        <v>6645</v>
      </c>
      <c r="D3153" t="s">
        <v>5489</v>
      </c>
      <c r="F3153">
        <v>8504374262</v>
      </c>
      <c r="G3153">
        <v>7849897927</v>
      </c>
      <c r="H3153">
        <v>10963998588</v>
      </c>
      <c r="I3153">
        <v>21469153041</v>
      </c>
      <c r="J3153">
        <v>22497207648</v>
      </c>
      <c r="K3153">
        <v>20199846960</v>
      </c>
      <c r="L3153">
        <v>14832951234</v>
      </c>
      <c r="M3153">
        <v>10562437856</v>
      </c>
      <c r="N3153">
        <v>9950379381</v>
      </c>
      <c r="O3153">
        <v>8420571573</v>
      </c>
      <c r="P3153">
        <v>4918</v>
      </c>
      <c r="Q3153" t="s">
        <v>6646</v>
      </c>
    </row>
    <row r="3154" spans="1:17" x14ac:dyDescent="0.3">
      <c r="A3154" t="s">
        <v>4664</v>
      </c>
      <c r="B3154" t="str">
        <f>"002471"</f>
        <v>002471</v>
      </c>
      <c r="C3154" t="s">
        <v>6647</v>
      </c>
      <c r="D3154" t="s">
        <v>1164</v>
      </c>
      <c r="F3154">
        <v>3813575818</v>
      </c>
      <c r="G3154">
        <v>3239747589</v>
      </c>
      <c r="H3154">
        <v>5662751833</v>
      </c>
      <c r="I3154">
        <v>5976293732</v>
      </c>
      <c r="J3154">
        <v>4701395893</v>
      </c>
      <c r="K3154">
        <v>4561683835</v>
      </c>
      <c r="L3154">
        <v>3593008705</v>
      </c>
      <c r="M3154">
        <v>3004848813</v>
      </c>
      <c r="N3154">
        <v>3079775297</v>
      </c>
      <c r="O3154">
        <v>1035472834</v>
      </c>
      <c r="P3154">
        <v>92</v>
      </c>
      <c r="Q3154" t="s">
        <v>6648</v>
      </c>
    </row>
    <row r="3155" spans="1:17" x14ac:dyDescent="0.3">
      <c r="A3155" t="s">
        <v>4664</v>
      </c>
      <c r="B3155" t="str">
        <f>"002472"</f>
        <v>002472</v>
      </c>
      <c r="C3155" t="s">
        <v>6649</v>
      </c>
      <c r="D3155" t="s">
        <v>348</v>
      </c>
      <c r="F3155">
        <v>3058234319</v>
      </c>
      <c r="G3155">
        <v>1923109389</v>
      </c>
      <c r="H3155">
        <v>1992757884</v>
      </c>
      <c r="I3155">
        <v>1773050466</v>
      </c>
      <c r="J3155">
        <v>1701419071</v>
      </c>
      <c r="K3155">
        <v>1254157525</v>
      </c>
      <c r="L3155">
        <v>1043037155</v>
      </c>
      <c r="M3155">
        <v>896279057</v>
      </c>
      <c r="N3155">
        <v>743395177</v>
      </c>
      <c r="O3155">
        <v>693164622</v>
      </c>
      <c r="P3155">
        <v>258</v>
      </c>
      <c r="Q3155" t="s">
        <v>6650</v>
      </c>
    </row>
    <row r="3156" spans="1:17" x14ac:dyDescent="0.3">
      <c r="A3156" t="s">
        <v>4664</v>
      </c>
      <c r="B3156" t="str">
        <f>"002473"</f>
        <v>002473</v>
      </c>
      <c r="C3156" t="s">
        <v>6651</v>
      </c>
      <c r="D3156" t="s">
        <v>5712</v>
      </c>
      <c r="F3156">
        <v>17668628</v>
      </c>
      <c r="G3156">
        <v>7560903</v>
      </c>
      <c r="H3156">
        <v>64879541</v>
      </c>
      <c r="I3156">
        <v>53660203</v>
      </c>
      <c r="J3156">
        <v>69699777</v>
      </c>
      <c r="K3156">
        <v>50269219</v>
      </c>
      <c r="L3156">
        <v>67063146</v>
      </c>
      <c r="M3156">
        <v>123640794</v>
      </c>
      <c r="N3156">
        <v>156746459</v>
      </c>
      <c r="O3156">
        <v>126307798</v>
      </c>
      <c r="P3156">
        <v>61</v>
      </c>
      <c r="Q3156" t="s">
        <v>6652</v>
      </c>
    </row>
    <row r="3157" spans="1:17" x14ac:dyDescent="0.3">
      <c r="A3157" t="s">
        <v>4664</v>
      </c>
      <c r="B3157" t="str">
        <f>"002474"</f>
        <v>002474</v>
      </c>
      <c r="C3157" t="s">
        <v>6653</v>
      </c>
      <c r="D3157" t="s">
        <v>316</v>
      </c>
      <c r="F3157">
        <v>482069886</v>
      </c>
      <c r="G3157">
        <v>439928944</v>
      </c>
      <c r="H3157">
        <v>459709382</v>
      </c>
      <c r="I3157">
        <v>485084693</v>
      </c>
      <c r="J3157">
        <v>415418402</v>
      </c>
      <c r="K3157">
        <v>447146706</v>
      </c>
      <c r="L3157">
        <v>411873718</v>
      </c>
      <c r="M3157">
        <v>449089510</v>
      </c>
      <c r="N3157">
        <v>399670472</v>
      </c>
      <c r="O3157">
        <v>550602013</v>
      </c>
      <c r="P3157">
        <v>180</v>
      </c>
      <c r="Q3157" t="s">
        <v>6654</v>
      </c>
    </row>
    <row r="3158" spans="1:17" x14ac:dyDescent="0.3">
      <c r="A3158" t="s">
        <v>4664</v>
      </c>
      <c r="B3158" t="str">
        <f>"002475"</f>
        <v>002475</v>
      </c>
      <c r="C3158" t="s">
        <v>6655</v>
      </c>
      <c r="D3158" t="s">
        <v>313</v>
      </c>
      <c r="F3158">
        <v>101730554992</v>
      </c>
      <c r="G3158">
        <v>59820024534</v>
      </c>
      <c r="H3158">
        <v>40439975740</v>
      </c>
      <c r="I3158">
        <v>20999117687</v>
      </c>
      <c r="J3158">
        <v>13650956070</v>
      </c>
      <c r="K3158">
        <v>7362515536</v>
      </c>
      <c r="L3158">
        <v>6406396232</v>
      </c>
      <c r="M3158">
        <v>4566483429</v>
      </c>
      <c r="N3158">
        <v>2669890812</v>
      </c>
      <c r="O3158">
        <v>2295549976</v>
      </c>
      <c r="P3158">
        <v>5894</v>
      </c>
      <c r="Q3158" t="s">
        <v>6656</v>
      </c>
    </row>
    <row r="3159" spans="1:17" x14ac:dyDescent="0.3">
      <c r="A3159" t="s">
        <v>4664</v>
      </c>
      <c r="B3159" t="str">
        <f>"002476"</f>
        <v>002476</v>
      </c>
      <c r="C3159" t="s">
        <v>6657</v>
      </c>
      <c r="D3159" t="s">
        <v>1615</v>
      </c>
      <c r="F3159">
        <v>501905154</v>
      </c>
      <c r="G3159">
        <v>303075089</v>
      </c>
      <c r="H3159">
        <v>343081844</v>
      </c>
      <c r="I3159">
        <v>379525239</v>
      </c>
      <c r="J3159">
        <v>340191243</v>
      </c>
      <c r="K3159">
        <v>692725526</v>
      </c>
      <c r="L3159">
        <v>500760270</v>
      </c>
      <c r="M3159">
        <v>309442783</v>
      </c>
      <c r="N3159">
        <v>425210552</v>
      </c>
      <c r="O3159">
        <v>411719624</v>
      </c>
      <c r="P3159">
        <v>85</v>
      </c>
      <c r="Q3159" t="s">
        <v>6658</v>
      </c>
    </row>
    <row r="3160" spans="1:17" x14ac:dyDescent="0.3">
      <c r="A3160" t="s">
        <v>4664</v>
      </c>
      <c r="B3160" t="str">
        <f>"002477"</f>
        <v>002477</v>
      </c>
      <c r="C3160" t="s">
        <v>6659</v>
      </c>
      <c r="I3160">
        <v>3437104058</v>
      </c>
      <c r="J3160">
        <v>3778713132</v>
      </c>
      <c r="K3160">
        <v>4303242324</v>
      </c>
      <c r="L3160">
        <v>2060068763</v>
      </c>
      <c r="M3160">
        <v>1136873622</v>
      </c>
      <c r="N3160">
        <v>1346464637</v>
      </c>
      <c r="O3160">
        <v>1121862249</v>
      </c>
      <c r="P3160">
        <v>126</v>
      </c>
      <c r="Q3160" t="s">
        <v>6660</v>
      </c>
    </row>
    <row r="3161" spans="1:17" x14ac:dyDescent="0.3">
      <c r="A3161" t="s">
        <v>4664</v>
      </c>
      <c r="B3161" t="str">
        <f>"002478"</f>
        <v>002478</v>
      </c>
      <c r="C3161" t="s">
        <v>6661</v>
      </c>
      <c r="D3161" t="s">
        <v>281</v>
      </c>
      <c r="F3161">
        <v>2760721937</v>
      </c>
      <c r="G3161">
        <v>2393397415</v>
      </c>
      <c r="H3161">
        <v>3233162906</v>
      </c>
      <c r="I3161">
        <v>2673324523</v>
      </c>
      <c r="J3161">
        <v>1829557631</v>
      </c>
      <c r="K3161">
        <v>1679806405</v>
      </c>
      <c r="L3161">
        <v>1676068834</v>
      </c>
      <c r="M3161">
        <v>2709053458</v>
      </c>
      <c r="N3161">
        <v>2630151714</v>
      </c>
      <c r="O3161">
        <v>2402117662</v>
      </c>
      <c r="P3161">
        <v>208</v>
      </c>
      <c r="Q3161" t="s">
        <v>6662</v>
      </c>
    </row>
    <row r="3162" spans="1:17" x14ac:dyDescent="0.3">
      <c r="A3162" t="s">
        <v>4664</v>
      </c>
      <c r="B3162" t="str">
        <f>"002479"</f>
        <v>002479</v>
      </c>
      <c r="C3162" t="s">
        <v>6663</v>
      </c>
      <c r="D3162" t="s">
        <v>351</v>
      </c>
      <c r="F3162">
        <v>2784468237</v>
      </c>
      <c r="G3162">
        <v>3198809620</v>
      </c>
      <c r="H3162">
        <v>2136409769</v>
      </c>
      <c r="I3162">
        <v>1490224261</v>
      </c>
      <c r="J3162">
        <v>2899372695</v>
      </c>
      <c r="K3162">
        <v>2258950046</v>
      </c>
      <c r="L3162">
        <v>2479569809</v>
      </c>
      <c r="M3162">
        <v>3060496591</v>
      </c>
      <c r="N3162">
        <v>2618694887</v>
      </c>
      <c r="O3162">
        <v>2356608518</v>
      </c>
      <c r="P3162">
        <v>158</v>
      </c>
      <c r="Q3162" t="s">
        <v>6664</v>
      </c>
    </row>
    <row r="3163" spans="1:17" x14ac:dyDescent="0.3">
      <c r="A3163" t="s">
        <v>4664</v>
      </c>
      <c r="B3163" t="str">
        <f>"002480"</f>
        <v>002480</v>
      </c>
      <c r="C3163" t="s">
        <v>6665</v>
      </c>
      <c r="D3163" t="s">
        <v>274</v>
      </c>
      <c r="F3163">
        <v>1025799230</v>
      </c>
      <c r="G3163">
        <v>1538373373</v>
      </c>
      <c r="H3163">
        <v>1331961513</v>
      </c>
      <c r="I3163">
        <v>787995902</v>
      </c>
      <c r="J3163">
        <v>744664618</v>
      </c>
      <c r="K3163">
        <v>824701534</v>
      </c>
      <c r="L3163">
        <v>707837939</v>
      </c>
      <c r="M3163">
        <v>726130743</v>
      </c>
      <c r="N3163">
        <v>630870473</v>
      </c>
      <c r="O3163">
        <v>708510437</v>
      </c>
      <c r="P3163">
        <v>107</v>
      </c>
      <c r="Q3163" t="s">
        <v>6666</v>
      </c>
    </row>
    <row r="3164" spans="1:17" x14ac:dyDescent="0.3">
      <c r="A3164" t="s">
        <v>4664</v>
      </c>
      <c r="B3164" t="str">
        <f>"002481"</f>
        <v>002481</v>
      </c>
      <c r="C3164" t="s">
        <v>6667</v>
      </c>
      <c r="D3164" t="s">
        <v>445</v>
      </c>
      <c r="F3164">
        <v>1425411311</v>
      </c>
      <c r="G3164">
        <v>1558233019</v>
      </c>
      <c r="H3164">
        <v>1733483608</v>
      </c>
      <c r="I3164">
        <v>1854303560</v>
      </c>
      <c r="J3164">
        <v>1233165702</v>
      </c>
      <c r="K3164">
        <v>1332716797</v>
      </c>
      <c r="L3164">
        <v>975554134</v>
      </c>
      <c r="M3164">
        <v>938918564</v>
      </c>
      <c r="N3164">
        <v>592973123</v>
      </c>
      <c r="O3164">
        <v>485026947</v>
      </c>
      <c r="P3164">
        <v>331</v>
      </c>
      <c r="Q3164" t="s">
        <v>6668</v>
      </c>
    </row>
    <row r="3165" spans="1:17" x14ac:dyDescent="0.3">
      <c r="A3165" t="s">
        <v>4664</v>
      </c>
      <c r="B3165" t="str">
        <f>"002482"</f>
        <v>002482</v>
      </c>
      <c r="C3165" t="s">
        <v>6669</v>
      </c>
      <c r="D3165" t="s">
        <v>450</v>
      </c>
      <c r="F3165">
        <v>8625513896</v>
      </c>
      <c r="G3165">
        <v>7365859961</v>
      </c>
      <c r="H3165">
        <v>6590007787</v>
      </c>
      <c r="I3165">
        <v>8302594244</v>
      </c>
      <c r="J3165">
        <v>9211906438</v>
      </c>
      <c r="K3165">
        <v>4089568483</v>
      </c>
      <c r="L3165">
        <v>3165142098</v>
      </c>
      <c r="M3165">
        <v>3545184964</v>
      </c>
      <c r="N3165">
        <v>3763193325</v>
      </c>
      <c r="O3165">
        <v>2759672502</v>
      </c>
      <c r="P3165">
        <v>112</v>
      </c>
      <c r="Q3165" t="s">
        <v>6670</v>
      </c>
    </row>
    <row r="3166" spans="1:17" x14ac:dyDescent="0.3">
      <c r="A3166" t="s">
        <v>4664</v>
      </c>
      <c r="B3166" t="str">
        <f>"002483"</f>
        <v>002483</v>
      </c>
      <c r="C3166" t="s">
        <v>6671</v>
      </c>
      <c r="D3166" t="s">
        <v>395</v>
      </c>
      <c r="F3166">
        <v>2204116100</v>
      </c>
      <c r="G3166">
        <v>2394043034</v>
      </c>
      <c r="H3166">
        <v>1934368473</v>
      </c>
      <c r="I3166">
        <v>1122085636</v>
      </c>
      <c r="J3166">
        <v>1038574473</v>
      </c>
      <c r="K3166">
        <v>1669445819</v>
      </c>
      <c r="L3166">
        <v>1326281795</v>
      </c>
      <c r="M3166">
        <v>1334489783</v>
      </c>
      <c r="N3166">
        <v>1031996261</v>
      </c>
      <c r="O3166">
        <v>900197223</v>
      </c>
      <c r="P3166">
        <v>93</v>
      </c>
      <c r="Q3166" t="s">
        <v>6672</v>
      </c>
    </row>
    <row r="3167" spans="1:17" x14ac:dyDescent="0.3">
      <c r="A3167" t="s">
        <v>4664</v>
      </c>
      <c r="B3167" t="str">
        <f>"002484"</f>
        <v>002484</v>
      </c>
      <c r="C3167" t="s">
        <v>6673</v>
      </c>
      <c r="D3167" t="s">
        <v>546</v>
      </c>
      <c r="F3167">
        <v>1574123571</v>
      </c>
      <c r="G3167">
        <v>979039776</v>
      </c>
      <c r="H3167">
        <v>825587520</v>
      </c>
      <c r="I3167">
        <v>664797976</v>
      </c>
      <c r="J3167">
        <v>672448594</v>
      </c>
      <c r="K3167">
        <v>730143688</v>
      </c>
      <c r="L3167">
        <v>721590422</v>
      </c>
      <c r="M3167">
        <v>734038336</v>
      </c>
      <c r="N3167">
        <v>818503036</v>
      </c>
      <c r="O3167">
        <v>670502708</v>
      </c>
      <c r="P3167">
        <v>311</v>
      </c>
      <c r="Q3167" t="s">
        <v>6674</v>
      </c>
    </row>
    <row r="3168" spans="1:17" x14ac:dyDescent="0.3">
      <c r="A3168" t="s">
        <v>4664</v>
      </c>
      <c r="B3168" t="str">
        <f>"002485"</f>
        <v>002485</v>
      </c>
      <c r="C3168" t="s">
        <v>6675</v>
      </c>
      <c r="D3168" t="s">
        <v>255</v>
      </c>
      <c r="F3168">
        <v>1641108629</v>
      </c>
      <c r="G3168">
        <v>1313795857</v>
      </c>
      <c r="H3168">
        <v>2563921209</v>
      </c>
      <c r="I3168">
        <v>857361621</v>
      </c>
      <c r="J3168">
        <v>564354422</v>
      </c>
      <c r="K3168">
        <v>587483098</v>
      </c>
      <c r="L3168">
        <v>787347771</v>
      </c>
      <c r="M3168">
        <v>728764411</v>
      </c>
      <c r="N3168">
        <v>805674542</v>
      </c>
      <c r="O3168">
        <v>775136907</v>
      </c>
      <c r="P3168">
        <v>80</v>
      </c>
      <c r="Q3168" t="s">
        <v>6676</v>
      </c>
    </row>
    <row r="3169" spans="1:17" x14ac:dyDescent="0.3">
      <c r="A3169" t="s">
        <v>4664</v>
      </c>
      <c r="B3169" t="str">
        <f>"002486"</f>
        <v>002486</v>
      </c>
      <c r="C3169" t="s">
        <v>6677</v>
      </c>
      <c r="D3169" t="s">
        <v>366</v>
      </c>
      <c r="F3169">
        <v>848935532</v>
      </c>
      <c r="G3169">
        <v>969540673</v>
      </c>
      <c r="H3169">
        <v>667837841</v>
      </c>
      <c r="I3169">
        <v>602607090</v>
      </c>
      <c r="J3169">
        <v>652529830</v>
      </c>
      <c r="K3169">
        <v>543867613</v>
      </c>
      <c r="L3169">
        <v>658098629</v>
      </c>
      <c r="M3169">
        <v>753695618</v>
      </c>
      <c r="N3169">
        <v>723717936</v>
      </c>
      <c r="O3169">
        <v>638970802</v>
      </c>
      <c r="P3169">
        <v>88</v>
      </c>
      <c r="Q3169" t="s">
        <v>6678</v>
      </c>
    </row>
    <row r="3170" spans="1:17" x14ac:dyDescent="0.3">
      <c r="A3170" t="s">
        <v>4664</v>
      </c>
      <c r="B3170" t="str">
        <f>"002487"</f>
        <v>002487</v>
      </c>
      <c r="C3170" t="s">
        <v>6679</v>
      </c>
      <c r="D3170" t="s">
        <v>950</v>
      </c>
      <c r="F3170">
        <v>2943375764</v>
      </c>
      <c r="G3170">
        <v>2012639192</v>
      </c>
      <c r="H3170">
        <v>992778218</v>
      </c>
      <c r="I3170">
        <v>574398053</v>
      </c>
      <c r="J3170">
        <v>590417598</v>
      </c>
      <c r="K3170">
        <v>488203682</v>
      </c>
      <c r="L3170">
        <v>584129962</v>
      </c>
      <c r="M3170">
        <v>285040953</v>
      </c>
      <c r="N3170">
        <v>245024056</v>
      </c>
      <c r="O3170">
        <v>220255094</v>
      </c>
      <c r="P3170">
        <v>248</v>
      </c>
      <c r="Q3170" t="s">
        <v>6680</v>
      </c>
    </row>
    <row r="3171" spans="1:17" x14ac:dyDescent="0.3">
      <c r="A3171" t="s">
        <v>4664</v>
      </c>
      <c r="B3171" t="str">
        <f>"002488"</f>
        <v>002488</v>
      </c>
      <c r="C3171" t="s">
        <v>6681</v>
      </c>
      <c r="D3171" t="s">
        <v>422</v>
      </c>
      <c r="F3171">
        <v>1988138478</v>
      </c>
      <c r="G3171">
        <v>1901954925</v>
      </c>
      <c r="H3171">
        <v>1243602601</v>
      </c>
      <c r="I3171">
        <v>2877779228</v>
      </c>
      <c r="J3171">
        <v>1912142036</v>
      </c>
      <c r="K3171">
        <v>1662998083</v>
      </c>
      <c r="L3171">
        <v>831161119</v>
      </c>
      <c r="M3171">
        <v>647965528</v>
      </c>
      <c r="N3171">
        <v>751533758</v>
      </c>
      <c r="O3171">
        <v>655329406</v>
      </c>
      <c r="P3171">
        <v>152</v>
      </c>
      <c r="Q3171" t="s">
        <v>6682</v>
      </c>
    </row>
    <row r="3172" spans="1:17" x14ac:dyDescent="0.3">
      <c r="A3172" t="s">
        <v>4664</v>
      </c>
      <c r="B3172" t="str">
        <f>"002489"</f>
        <v>002489</v>
      </c>
      <c r="C3172" t="s">
        <v>6683</v>
      </c>
      <c r="D3172" t="s">
        <v>757</v>
      </c>
      <c r="F3172">
        <v>5604008279</v>
      </c>
      <c r="G3172">
        <v>4230015318</v>
      </c>
      <c r="H3172">
        <v>4128429468</v>
      </c>
      <c r="I3172">
        <v>3514684989</v>
      </c>
      <c r="J3172">
        <v>3665374753</v>
      </c>
      <c r="K3172">
        <v>3274123317</v>
      </c>
      <c r="L3172">
        <v>2931013849</v>
      </c>
      <c r="M3172">
        <v>2585919543</v>
      </c>
      <c r="N3172">
        <v>2782628444</v>
      </c>
      <c r="O3172">
        <v>2543325264</v>
      </c>
      <c r="P3172">
        <v>206</v>
      </c>
      <c r="Q3172" t="s">
        <v>6684</v>
      </c>
    </row>
    <row r="3173" spans="1:17" x14ac:dyDescent="0.3">
      <c r="A3173" t="s">
        <v>4664</v>
      </c>
      <c r="B3173" t="str">
        <f>"002490"</f>
        <v>002490</v>
      </c>
      <c r="C3173" t="s">
        <v>6685</v>
      </c>
      <c r="D3173" t="s">
        <v>395</v>
      </c>
      <c r="F3173">
        <v>3005201406</v>
      </c>
      <c r="G3173">
        <v>2401888021</v>
      </c>
      <c r="H3173">
        <v>3432920872</v>
      </c>
      <c r="I3173">
        <v>3603649372</v>
      </c>
      <c r="J3173">
        <v>2141967184</v>
      </c>
      <c r="K3173">
        <v>1010137896</v>
      </c>
      <c r="L3173">
        <v>1302412351</v>
      </c>
      <c r="M3173">
        <v>2073607892</v>
      </c>
      <c r="N3173">
        <v>2086352531</v>
      </c>
      <c r="O3173">
        <v>2689792581</v>
      </c>
      <c r="P3173">
        <v>82</v>
      </c>
      <c r="Q3173" t="s">
        <v>6686</v>
      </c>
    </row>
    <row r="3174" spans="1:17" x14ac:dyDescent="0.3">
      <c r="A3174" t="s">
        <v>4664</v>
      </c>
      <c r="B3174" t="str">
        <f>"002491"</f>
        <v>002491</v>
      </c>
      <c r="C3174" t="s">
        <v>6687</v>
      </c>
      <c r="D3174" t="s">
        <v>250</v>
      </c>
      <c r="F3174">
        <v>2368013363</v>
      </c>
      <c r="G3174">
        <v>2496169852</v>
      </c>
      <c r="H3174">
        <v>3090482214</v>
      </c>
      <c r="I3174">
        <v>3163285767</v>
      </c>
      <c r="J3174">
        <v>3135895398</v>
      </c>
      <c r="K3174">
        <v>3017497965</v>
      </c>
      <c r="L3174">
        <v>2018614496</v>
      </c>
      <c r="M3174">
        <v>2173099997</v>
      </c>
      <c r="N3174">
        <v>1788714386</v>
      </c>
      <c r="O3174">
        <v>1811448941</v>
      </c>
      <c r="P3174">
        <v>214</v>
      </c>
      <c r="Q3174" t="s">
        <v>6688</v>
      </c>
    </row>
    <row r="3175" spans="1:17" x14ac:dyDescent="0.3">
      <c r="A3175" t="s">
        <v>4664</v>
      </c>
      <c r="B3175" t="str">
        <f>"002492"</f>
        <v>002492</v>
      </c>
      <c r="C3175" t="s">
        <v>6689</v>
      </c>
      <c r="D3175" t="s">
        <v>1592</v>
      </c>
      <c r="F3175">
        <v>545204574</v>
      </c>
      <c r="G3175">
        <v>369512526</v>
      </c>
      <c r="H3175">
        <v>271519607</v>
      </c>
      <c r="I3175">
        <v>287098426</v>
      </c>
      <c r="J3175">
        <v>148401884</v>
      </c>
      <c r="K3175">
        <v>184004981</v>
      </c>
      <c r="L3175">
        <v>107859997</v>
      </c>
      <c r="M3175">
        <v>131735841</v>
      </c>
      <c r="N3175">
        <v>135272026</v>
      </c>
      <c r="O3175">
        <v>123329815</v>
      </c>
      <c r="P3175">
        <v>94</v>
      </c>
      <c r="Q3175" t="s">
        <v>6690</v>
      </c>
    </row>
    <row r="3176" spans="1:17" x14ac:dyDescent="0.3">
      <c r="A3176" t="s">
        <v>4664</v>
      </c>
      <c r="B3176" t="str">
        <f>"002493"</f>
        <v>002493</v>
      </c>
      <c r="C3176" t="s">
        <v>6691</v>
      </c>
      <c r="D3176" t="s">
        <v>74</v>
      </c>
      <c r="F3176">
        <v>165828081983</v>
      </c>
      <c r="G3176">
        <v>91531294987</v>
      </c>
      <c r="H3176">
        <v>68666178204</v>
      </c>
      <c r="I3176">
        <v>67045831548</v>
      </c>
      <c r="J3176">
        <v>55805922396</v>
      </c>
      <c r="K3176">
        <v>28268952497</v>
      </c>
      <c r="L3176">
        <v>19569218112</v>
      </c>
      <c r="M3176">
        <v>19888553295</v>
      </c>
      <c r="N3176">
        <v>18569517529</v>
      </c>
      <c r="O3176">
        <v>12768739700</v>
      </c>
      <c r="P3176">
        <v>852</v>
      </c>
      <c r="Q3176" t="s">
        <v>6692</v>
      </c>
    </row>
    <row r="3177" spans="1:17" x14ac:dyDescent="0.3">
      <c r="A3177" t="s">
        <v>4664</v>
      </c>
      <c r="B3177" t="str">
        <f>"002494"</f>
        <v>002494</v>
      </c>
      <c r="C3177" t="s">
        <v>6693</v>
      </c>
      <c r="D3177" t="s">
        <v>255</v>
      </c>
      <c r="F3177">
        <v>228964035</v>
      </c>
      <c r="G3177">
        <v>304697985</v>
      </c>
      <c r="H3177">
        <v>275128767</v>
      </c>
      <c r="I3177">
        <v>364699049</v>
      </c>
      <c r="J3177">
        <v>343238891</v>
      </c>
      <c r="K3177">
        <v>266510740</v>
      </c>
      <c r="L3177">
        <v>343606286</v>
      </c>
      <c r="M3177">
        <v>366767702</v>
      </c>
      <c r="N3177">
        <v>448087005</v>
      </c>
      <c r="O3177">
        <v>389613056</v>
      </c>
      <c r="P3177">
        <v>81</v>
      </c>
      <c r="Q3177" t="s">
        <v>6694</v>
      </c>
    </row>
    <row r="3178" spans="1:17" x14ac:dyDescent="0.3">
      <c r="A3178" t="s">
        <v>4664</v>
      </c>
      <c r="B3178" t="str">
        <f>"002495"</f>
        <v>002495</v>
      </c>
      <c r="C3178" t="s">
        <v>6695</v>
      </c>
      <c r="D3178" t="s">
        <v>433</v>
      </c>
      <c r="F3178">
        <v>194618483</v>
      </c>
      <c r="G3178">
        <v>105613410</v>
      </c>
      <c r="H3178">
        <v>238908728</v>
      </c>
      <c r="I3178">
        <v>271729656</v>
      </c>
      <c r="J3178">
        <v>245489451</v>
      </c>
      <c r="K3178">
        <v>223441284</v>
      </c>
      <c r="L3178">
        <v>291878250</v>
      </c>
      <c r="M3178">
        <v>253467904</v>
      </c>
      <c r="N3178">
        <v>210248409</v>
      </c>
      <c r="O3178">
        <v>244550820</v>
      </c>
      <c r="P3178">
        <v>113</v>
      </c>
      <c r="Q3178" t="s">
        <v>6696</v>
      </c>
    </row>
    <row r="3179" spans="1:17" x14ac:dyDescent="0.3">
      <c r="A3179" t="s">
        <v>4664</v>
      </c>
      <c r="B3179" t="str">
        <f>"002496"</f>
        <v>002496</v>
      </c>
      <c r="C3179" t="s">
        <v>6697</v>
      </c>
      <c r="D3179" t="s">
        <v>853</v>
      </c>
      <c r="F3179">
        <v>886546580</v>
      </c>
      <c r="G3179">
        <v>1042781161</v>
      </c>
      <c r="H3179">
        <v>989901014</v>
      </c>
      <c r="I3179">
        <v>2595165617</v>
      </c>
      <c r="J3179">
        <v>9106109542</v>
      </c>
      <c r="K3179">
        <v>3096945457</v>
      </c>
      <c r="L3179">
        <v>2097295661</v>
      </c>
      <c r="M3179">
        <v>1666766581</v>
      </c>
      <c r="N3179">
        <v>1203811945</v>
      </c>
      <c r="O3179">
        <v>1006391845</v>
      </c>
      <c r="P3179">
        <v>158</v>
      </c>
      <c r="Q3179" t="s">
        <v>6698</v>
      </c>
    </row>
    <row r="3180" spans="1:17" x14ac:dyDescent="0.3">
      <c r="A3180" t="s">
        <v>4664</v>
      </c>
      <c r="B3180" t="str">
        <f>"002497"</f>
        <v>002497</v>
      </c>
      <c r="C3180" t="s">
        <v>6699</v>
      </c>
      <c r="D3180" t="s">
        <v>2713</v>
      </c>
      <c r="F3180">
        <v>2293923654</v>
      </c>
      <c r="G3180">
        <v>1684986351</v>
      </c>
      <c r="H3180">
        <v>1806311467</v>
      </c>
      <c r="I3180">
        <v>1875802040</v>
      </c>
      <c r="J3180">
        <v>1449572480</v>
      </c>
      <c r="K3180">
        <v>982369289</v>
      </c>
      <c r="L3180">
        <v>801438473</v>
      </c>
      <c r="M3180">
        <v>0</v>
      </c>
      <c r="N3180">
        <v>780324209</v>
      </c>
      <c r="O3180">
        <v>707687953</v>
      </c>
      <c r="P3180">
        <v>481</v>
      </c>
      <c r="Q3180" t="s">
        <v>6700</v>
      </c>
    </row>
    <row r="3181" spans="1:17" x14ac:dyDescent="0.3">
      <c r="A3181" t="s">
        <v>4664</v>
      </c>
      <c r="B3181" t="str">
        <f>"002498"</f>
        <v>002498</v>
      </c>
      <c r="C3181" t="s">
        <v>6701</v>
      </c>
      <c r="D3181" t="s">
        <v>1164</v>
      </c>
      <c r="F3181">
        <v>5992760850</v>
      </c>
      <c r="G3181">
        <v>5240747210</v>
      </c>
      <c r="H3181">
        <v>4484468289</v>
      </c>
      <c r="I3181">
        <v>3741042054</v>
      </c>
      <c r="J3181">
        <v>3256642363</v>
      </c>
      <c r="K3181">
        <v>2978112777</v>
      </c>
      <c r="L3181">
        <v>3197557191</v>
      </c>
      <c r="M3181">
        <v>3347010223</v>
      </c>
      <c r="N3181">
        <v>3047505268</v>
      </c>
      <c r="O3181">
        <v>2663037206</v>
      </c>
      <c r="P3181">
        <v>282</v>
      </c>
      <c r="Q3181" t="s">
        <v>6702</v>
      </c>
    </row>
    <row r="3182" spans="1:17" x14ac:dyDescent="0.3">
      <c r="A3182" t="s">
        <v>4664</v>
      </c>
      <c r="B3182" t="str">
        <f>"002499"</f>
        <v>002499</v>
      </c>
      <c r="C3182" t="s">
        <v>6703</v>
      </c>
      <c r="D3182" t="s">
        <v>86</v>
      </c>
      <c r="F3182">
        <v>18015455</v>
      </c>
      <c r="G3182">
        <v>40080018</v>
      </c>
      <c r="H3182">
        <v>28559046</v>
      </c>
      <c r="I3182">
        <v>87626374</v>
      </c>
      <c r="J3182">
        <v>335176258</v>
      </c>
      <c r="K3182">
        <v>229949968</v>
      </c>
      <c r="L3182">
        <v>182543022</v>
      </c>
      <c r="M3182">
        <v>260614207</v>
      </c>
      <c r="N3182">
        <v>311597283</v>
      </c>
      <c r="O3182">
        <v>237200111</v>
      </c>
      <c r="P3182">
        <v>51</v>
      </c>
      <c r="Q3182" t="s">
        <v>6704</v>
      </c>
    </row>
    <row r="3183" spans="1:17" x14ac:dyDescent="0.3">
      <c r="A3183" t="s">
        <v>4664</v>
      </c>
      <c r="B3183" t="str">
        <f>"002500"</f>
        <v>002500</v>
      </c>
      <c r="C3183" t="s">
        <v>6705</v>
      </c>
      <c r="D3183" t="s">
        <v>80</v>
      </c>
      <c r="P3183">
        <v>1129</v>
      </c>
      <c r="Q3183" t="s">
        <v>6706</v>
      </c>
    </row>
    <row r="3184" spans="1:17" x14ac:dyDescent="0.3">
      <c r="A3184" t="s">
        <v>4664</v>
      </c>
      <c r="B3184" t="str">
        <f>"002501"</f>
        <v>002501</v>
      </c>
      <c r="C3184" t="s">
        <v>6707</v>
      </c>
      <c r="D3184" t="s">
        <v>504</v>
      </c>
      <c r="F3184">
        <v>40559838</v>
      </c>
      <c r="G3184">
        <v>45501997</v>
      </c>
      <c r="H3184">
        <v>134259469</v>
      </c>
      <c r="I3184">
        <v>462651220</v>
      </c>
      <c r="J3184">
        <v>2789718572</v>
      </c>
      <c r="K3184">
        <v>2111868928</v>
      </c>
      <c r="L3184">
        <v>2055248172</v>
      </c>
      <c r="M3184">
        <v>1638365683</v>
      </c>
      <c r="N3184">
        <v>1697700033</v>
      </c>
      <c r="O3184">
        <v>1219428884</v>
      </c>
      <c r="P3184">
        <v>107</v>
      </c>
      <c r="Q3184" t="s">
        <v>6708</v>
      </c>
    </row>
    <row r="3185" spans="1:17" x14ac:dyDescent="0.3">
      <c r="A3185" t="s">
        <v>4664</v>
      </c>
      <c r="B3185" t="str">
        <f>"002502"</f>
        <v>002502</v>
      </c>
      <c r="C3185" t="s">
        <v>6709</v>
      </c>
      <c r="D3185" t="s">
        <v>113</v>
      </c>
      <c r="F3185">
        <v>371812557</v>
      </c>
      <c r="G3185">
        <v>598097651</v>
      </c>
      <c r="H3185">
        <v>775110426</v>
      </c>
      <c r="I3185">
        <v>464623264</v>
      </c>
      <c r="J3185">
        <v>345997466</v>
      </c>
      <c r="K3185">
        <v>843601675</v>
      </c>
      <c r="L3185">
        <v>340787694</v>
      </c>
      <c r="M3185">
        <v>341632108</v>
      </c>
      <c r="N3185">
        <v>260585988</v>
      </c>
      <c r="O3185">
        <v>272469576</v>
      </c>
      <c r="P3185">
        <v>117</v>
      </c>
      <c r="Q3185" t="s">
        <v>6710</v>
      </c>
    </row>
    <row r="3186" spans="1:17" x14ac:dyDescent="0.3">
      <c r="A3186" t="s">
        <v>4664</v>
      </c>
      <c r="B3186" t="str">
        <f>"002503"</f>
        <v>002503</v>
      </c>
      <c r="C3186" t="s">
        <v>6711</v>
      </c>
      <c r="D3186" t="s">
        <v>255</v>
      </c>
      <c r="F3186">
        <v>4554901263</v>
      </c>
      <c r="G3186">
        <v>5982882079</v>
      </c>
      <c r="H3186">
        <v>11979106374</v>
      </c>
      <c r="I3186">
        <v>15667659569</v>
      </c>
      <c r="J3186">
        <v>13788792600</v>
      </c>
      <c r="K3186">
        <v>4277822051</v>
      </c>
      <c r="L3186">
        <v>1484119212</v>
      </c>
      <c r="M3186">
        <v>1010867040</v>
      </c>
      <c r="N3186">
        <v>1341760643</v>
      </c>
      <c r="O3186">
        <v>1164911983</v>
      </c>
      <c r="P3186">
        <v>244</v>
      </c>
      <c r="Q3186" t="s">
        <v>6712</v>
      </c>
    </row>
    <row r="3187" spans="1:17" x14ac:dyDescent="0.3">
      <c r="A3187" t="s">
        <v>4664</v>
      </c>
      <c r="B3187" t="str">
        <f>"002504"</f>
        <v>002504</v>
      </c>
      <c r="C3187" t="s">
        <v>6713</v>
      </c>
      <c r="D3187" t="s">
        <v>450</v>
      </c>
      <c r="F3187">
        <v>179107237</v>
      </c>
      <c r="G3187">
        <v>203916264</v>
      </c>
      <c r="H3187">
        <v>650887237</v>
      </c>
      <c r="I3187">
        <v>1109243677</v>
      </c>
      <c r="J3187">
        <v>1425422333</v>
      </c>
      <c r="K3187">
        <v>1598132828</v>
      </c>
      <c r="L3187">
        <v>1160874465</v>
      </c>
      <c r="M3187">
        <v>187866580</v>
      </c>
      <c r="N3187">
        <v>79708639</v>
      </c>
      <c r="O3187">
        <v>59883768</v>
      </c>
      <c r="P3187">
        <v>66</v>
      </c>
      <c r="Q3187" t="s">
        <v>6714</v>
      </c>
    </row>
    <row r="3188" spans="1:17" x14ac:dyDescent="0.3">
      <c r="A3188" t="s">
        <v>4664</v>
      </c>
      <c r="B3188" t="str">
        <f>"002505"</f>
        <v>002505</v>
      </c>
      <c r="C3188" t="s">
        <v>6715</v>
      </c>
      <c r="D3188" t="s">
        <v>1876</v>
      </c>
      <c r="F3188">
        <v>9363449994</v>
      </c>
      <c r="G3188">
        <v>9830272924</v>
      </c>
      <c r="H3188">
        <v>10947424303</v>
      </c>
      <c r="I3188">
        <v>10434202807</v>
      </c>
      <c r="J3188">
        <v>4639293168</v>
      </c>
      <c r="K3188">
        <v>3807789750</v>
      </c>
      <c r="L3188">
        <v>2366398924</v>
      </c>
      <c r="M3188">
        <v>497289700</v>
      </c>
      <c r="N3188">
        <v>693661743</v>
      </c>
      <c r="O3188">
        <v>444570220</v>
      </c>
      <c r="P3188">
        <v>209</v>
      </c>
      <c r="Q3188" t="s">
        <v>6716</v>
      </c>
    </row>
    <row r="3189" spans="1:17" x14ac:dyDescent="0.3">
      <c r="A3189" t="s">
        <v>4664</v>
      </c>
      <c r="B3189" t="str">
        <f>"002506"</f>
        <v>002506</v>
      </c>
      <c r="C3189" t="s">
        <v>6717</v>
      </c>
      <c r="D3189" t="s">
        <v>356</v>
      </c>
      <c r="F3189">
        <v>2967659647</v>
      </c>
      <c r="G3189">
        <v>3286854938</v>
      </c>
      <c r="H3189">
        <v>7320293943</v>
      </c>
      <c r="I3189">
        <v>9475956348</v>
      </c>
      <c r="J3189">
        <v>7127710873</v>
      </c>
      <c r="K3189">
        <v>4842419409</v>
      </c>
      <c r="L3189">
        <v>1207830944</v>
      </c>
      <c r="M3189">
        <v>213800123</v>
      </c>
      <c r="N3189">
        <v>276617385</v>
      </c>
      <c r="O3189">
        <v>998225380</v>
      </c>
      <c r="P3189">
        <v>315</v>
      </c>
      <c r="Q3189" t="s">
        <v>6718</v>
      </c>
    </row>
    <row r="3190" spans="1:17" x14ac:dyDescent="0.3">
      <c r="A3190" t="s">
        <v>4664</v>
      </c>
      <c r="B3190" t="str">
        <f>"002507"</f>
        <v>002507</v>
      </c>
      <c r="C3190" t="s">
        <v>6719</v>
      </c>
      <c r="D3190" t="s">
        <v>433</v>
      </c>
      <c r="F3190">
        <v>2106750244</v>
      </c>
      <c r="G3190">
        <v>1988308779</v>
      </c>
      <c r="H3190">
        <v>1706946235</v>
      </c>
      <c r="I3190">
        <v>1693074325</v>
      </c>
      <c r="J3190">
        <v>1390288214</v>
      </c>
      <c r="K3190">
        <v>1047882053</v>
      </c>
      <c r="L3190">
        <v>838228624</v>
      </c>
      <c r="M3190">
        <v>852587300</v>
      </c>
      <c r="N3190">
        <v>772821241</v>
      </c>
      <c r="O3190">
        <v>606734717</v>
      </c>
      <c r="P3190">
        <v>4502</v>
      </c>
      <c r="Q3190" t="s">
        <v>6720</v>
      </c>
    </row>
    <row r="3191" spans="1:17" x14ac:dyDescent="0.3">
      <c r="A3191" t="s">
        <v>4664</v>
      </c>
      <c r="B3191" t="str">
        <f>"002508"</f>
        <v>002508</v>
      </c>
      <c r="C3191" t="s">
        <v>6721</v>
      </c>
      <c r="D3191" t="s">
        <v>3680</v>
      </c>
      <c r="F3191">
        <v>7324508659</v>
      </c>
      <c r="G3191">
        <v>5536983526</v>
      </c>
      <c r="H3191">
        <v>5597588790</v>
      </c>
      <c r="I3191">
        <v>6295843787</v>
      </c>
      <c r="J3191">
        <v>5030421397</v>
      </c>
      <c r="K3191">
        <v>4439699353</v>
      </c>
      <c r="L3191">
        <v>3463272983</v>
      </c>
      <c r="M3191">
        <v>2490882624</v>
      </c>
      <c r="N3191">
        <v>1798066340</v>
      </c>
      <c r="O3191">
        <v>1328687345</v>
      </c>
      <c r="P3191">
        <v>40627</v>
      </c>
      <c r="Q3191" t="s">
        <v>6722</v>
      </c>
    </row>
    <row r="3192" spans="1:17" x14ac:dyDescent="0.3">
      <c r="A3192" t="s">
        <v>4664</v>
      </c>
      <c r="B3192" t="str">
        <f>"002509"</f>
        <v>002509</v>
      </c>
      <c r="C3192" t="s">
        <v>6723</v>
      </c>
      <c r="H3192">
        <v>720487913</v>
      </c>
      <c r="I3192">
        <v>900022199</v>
      </c>
      <c r="J3192">
        <v>897841939</v>
      </c>
      <c r="K3192">
        <v>716252878</v>
      </c>
      <c r="L3192">
        <v>355010272</v>
      </c>
      <c r="M3192">
        <v>310651406</v>
      </c>
      <c r="N3192">
        <v>314208072</v>
      </c>
      <c r="O3192">
        <v>256579145</v>
      </c>
      <c r="P3192">
        <v>60</v>
      </c>
      <c r="Q3192" t="s">
        <v>6724</v>
      </c>
    </row>
    <row r="3193" spans="1:17" x14ac:dyDescent="0.3">
      <c r="A3193" t="s">
        <v>4664</v>
      </c>
      <c r="B3193" t="str">
        <f>"002510"</f>
        <v>002510</v>
      </c>
      <c r="C3193" t="s">
        <v>6725</v>
      </c>
      <c r="D3193" t="s">
        <v>985</v>
      </c>
      <c r="F3193">
        <v>1354976385</v>
      </c>
      <c r="G3193">
        <v>1057843358</v>
      </c>
      <c r="H3193">
        <v>1271223799</v>
      </c>
      <c r="I3193">
        <v>984595191</v>
      </c>
      <c r="J3193">
        <v>1103966154</v>
      </c>
      <c r="K3193">
        <v>874432465</v>
      </c>
      <c r="L3193">
        <v>1011121898</v>
      </c>
      <c r="M3193">
        <v>792406455</v>
      </c>
      <c r="N3193">
        <v>747547526</v>
      </c>
      <c r="O3193">
        <v>576536225</v>
      </c>
      <c r="P3193">
        <v>208</v>
      </c>
      <c r="Q3193" t="s">
        <v>6726</v>
      </c>
    </row>
    <row r="3194" spans="1:17" x14ac:dyDescent="0.3">
      <c r="A3194" t="s">
        <v>4664</v>
      </c>
      <c r="B3194" t="str">
        <f>"002511"</f>
        <v>002511</v>
      </c>
      <c r="C3194" t="s">
        <v>6727</v>
      </c>
      <c r="D3194" t="s">
        <v>2728</v>
      </c>
      <c r="F3194">
        <v>6360944202</v>
      </c>
      <c r="G3194">
        <v>5535241894</v>
      </c>
      <c r="H3194">
        <v>5120768223</v>
      </c>
      <c r="I3194">
        <v>4294329337</v>
      </c>
      <c r="J3194">
        <v>3584423859</v>
      </c>
      <c r="K3194">
        <v>2904239924</v>
      </c>
      <c r="L3194">
        <v>2267215342</v>
      </c>
      <c r="M3194">
        <v>1957631666</v>
      </c>
      <c r="N3194">
        <v>1915281141</v>
      </c>
      <c r="O3194">
        <v>1823492075</v>
      </c>
      <c r="P3194">
        <v>2513</v>
      </c>
      <c r="Q3194" t="s">
        <v>6728</v>
      </c>
    </row>
    <row r="3195" spans="1:17" x14ac:dyDescent="0.3">
      <c r="A3195" t="s">
        <v>4664</v>
      </c>
      <c r="B3195" t="str">
        <f>"002512"</f>
        <v>002512</v>
      </c>
      <c r="C3195" t="s">
        <v>6729</v>
      </c>
      <c r="D3195" t="s">
        <v>236</v>
      </c>
      <c r="F3195">
        <v>2117746907</v>
      </c>
      <c r="G3195">
        <v>1725164410</v>
      </c>
      <c r="H3195">
        <v>1655296982</v>
      </c>
      <c r="I3195">
        <v>2206665222</v>
      </c>
      <c r="J3195">
        <v>2139941593</v>
      </c>
      <c r="K3195">
        <v>1654645610</v>
      </c>
      <c r="L3195">
        <v>539828436</v>
      </c>
      <c r="M3195">
        <v>396899303</v>
      </c>
      <c r="N3195">
        <v>271845621</v>
      </c>
      <c r="O3195">
        <v>284696200</v>
      </c>
      <c r="P3195">
        <v>162</v>
      </c>
      <c r="Q3195" t="s">
        <v>6730</v>
      </c>
    </row>
    <row r="3196" spans="1:17" x14ac:dyDescent="0.3">
      <c r="A3196" t="s">
        <v>4664</v>
      </c>
      <c r="B3196" t="str">
        <f>"002513"</f>
        <v>002513</v>
      </c>
      <c r="C3196" t="s">
        <v>6731</v>
      </c>
      <c r="D3196" t="s">
        <v>853</v>
      </c>
      <c r="F3196">
        <v>1073692583</v>
      </c>
      <c r="G3196">
        <v>968999353</v>
      </c>
      <c r="H3196">
        <v>1053235365</v>
      </c>
      <c r="I3196">
        <v>1230477379</v>
      </c>
      <c r="J3196">
        <v>1386914176</v>
      </c>
      <c r="K3196">
        <v>1113026538</v>
      </c>
      <c r="L3196">
        <v>807365237</v>
      </c>
      <c r="M3196">
        <v>1234247462</v>
      </c>
      <c r="N3196">
        <v>1145449831</v>
      </c>
      <c r="O3196">
        <v>915079332</v>
      </c>
      <c r="P3196">
        <v>46</v>
      </c>
      <c r="Q3196" t="s">
        <v>6732</v>
      </c>
    </row>
    <row r="3197" spans="1:17" x14ac:dyDescent="0.3">
      <c r="A3197" t="s">
        <v>4664</v>
      </c>
      <c r="B3197" t="str">
        <f>"002514"</f>
        <v>002514</v>
      </c>
      <c r="C3197" t="s">
        <v>6733</v>
      </c>
      <c r="D3197" t="s">
        <v>274</v>
      </c>
      <c r="F3197">
        <v>415451567</v>
      </c>
      <c r="G3197">
        <v>502652729</v>
      </c>
      <c r="H3197">
        <v>675330977</v>
      </c>
      <c r="I3197">
        <v>558046500</v>
      </c>
      <c r="J3197">
        <v>421755657</v>
      </c>
      <c r="K3197">
        <v>398376781</v>
      </c>
      <c r="L3197">
        <v>326269779</v>
      </c>
      <c r="M3197">
        <v>259185709</v>
      </c>
      <c r="N3197">
        <v>236733035</v>
      </c>
      <c r="O3197">
        <v>242800599</v>
      </c>
      <c r="P3197">
        <v>61</v>
      </c>
      <c r="Q3197" t="s">
        <v>6734</v>
      </c>
    </row>
    <row r="3198" spans="1:17" x14ac:dyDescent="0.3">
      <c r="A3198" t="s">
        <v>4664</v>
      </c>
      <c r="B3198" t="str">
        <f>"002515"</f>
        <v>002515</v>
      </c>
      <c r="C3198" t="s">
        <v>6735</v>
      </c>
      <c r="D3198" t="s">
        <v>170</v>
      </c>
      <c r="F3198">
        <v>418316407</v>
      </c>
      <c r="G3198">
        <v>510917112</v>
      </c>
      <c r="H3198">
        <v>171169191</v>
      </c>
      <c r="I3198">
        <v>303693932</v>
      </c>
      <c r="J3198">
        <v>237733333</v>
      </c>
      <c r="K3198">
        <v>125576339</v>
      </c>
      <c r="L3198">
        <v>168031411</v>
      </c>
      <c r="M3198">
        <v>192820687</v>
      </c>
      <c r="N3198">
        <v>161945052</v>
      </c>
      <c r="O3198">
        <v>150011443</v>
      </c>
      <c r="P3198">
        <v>296</v>
      </c>
      <c r="Q3198" t="s">
        <v>6736</v>
      </c>
    </row>
    <row r="3199" spans="1:17" x14ac:dyDescent="0.3">
      <c r="A3199" t="s">
        <v>4664</v>
      </c>
      <c r="B3199" t="str">
        <f>"002516"</f>
        <v>002516</v>
      </c>
      <c r="C3199" t="s">
        <v>6737</v>
      </c>
      <c r="D3199" t="s">
        <v>191</v>
      </c>
      <c r="F3199">
        <v>822883533</v>
      </c>
      <c r="G3199">
        <v>751944711</v>
      </c>
      <c r="H3199">
        <v>868383125</v>
      </c>
      <c r="I3199">
        <v>994050301</v>
      </c>
      <c r="J3199">
        <v>1349765967</v>
      </c>
      <c r="K3199">
        <v>1036219066</v>
      </c>
      <c r="L3199">
        <v>978837514</v>
      </c>
      <c r="M3199">
        <v>925150859</v>
      </c>
      <c r="N3199">
        <v>661219802</v>
      </c>
      <c r="O3199">
        <v>686495923</v>
      </c>
      <c r="P3199">
        <v>160</v>
      </c>
      <c r="Q3199" t="s">
        <v>6738</v>
      </c>
    </row>
    <row r="3200" spans="1:17" x14ac:dyDescent="0.3">
      <c r="A3200" t="s">
        <v>4664</v>
      </c>
      <c r="B3200" t="str">
        <f>"002517"</f>
        <v>002517</v>
      </c>
      <c r="C3200" t="s">
        <v>6739</v>
      </c>
      <c r="D3200" t="s">
        <v>517</v>
      </c>
      <c r="F3200">
        <v>1422968795</v>
      </c>
      <c r="G3200">
        <v>1294083532</v>
      </c>
      <c r="H3200">
        <v>1714817250</v>
      </c>
      <c r="I3200">
        <v>1956420172</v>
      </c>
      <c r="J3200">
        <v>1975230211</v>
      </c>
      <c r="K3200">
        <v>2053279626</v>
      </c>
      <c r="L3200">
        <v>270273192</v>
      </c>
      <c r="M3200">
        <v>225648044</v>
      </c>
      <c r="N3200">
        <v>196338651</v>
      </c>
      <c r="O3200">
        <v>216214436</v>
      </c>
      <c r="P3200">
        <v>289</v>
      </c>
      <c r="Q3200" t="s">
        <v>6740</v>
      </c>
    </row>
    <row r="3201" spans="1:17" x14ac:dyDescent="0.3">
      <c r="A3201" t="s">
        <v>4664</v>
      </c>
      <c r="B3201" t="str">
        <f>"002518"</f>
        <v>002518</v>
      </c>
      <c r="C3201" t="s">
        <v>6741</v>
      </c>
      <c r="D3201" t="s">
        <v>880</v>
      </c>
      <c r="F3201">
        <v>1892556095</v>
      </c>
      <c r="G3201">
        <v>1656128732</v>
      </c>
      <c r="H3201">
        <v>1854658791</v>
      </c>
      <c r="I3201">
        <v>1623349581</v>
      </c>
      <c r="J3201">
        <v>1364170011</v>
      </c>
      <c r="K3201">
        <v>1033998795</v>
      </c>
      <c r="L3201">
        <v>924475436</v>
      </c>
      <c r="M3201">
        <v>820194037</v>
      </c>
      <c r="N3201">
        <v>668503010</v>
      </c>
      <c r="O3201">
        <v>590620524</v>
      </c>
      <c r="P3201">
        <v>401</v>
      </c>
      <c r="Q3201" t="s">
        <v>6742</v>
      </c>
    </row>
    <row r="3202" spans="1:17" x14ac:dyDescent="0.3">
      <c r="A3202" t="s">
        <v>4664</v>
      </c>
      <c r="B3202" t="str">
        <f>"002519"</f>
        <v>002519</v>
      </c>
      <c r="C3202" t="s">
        <v>6743</v>
      </c>
      <c r="D3202" t="s">
        <v>4404</v>
      </c>
      <c r="F3202">
        <v>801084388</v>
      </c>
      <c r="G3202">
        <v>942703298</v>
      </c>
      <c r="H3202">
        <v>977123194</v>
      </c>
      <c r="I3202">
        <v>980249698</v>
      </c>
      <c r="J3202">
        <v>964349968</v>
      </c>
      <c r="K3202">
        <v>1324287956</v>
      </c>
      <c r="L3202">
        <v>975460522</v>
      </c>
      <c r="M3202">
        <v>749768164</v>
      </c>
      <c r="N3202">
        <v>769158273</v>
      </c>
      <c r="O3202">
        <v>770175284</v>
      </c>
      <c r="P3202">
        <v>160</v>
      </c>
      <c r="Q3202" t="s">
        <v>6744</v>
      </c>
    </row>
    <row r="3203" spans="1:17" x14ac:dyDescent="0.3">
      <c r="A3203" t="s">
        <v>4664</v>
      </c>
      <c r="B3203" t="str">
        <f>"002520"</f>
        <v>002520</v>
      </c>
      <c r="C3203" t="s">
        <v>6745</v>
      </c>
      <c r="D3203" t="s">
        <v>2312</v>
      </c>
      <c r="F3203">
        <v>1629780886</v>
      </c>
      <c r="G3203">
        <v>1306481239</v>
      </c>
      <c r="H3203">
        <v>1435891988</v>
      </c>
      <c r="I3203">
        <v>759324720</v>
      </c>
      <c r="J3203">
        <v>666178158</v>
      </c>
      <c r="K3203">
        <v>538859631</v>
      </c>
      <c r="L3203">
        <v>470605558</v>
      </c>
      <c r="M3203">
        <v>228717129</v>
      </c>
      <c r="N3203">
        <v>180884981</v>
      </c>
      <c r="O3203">
        <v>282435028</v>
      </c>
      <c r="P3203">
        <v>99</v>
      </c>
      <c r="Q3203" t="s">
        <v>6746</v>
      </c>
    </row>
    <row r="3204" spans="1:17" x14ac:dyDescent="0.3">
      <c r="A3204" t="s">
        <v>4664</v>
      </c>
      <c r="B3204" t="str">
        <f>"002521"</f>
        <v>002521</v>
      </c>
      <c r="C3204" t="s">
        <v>6747</v>
      </c>
      <c r="D3204" t="s">
        <v>244</v>
      </c>
      <c r="F3204">
        <v>2708691540</v>
      </c>
      <c r="G3204">
        <v>1738686064</v>
      </c>
      <c r="H3204">
        <v>1872865060</v>
      </c>
      <c r="I3204">
        <v>2185414638</v>
      </c>
      <c r="J3204">
        <v>2309207780</v>
      </c>
      <c r="K3204">
        <v>2293021687</v>
      </c>
      <c r="L3204">
        <v>1811538493</v>
      </c>
      <c r="M3204">
        <v>1875546489</v>
      </c>
      <c r="N3204">
        <v>1455110135</v>
      </c>
      <c r="O3204">
        <v>1200962581</v>
      </c>
      <c r="P3204">
        <v>132</v>
      </c>
      <c r="Q3204" t="s">
        <v>6748</v>
      </c>
    </row>
    <row r="3205" spans="1:17" x14ac:dyDescent="0.3">
      <c r="A3205" t="s">
        <v>4664</v>
      </c>
      <c r="B3205" t="str">
        <f>"002522"</f>
        <v>002522</v>
      </c>
      <c r="C3205" t="s">
        <v>6749</v>
      </c>
      <c r="D3205" t="s">
        <v>324</v>
      </c>
      <c r="F3205">
        <v>1401624636</v>
      </c>
      <c r="G3205">
        <v>1095900388</v>
      </c>
      <c r="H3205">
        <v>925284708</v>
      </c>
      <c r="I3205">
        <v>836638513</v>
      </c>
      <c r="J3205">
        <v>472849007</v>
      </c>
      <c r="K3205">
        <v>410283367</v>
      </c>
      <c r="L3205">
        <v>380373745</v>
      </c>
      <c r="M3205">
        <v>417542485</v>
      </c>
      <c r="N3205">
        <v>391150630</v>
      </c>
      <c r="O3205">
        <v>352096871</v>
      </c>
      <c r="P3205">
        <v>367</v>
      </c>
      <c r="Q3205" t="s">
        <v>6750</v>
      </c>
    </row>
    <row r="3206" spans="1:17" x14ac:dyDescent="0.3">
      <c r="A3206" t="s">
        <v>4664</v>
      </c>
      <c r="B3206" t="str">
        <f>"002523"</f>
        <v>002523</v>
      </c>
      <c r="C3206" t="s">
        <v>6751</v>
      </c>
      <c r="D3206" t="s">
        <v>395</v>
      </c>
      <c r="F3206">
        <v>1186725253</v>
      </c>
      <c r="G3206">
        <v>1058722404</v>
      </c>
      <c r="H3206">
        <v>989500840</v>
      </c>
      <c r="I3206">
        <v>628535961</v>
      </c>
      <c r="J3206">
        <v>743334618</v>
      </c>
      <c r="K3206">
        <v>593721470</v>
      </c>
      <c r="L3206">
        <v>398232304</v>
      </c>
      <c r="M3206">
        <v>274272124</v>
      </c>
      <c r="N3206">
        <v>164257703</v>
      </c>
      <c r="O3206">
        <v>281248954</v>
      </c>
      <c r="P3206">
        <v>53</v>
      </c>
      <c r="Q3206" t="s">
        <v>6752</v>
      </c>
    </row>
    <row r="3207" spans="1:17" x14ac:dyDescent="0.3">
      <c r="A3207" t="s">
        <v>4664</v>
      </c>
      <c r="B3207" t="str">
        <f>"002524"</f>
        <v>002524</v>
      </c>
      <c r="C3207" t="s">
        <v>6753</v>
      </c>
      <c r="D3207" t="s">
        <v>1147</v>
      </c>
      <c r="F3207">
        <v>802031706</v>
      </c>
      <c r="G3207">
        <v>651241824</v>
      </c>
      <c r="H3207">
        <v>1009399518</v>
      </c>
      <c r="I3207">
        <v>686553820</v>
      </c>
      <c r="J3207">
        <v>410687290</v>
      </c>
      <c r="K3207">
        <v>360010833</v>
      </c>
      <c r="L3207">
        <v>436056013</v>
      </c>
      <c r="M3207">
        <v>398025059</v>
      </c>
      <c r="N3207">
        <v>289963889</v>
      </c>
      <c r="O3207">
        <v>212668105</v>
      </c>
      <c r="P3207">
        <v>180</v>
      </c>
      <c r="Q3207" t="s">
        <v>6754</v>
      </c>
    </row>
    <row r="3208" spans="1:17" x14ac:dyDescent="0.3">
      <c r="A3208" t="s">
        <v>4664</v>
      </c>
      <c r="B3208" t="str">
        <f>"002526"</f>
        <v>002526</v>
      </c>
      <c r="C3208" t="s">
        <v>6755</v>
      </c>
      <c r="D3208" t="s">
        <v>395</v>
      </c>
      <c r="F3208">
        <v>1537183830</v>
      </c>
      <c r="G3208">
        <v>1597061066</v>
      </c>
      <c r="H3208">
        <v>1588762542</v>
      </c>
      <c r="I3208">
        <v>1467328006</v>
      </c>
      <c r="J3208">
        <v>992177950</v>
      </c>
      <c r="K3208">
        <v>757406617</v>
      </c>
      <c r="L3208">
        <v>937620512</v>
      </c>
      <c r="M3208">
        <v>947017371</v>
      </c>
      <c r="N3208">
        <v>815990902</v>
      </c>
      <c r="O3208">
        <v>1196036655</v>
      </c>
      <c r="P3208">
        <v>103</v>
      </c>
      <c r="Q3208" t="s">
        <v>6756</v>
      </c>
    </row>
    <row r="3209" spans="1:17" x14ac:dyDescent="0.3">
      <c r="A3209" t="s">
        <v>4664</v>
      </c>
      <c r="B3209" t="str">
        <f>"002527"</f>
        <v>002527</v>
      </c>
      <c r="C3209" t="s">
        <v>6757</v>
      </c>
      <c r="D3209" t="s">
        <v>2911</v>
      </c>
      <c r="F3209">
        <v>2495260704</v>
      </c>
      <c r="G3209">
        <v>2192022907</v>
      </c>
      <c r="H3209">
        <v>2066236507</v>
      </c>
      <c r="I3209">
        <v>1999176373</v>
      </c>
      <c r="J3209">
        <v>1868582867</v>
      </c>
      <c r="K3209">
        <v>1338274185</v>
      </c>
      <c r="L3209">
        <v>871945879</v>
      </c>
      <c r="M3209">
        <v>667119678</v>
      </c>
      <c r="N3209">
        <v>558387260</v>
      </c>
      <c r="O3209">
        <v>493847098</v>
      </c>
      <c r="P3209">
        <v>161</v>
      </c>
      <c r="Q3209" t="s">
        <v>6758</v>
      </c>
    </row>
    <row r="3210" spans="1:17" x14ac:dyDescent="0.3">
      <c r="A3210" t="s">
        <v>4664</v>
      </c>
      <c r="B3210" t="str">
        <f>"002528"</f>
        <v>002528</v>
      </c>
      <c r="C3210" t="s">
        <v>6759</v>
      </c>
      <c r="D3210" t="s">
        <v>2953</v>
      </c>
      <c r="F3210">
        <v>3041297711</v>
      </c>
      <c r="G3210">
        <v>2760159698</v>
      </c>
      <c r="H3210">
        <v>2877938450</v>
      </c>
      <c r="I3210">
        <v>2640880086</v>
      </c>
      <c r="J3210">
        <v>1901749166</v>
      </c>
      <c r="K3210">
        <v>1302668586</v>
      </c>
      <c r="L3210">
        <v>1206713140</v>
      </c>
      <c r="M3210">
        <v>673465149</v>
      </c>
      <c r="N3210">
        <v>727056314</v>
      </c>
      <c r="O3210">
        <v>548710222</v>
      </c>
      <c r="P3210">
        <v>169</v>
      </c>
      <c r="Q3210" t="s">
        <v>6760</v>
      </c>
    </row>
    <row r="3211" spans="1:17" x14ac:dyDescent="0.3">
      <c r="A3211" t="s">
        <v>4664</v>
      </c>
      <c r="B3211" t="str">
        <f>"002529"</f>
        <v>002529</v>
      </c>
      <c r="C3211" t="s">
        <v>6761</v>
      </c>
      <c r="D3211" t="s">
        <v>741</v>
      </c>
      <c r="F3211">
        <v>164780787</v>
      </c>
      <c r="G3211">
        <v>164247698</v>
      </c>
      <c r="H3211">
        <v>165068293</v>
      </c>
      <c r="I3211">
        <v>151387155</v>
      </c>
      <c r="J3211">
        <v>112914804</v>
      </c>
      <c r="K3211">
        <v>87014943</v>
      </c>
      <c r="L3211">
        <v>143331786</v>
      </c>
      <c r="M3211">
        <v>88324935</v>
      </c>
      <c r="N3211">
        <v>118765170</v>
      </c>
      <c r="O3211">
        <v>119895564</v>
      </c>
      <c r="P3211">
        <v>68</v>
      </c>
      <c r="Q3211" t="s">
        <v>6762</v>
      </c>
    </row>
    <row r="3212" spans="1:17" x14ac:dyDescent="0.3">
      <c r="A3212" t="s">
        <v>4664</v>
      </c>
      <c r="B3212" t="str">
        <f>"002530"</f>
        <v>002530</v>
      </c>
      <c r="C3212" t="s">
        <v>6763</v>
      </c>
      <c r="D3212" t="s">
        <v>316</v>
      </c>
      <c r="F3212">
        <v>883614600</v>
      </c>
      <c r="G3212">
        <v>706817986</v>
      </c>
      <c r="H3212">
        <v>821864673</v>
      </c>
      <c r="I3212">
        <v>663520376</v>
      </c>
      <c r="J3212">
        <v>538874247</v>
      </c>
      <c r="K3212">
        <v>262314203</v>
      </c>
      <c r="L3212">
        <v>263508051</v>
      </c>
      <c r="M3212">
        <v>259269272</v>
      </c>
      <c r="N3212">
        <v>212616139</v>
      </c>
      <c r="O3212">
        <v>217593171</v>
      </c>
      <c r="P3212">
        <v>135</v>
      </c>
      <c r="Q3212" t="s">
        <v>6764</v>
      </c>
    </row>
    <row r="3213" spans="1:17" x14ac:dyDescent="0.3">
      <c r="A3213" t="s">
        <v>4664</v>
      </c>
      <c r="B3213" t="str">
        <f>"002531"</f>
        <v>002531</v>
      </c>
      <c r="C3213" t="s">
        <v>6765</v>
      </c>
      <c r="D3213" t="s">
        <v>950</v>
      </c>
      <c r="F3213">
        <v>3954911329</v>
      </c>
      <c r="G3213">
        <v>3944371772</v>
      </c>
      <c r="H3213">
        <v>2955965070</v>
      </c>
      <c r="I3213">
        <v>2392122199</v>
      </c>
      <c r="J3213">
        <v>1582844610</v>
      </c>
      <c r="K3213">
        <v>1595478255</v>
      </c>
      <c r="L3213">
        <v>1191156808</v>
      </c>
      <c r="M3213">
        <v>1006389421</v>
      </c>
      <c r="N3213">
        <v>744010662</v>
      </c>
      <c r="O3213">
        <v>1023968400</v>
      </c>
      <c r="P3213">
        <v>599</v>
      </c>
      <c r="Q3213" t="s">
        <v>6766</v>
      </c>
    </row>
    <row r="3214" spans="1:17" x14ac:dyDescent="0.3">
      <c r="A3214" t="s">
        <v>4664</v>
      </c>
      <c r="B3214" t="str">
        <f>"002532"</f>
        <v>002532</v>
      </c>
      <c r="C3214" t="s">
        <v>6767</v>
      </c>
      <c r="D3214" t="s">
        <v>504</v>
      </c>
      <c r="F3214">
        <v>21013451077</v>
      </c>
      <c r="G3214">
        <v>18067049012</v>
      </c>
      <c r="H3214">
        <v>1188993977</v>
      </c>
      <c r="I3214">
        <v>1172500325</v>
      </c>
      <c r="J3214">
        <v>1161136862</v>
      </c>
      <c r="K3214">
        <v>961435039</v>
      </c>
      <c r="L3214">
        <v>873298774</v>
      </c>
      <c r="M3214">
        <v>890769529</v>
      </c>
      <c r="N3214">
        <v>879312943</v>
      </c>
      <c r="O3214">
        <v>761276874</v>
      </c>
      <c r="P3214">
        <v>424</v>
      </c>
      <c r="Q3214" t="s">
        <v>6768</v>
      </c>
    </row>
    <row r="3215" spans="1:17" x14ac:dyDescent="0.3">
      <c r="A3215" t="s">
        <v>4664</v>
      </c>
      <c r="B3215" t="str">
        <f>"002533"</f>
        <v>002533</v>
      </c>
      <c r="C3215" t="s">
        <v>6769</v>
      </c>
      <c r="D3215" t="s">
        <v>1164</v>
      </c>
      <c r="F3215">
        <v>9568058029</v>
      </c>
      <c r="G3215">
        <v>5218544546</v>
      </c>
      <c r="H3215">
        <v>4156266319</v>
      </c>
      <c r="I3215">
        <v>3643321387</v>
      </c>
      <c r="J3215">
        <v>2553031986</v>
      </c>
      <c r="K3215">
        <v>2329736224</v>
      </c>
      <c r="L3215">
        <v>2566029855</v>
      </c>
      <c r="M3215">
        <v>2215843490</v>
      </c>
      <c r="N3215">
        <v>2038308173</v>
      </c>
      <c r="O3215">
        <v>2053164120</v>
      </c>
      <c r="P3215">
        <v>192</v>
      </c>
      <c r="Q3215" t="s">
        <v>6770</v>
      </c>
    </row>
    <row r="3216" spans="1:17" x14ac:dyDescent="0.3">
      <c r="A3216" t="s">
        <v>4664</v>
      </c>
      <c r="B3216" t="str">
        <f>"002534"</f>
        <v>002534</v>
      </c>
      <c r="C3216" t="s">
        <v>6771</v>
      </c>
      <c r="D3216" t="s">
        <v>470</v>
      </c>
      <c r="F3216">
        <v>4209032042</v>
      </c>
      <c r="G3216">
        <v>3034399688</v>
      </c>
      <c r="H3216">
        <v>2539024867</v>
      </c>
      <c r="I3216">
        <v>2179429088</v>
      </c>
      <c r="J3216">
        <v>2175691481</v>
      </c>
      <c r="K3216">
        <v>1984244252</v>
      </c>
      <c r="L3216">
        <v>1717309019</v>
      </c>
      <c r="M3216">
        <v>2033852587</v>
      </c>
      <c r="N3216">
        <v>3975152817</v>
      </c>
      <c r="O3216">
        <v>8190866640</v>
      </c>
      <c r="P3216">
        <v>191</v>
      </c>
      <c r="Q3216" t="s">
        <v>6772</v>
      </c>
    </row>
    <row r="3217" spans="1:17" x14ac:dyDescent="0.3">
      <c r="A3217" t="s">
        <v>4664</v>
      </c>
      <c r="B3217" t="str">
        <f>"002535"</f>
        <v>002535</v>
      </c>
      <c r="C3217" t="s">
        <v>6773</v>
      </c>
      <c r="D3217" t="s">
        <v>395</v>
      </c>
      <c r="F3217">
        <v>415516063</v>
      </c>
      <c r="G3217">
        <v>640597862</v>
      </c>
      <c r="H3217">
        <v>914720904</v>
      </c>
      <c r="I3217">
        <v>1502502968</v>
      </c>
      <c r="J3217">
        <v>997677575</v>
      </c>
      <c r="K3217">
        <v>715900225</v>
      </c>
      <c r="L3217">
        <v>759790245</v>
      </c>
      <c r="M3217">
        <v>779448478</v>
      </c>
      <c r="N3217">
        <v>781488424</v>
      </c>
      <c r="O3217">
        <v>534463589</v>
      </c>
      <c r="P3217">
        <v>89</v>
      </c>
      <c r="Q3217" t="s">
        <v>6774</v>
      </c>
    </row>
    <row r="3218" spans="1:17" x14ac:dyDescent="0.3">
      <c r="A3218" t="s">
        <v>4664</v>
      </c>
      <c r="B3218" t="str">
        <f>"002536"</f>
        <v>002536</v>
      </c>
      <c r="C3218" t="s">
        <v>6775</v>
      </c>
      <c r="D3218" t="s">
        <v>348</v>
      </c>
      <c r="F3218">
        <v>2565645261</v>
      </c>
      <c r="G3218">
        <v>1841246066</v>
      </c>
      <c r="H3218">
        <v>1903265738</v>
      </c>
      <c r="I3218">
        <v>2452488977</v>
      </c>
      <c r="J3218">
        <v>1747931840</v>
      </c>
      <c r="K3218">
        <v>1382088446</v>
      </c>
      <c r="L3218">
        <v>1464416677</v>
      </c>
      <c r="M3218">
        <v>1146467152</v>
      </c>
      <c r="N3218">
        <v>724600565</v>
      </c>
      <c r="O3218">
        <v>607767412</v>
      </c>
      <c r="P3218">
        <v>254</v>
      </c>
      <c r="Q3218" t="s">
        <v>6776</v>
      </c>
    </row>
    <row r="3219" spans="1:17" x14ac:dyDescent="0.3">
      <c r="A3219" t="s">
        <v>4664</v>
      </c>
      <c r="B3219" t="str">
        <f>"002537"</f>
        <v>002537</v>
      </c>
      <c r="C3219" t="s">
        <v>6777</v>
      </c>
      <c r="D3219" t="s">
        <v>191</v>
      </c>
      <c r="F3219">
        <v>4431750990</v>
      </c>
      <c r="G3219">
        <v>3773069753</v>
      </c>
      <c r="H3219">
        <v>3144727554</v>
      </c>
      <c r="I3219">
        <v>2710546337</v>
      </c>
      <c r="J3219">
        <v>1779639962</v>
      </c>
      <c r="K3219">
        <v>1311646100</v>
      </c>
      <c r="L3219">
        <v>1320053371</v>
      </c>
      <c r="M3219">
        <v>1473211414</v>
      </c>
      <c r="N3219">
        <v>1467119981</v>
      </c>
      <c r="O3219">
        <v>773323364</v>
      </c>
      <c r="P3219">
        <v>182</v>
      </c>
      <c r="Q3219" t="s">
        <v>6778</v>
      </c>
    </row>
    <row r="3220" spans="1:17" x14ac:dyDescent="0.3">
      <c r="A3220" t="s">
        <v>4664</v>
      </c>
      <c r="B3220" t="str">
        <f>"002538"</f>
        <v>002538</v>
      </c>
      <c r="C3220" t="s">
        <v>6779</v>
      </c>
      <c r="D3220" t="s">
        <v>5489</v>
      </c>
      <c r="F3220">
        <v>3472013424</v>
      </c>
      <c r="G3220">
        <v>3084291141</v>
      </c>
      <c r="H3220">
        <v>2046894554</v>
      </c>
      <c r="I3220">
        <v>1571219670</v>
      </c>
      <c r="J3220">
        <v>1484459142</v>
      </c>
      <c r="K3220">
        <v>1837306303</v>
      </c>
      <c r="L3220">
        <v>1460706639</v>
      </c>
      <c r="M3220">
        <v>940653474</v>
      </c>
      <c r="N3220">
        <v>1003841657</v>
      </c>
      <c r="O3220">
        <v>1423184366</v>
      </c>
      <c r="P3220">
        <v>174</v>
      </c>
      <c r="Q3220" t="s">
        <v>6780</v>
      </c>
    </row>
    <row r="3221" spans="1:17" x14ac:dyDescent="0.3">
      <c r="A3221" t="s">
        <v>4664</v>
      </c>
      <c r="B3221" t="str">
        <f>"002539"</f>
        <v>002539</v>
      </c>
      <c r="C3221" t="s">
        <v>6781</v>
      </c>
      <c r="D3221" t="s">
        <v>5489</v>
      </c>
      <c r="F3221">
        <v>7293179892</v>
      </c>
      <c r="G3221">
        <v>4690465718</v>
      </c>
      <c r="H3221">
        <v>4121290562</v>
      </c>
      <c r="I3221">
        <v>3756602474</v>
      </c>
      <c r="J3221">
        <v>4108243574</v>
      </c>
      <c r="K3221">
        <v>3021026149</v>
      </c>
      <c r="L3221">
        <v>2364069408</v>
      </c>
      <c r="M3221">
        <v>2069820897</v>
      </c>
      <c r="N3221">
        <v>1867595021</v>
      </c>
      <c r="O3221">
        <v>2040538025</v>
      </c>
      <c r="P3221">
        <v>240</v>
      </c>
      <c r="Q3221" t="s">
        <v>6782</v>
      </c>
    </row>
    <row r="3222" spans="1:17" x14ac:dyDescent="0.3">
      <c r="A3222" t="s">
        <v>4664</v>
      </c>
      <c r="B3222" t="str">
        <f>"002540"</f>
        <v>002540</v>
      </c>
      <c r="C3222" t="s">
        <v>6783</v>
      </c>
      <c r="D3222" t="s">
        <v>504</v>
      </c>
      <c r="F3222">
        <v>4023255881</v>
      </c>
      <c r="G3222">
        <v>2479297965</v>
      </c>
      <c r="H3222">
        <v>2341860946</v>
      </c>
      <c r="I3222">
        <v>2759797428</v>
      </c>
      <c r="J3222">
        <v>2282876383</v>
      </c>
      <c r="K3222">
        <v>1751762335</v>
      </c>
      <c r="L3222">
        <v>1728065481</v>
      </c>
      <c r="M3222">
        <v>1604233074</v>
      </c>
      <c r="N3222">
        <v>1419754555</v>
      </c>
      <c r="O3222">
        <v>1120189102</v>
      </c>
      <c r="P3222">
        <v>161</v>
      </c>
      <c r="Q3222" t="s">
        <v>6784</v>
      </c>
    </row>
    <row r="3223" spans="1:17" x14ac:dyDescent="0.3">
      <c r="A3223" t="s">
        <v>4664</v>
      </c>
      <c r="B3223" t="str">
        <f>"002541"</f>
        <v>002541</v>
      </c>
      <c r="C3223" t="s">
        <v>6785</v>
      </c>
      <c r="D3223" t="s">
        <v>978</v>
      </c>
      <c r="F3223">
        <v>13438791439</v>
      </c>
      <c r="G3223">
        <v>10189156626</v>
      </c>
      <c r="H3223">
        <v>7619468809</v>
      </c>
      <c r="I3223">
        <v>6124310387</v>
      </c>
      <c r="J3223">
        <v>3969424007</v>
      </c>
      <c r="K3223">
        <v>2955725052</v>
      </c>
      <c r="L3223">
        <v>2582816929</v>
      </c>
      <c r="M3223">
        <v>3191730587</v>
      </c>
      <c r="N3223">
        <v>3595164449</v>
      </c>
      <c r="O3223">
        <v>2751928916</v>
      </c>
      <c r="P3223">
        <v>443</v>
      </c>
      <c r="Q3223" t="s">
        <v>6786</v>
      </c>
    </row>
    <row r="3224" spans="1:17" x14ac:dyDescent="0.3">
      <c r="A3224" t="s">
        <v>4664</v>
      </c>
      <c r="B3224" t="str">
        <f>"002542"</f>
        <v>002542</v>
      </c>
      <c r="C3224" t="s">
        <v>6787</v>
      </c>
      <c r="D3224" t="s">
        <v>1986</v>
      </c>
      <c r="F3224">
        <v>2978408523</v>
      </c>
      <c r="G3224">
        <v>2328786755</v>
      </c>
      <c r="H3224">
        <v>2330342160</v>
      </c>
      <c r="I3224">
        <v>1881973216</v>
      </c>
      <c r="J3224">
        <v>1376070193</v>
      </c>
      <c r="K3224">
        <v>1029874778</v>
      </c>
      <c r="L3224">
        <v>837948677</v>
      </c>
      <c r="M3224">
        <v>746163368</v>
      </c>
      <c r="N3224">
        <v>347255502</v>
      </c>
      <c r="O3224">
        <v>214394097</v>
      </c>
      <c r="P3224">
        <v>161</v>
      </c>
      <c r="Q3224" t="s">
        <v>6788</v>
      </c>
    </row>
    <row r="3225" spans="1:17" x14ac:dyDescent="0.3">
      <c r="A3225" t="s">
        <v>4664</v>
      </c>
      <c r="B3225" t="str">
        <f>"002543"</f>
        <v>002543</v>
      </c>
      <c r="C3225" t="s">
        <v>6789</v>
      </c>
      <c r="D3225" t="s">
        <v>2865</v>
      </c>
      <c r="F3225">
        <v>5316950221</v>
      </c>
      <c r="G3225">
        <v>4310659429</v>
      </c>
      <c r="H3225">
        <v>4410571274</v>
      </c>
      <c r="I3225">
        <v>5123715721</v>
      </c>
      <c r="J3225">
        <v>4665250939</v>
      </c>
      <c r="K3225">
        <v>4181035976</v>
      </c>
      <c r="L3225">
        <v>2720469956</v>
      </c>
      <c r="M3225">
        <v>2534828193</v>
      </c>
      <c r="N3225">
        <v>2177498196</v>
      </c>
      <c r="O3225">
        <v>1671939163</v>
      </c>
      <c r="P3225">
        <v>434</v>
      </c>
      <c r="Q3225" t="s">
        <v>6790</v>
      </c>
    </row>
    <row r="3226" spans="1:17" x14ac:dyDescent="0.3">
      <c r="A3226" t="s">
        <v>4664</v>
      </c>
      <c r="B3226" t="str">
        <f>"002544"</f>
        <v>002544</v>
      </c>
      <c r="C3226" t="s">
        <v>6791</v>
      </c>
      <c r="D3226" t="s">
        <v>654</v>
      </c>
      <c r="F3226">
        <v>4160664388</v>
      </c>
      <c r="G3226">
        <v>4183594329</v>
      </c>
      <c r="H3226">
        <v>3628467563</v>
      </c>
      <c r="I3226">
        <v>3708706728</v>
      </c>
      <c r="J3226">
        <v>2396316965</v>
      </c>
      <c r="K3226">
        <v>1757855898</v>
      </c>
      <c r="L3226">
        <v>1288693147</v>
      </c>
      <c r="M3226">
        <v>1017841497</v>
      </c>
      <c r="N3226">
        <v>1037095389</v>
      </c>
      <c r="O3226">
        <v>811963760</v>
      </c>
      <c r="P3226">
        <v>324</v>
      </c>
      <c r="Q3226" t="s">
        <v>6792</v>
      </c>
    </row>
    <row r="3227" spans="1:17" x14ac:dyDescent="0.3">
      <c r="A3227" t="s">
        <v>4664</v>
      </c>
      <c r="B3227" t="str">
        <f>"002545"</f>
        <v>002545</v>
      </c>
      <c r="C3227" t="s">
        <v>6793</v>
      </c>
      <c r="D3227" t="s">
        <v>978</v>
      </c>
      <c r="F3227">
        <v>2395368299</v>
      </c>
      <c r="G3227">
        <v>2427520309</v>
      </c>
      <c r="H3227">
        <v>2262054542</v>
      </c>
      <c r="I3227">
        <v>1943943044</v>
      </c>
      <c r="J3227">
        <v>1772521134</v>
      </c>
      <c r="K3227">
        <v>1336197757</v>
      </c>
      <c r="L3227">
        <v>1124747662</v>
      </c>
      <c r="M3227">
        <v>1034623686</v>
      </c>
      <c r="N3227">
        <v>1462116543</v>
      </c>
      <c r="O3227">
        <v>1659021669</v>
      </c>
      <c r="P3227">
        <v>138</v>
      </c>
      <c r="Q3227" t="s">
        <v>6794</v>
      </c>
    </row>
    <row r="3228" spans="1:17" x14ac:dyDescent="0.3">
      <c r="A3228" t="s">
        <v>4664</v>
      </c>
      <c r="B3228" t="str">
        <f>"002546"</f>
        <v>002546</v>
      </c>
      <c r="C3228" t="s">
        <v>6795</v>
      </c>
      <c r="D3228" t="s">
        <v>2171</v>
      </c>
      <c r="F3228">
        <v>313724941</v>
      </c>
      <c r="G3228">
        <v>425759739</v>
      </c>
      <c r="H3228">
        <v>488030529</v>
      </c>
      <c r="I3228">
        <v>443452103</v>
      </c>
      <c r="J3228">
        <v>468994854</v>
      </c>
      <c r="K3228">
        <v>423648629</v>
      </c>
      <c r="L3228">
        <v>380077930</v>
      </c>
      <c r="M3228">
        <v>299790966</v>
      </c>
      <c r="N3228">
        <v>373166663</v>
      </c>
      <c r="O3228">
        <v>327777755</v>
      </c>
      <c r="P3228">
        <v>76</v>
      </c>
      <c r="Q3228" t="s">
        <v>6796</v>
      </c>
    </row>
    <row r="3229" spans="1:17" x14ac:dyDescent="0.3">
      <c r="A3229" t="s">
        <v>4664</v>
      </c>
      <c r="B3229" t="str">
        <f>"002547"</f>
        <v>002547</v>
      </c>
      <c r="C3229" t="s">
        <v>6797</v>
      </c>
      <c r="D3229" t="s">
        <v>313</v>
      </c>
      <c r="F3229">
        <v>2248115898</v>
      </c>
      <c r="G3229">
        <v>4960719225</v>
      </c>
      <c r="H3229">
        <v>5595150859</v>
      </c>
      <c r="I3229">
        <v>3841126714</v>
      </c>
      <c r="J3229">
        <v>2538487519</v>
      </c>
      <c r="K3229">
        <v>1832515075</v>
      </c>
      <c r="L3229">
        <v>1818367726</v>
      </c>
      <c r="M3229">
        <v>1692970834</v>
      </c>
      <c r="N3229">
        <v>885683816</v>
      </c>
      <c r="O3229">
        <v>578246007</v>
      </c>
      <c r="P3229">
        <v>306</v>
      </c>
      <c r="Q3229" t="s">
        <v>6798</v>
      </c>
    </row>
    <row r="3230" spans="1:17" x14ac:dyDescent="0.3">
      <c r="A3230" t="s">
        <v>4664</v>
      </c>
      <c r="B3230" t="str">
        <f>"002548"</f>
        <v>002548</v>
      </c>
      <c r="C3230" t="s">
        <v>6799</v>
      </c>
      <c r="D3230" t="s">
        <v>2859</v>
      </c>
      <c r="F3230">
        <v>3583919984</v>
      </c>
      <c r="G3230">
        <v>2384117062</v>
      </c>
      <c r="H3230">
        <v>1832501825</v>
      </c>
      <c r="I3230">
        <v>1954586529</v>
      </c>
      <c r="J3230">
        <v>2223800228</v>
      </c>
      <c r="K3230">
        <v>1762517373</v>
      </c>
      <c r="L3230">
        <v>1824748191</v>
      </c>
      <c r="M3230">
        <v>1296928849</v>
      </c>
      <c r="N3230">
        <v>1377197045</v>
      </c>
      <c r="O3230">
        <v>1268874450</v>
      </c>
      <c r="P3230">
        <v>260</v>
      </c>
      <c r="Q3230" t="s">
        <v>6800</v>
      </c>
    </row>
    <row r="3231" spans="1:17" x14ac:dyDescent="0.3">
      <c r="A3231" t="s">
        <v>4664</v>
      </c>
      <c r="B3231" t="str">
        <f>"002549"</f>
        <v>002549</v>
      </c>
      <c r="C3231" t="s">
        <v>6801</v>
      </c>
      <c r="D3231" t="s">
        <v>386</v>
      </c>
      <c r="F3231">
        <v>507111396</v>
      </c>
      <c r="G3231">
        <v>378695872</v>
      </c>
      <c r="H3231">
        <v>366279375</v>
      </c>
      <c r="I3231">
        <v>351795286</v>
      </c>
      <c r="J3231">
        <v>311902561</v>
      </c>
      <c r="K3231">
        <v>183454609</v>
      </c>
      <c r="L3231">
        <v>191201488</v>
      </c>
      <c r="M3231">
        <v>219065193</v>
      </c>
      <c r="N3231">
        <v>113778086</v>
      </c>
      <c r="O3231">
        <v>101157502</v>
      </c>
      <c r="P3231">
        <v>172</v>
      </c>
      <c r="Q3231" t="s">
        <v>6802</v>
      </c>
    </row>
    <row r="3232" spans="1:17" x14ac:dyDescent="0.3">
      <c r="A3232" t="s">
        <v>4664</v>
      </c>
      <c r="B3232" t="str">
        <f>"002550"</f>
        <v>002550</v>
      </c>
      <c r="C3232" t="s">
        <v>6803</v>
      </c>
      <c r="D3232" t="s">
        <v>143</v>
      </c>
      <c r="F3232">
        <v>1454164005</v>
      </c>
      <c r="G3232">
        <v>1294924801</v>
      </c>
      <c r="H3232">
        <v>1257476087</v>
      </c>
      <c r="I3232">
        <v>961360664</v>
      </c>
      <c r="J3232">
        <v>844046254</v>
      </c>
      <c r="K3232">
        <v>668629118</v>
      </c>
      <c r="L3232">
        <v>608588885</v>
      </c>
      <c r="M3232">
        <v>668254700</v>
      </c>
      <c r="N3232">
        <v>715620479</v>
      </c>
      <c r="O3232">
        <v>557299352</v>
      </c>
      <c r="P3232">
        <v>172</v>
      </c>
      <c r="Q3232" t="s">
        <v>6804</v>
      </c>
    </row>
    <row r="3233" spans="1:17" x14ac:dyDescent="0.3">
      <c r="A3233" t="s">
        <v>4664</v>
      </c>
      <c r="B3233" t="str">
        <f>"002551"</f>
        <v>002551</v>
      </c>
      <c r="C3233" t="s">
        <v>6805</v>
      </c>
      <c r="D3233" t="s">
        <v>1077</v>
      </c>
      <c r="F3233">
        <v>1493370829</v>
      </c>
      <c r="G3233">
        <v>1884936339</v>
      </c>
      <c r="H3233">
        <v>1189309389</v>
      </c>
      <c r="I3233">
        <v>1301778736</v>
      </c>
      <c r="J3233">
        <v>1731792771</v>
      </c>
      <c r="K3233">
        <v>1055450745</v>
      </c>
      <c r="L3233">
        <v>1031539913</v>
      </c>
      <c r="M3233">
        <v>881015698</v>
      </c>
      <c r="N3233">
        <v>224118648</v>
      </c>
      <c r="O3233">
        <v>293325787</v>
      </c>
      <c r="P3233">
        <v>242</v>
      </c>
      <c r="Q3233" t="s">
        <v>6806</v>
      </c>
    </row>
    <row r="3234" spans="1:17" x14ac:dyDescent="0.3">
      <c r="A3234" t="s">
        <v>4664</v>
      </c>
      <c r="B3234" t="str">
        <f>"002552"</f>
        <v>002552</v>
      </c>
      <c r="C3234" t="s">
        <v>6807</v>
      </c>
      <c r="D3234" t="s">
        <v>274</v>
      </c>
      <c r="F3234">
        <v>207599591</v>
      </c>
      <c r="G3234">
        <v>134986883</v>
      </c>
      <c r="H3234">
        <v>127465162</v>
      </c>
      <c r="I3234">
        <v>128044134</v>
      </c>
      <c r="J3234">
        <v>114015377</v>
      </c>
      <c r="K3234">
        <v>149669057</v>
      </c>
      <c r="L3234">
        <v>155851450</v>
      </c>
      <c r="M3234">
        <v>96109170</v>
      </c>
      <c r="N3234">
        <v>100130768</v>
      </c>
      <c r="O3234">
        <v>257614131</v>
      </c>
      <c r="P3234">
        <v>83</v>
      </c>
      <c r="Q3234" t="s">
        <v>6808</v>
      </c>
    </row>
    <row r="3235" spans="1:17" x14ac:dyDescent="0.3">
      <c r="A3235" t="s">
        <v>4664</v>
      </c>
      <c r="B3235" t="str">
        <f>"002553"</f>
        <v>002553</v>
      </c>
      <c r="C3235" t="s">
        <v>6809</v>
      </c>
      <c r="D3235" t="s">
        <v>348</v>
      </c>
      <c r="F3235">
        <v>422203226</v>
      </c>
      <c r="G3235">
        <v>307336621</v>
      </c>
      <c r="H3235">
        <v>293125276</v>
      </c>
      <c r="I3235">
        <v>298729927</v>
      </c>
      <c r="J3235">
        <v>291426772</v>
      </c>
      <c r="K3235">
        <v>242704960</v>
      </c>
      <c r="L3235">
        <v>230675045</v>
      </c>
      <c r="M3235">
        <v>229589616</v>
      </c>
      <c r="N3235">
        <v>203106290</v>
      </c>
      <c r="O3235">
        <v>171485393</v>
      </c>
      <c r="P3235">
        <v>140</v>
      </c>
      <c r="Q3235" t="s">
        <v>6810</v>
      </c>
    </row>
    <row r="3236" spans="1:17" x14ac:dyDescent="0.3">
      <c r="A3236" t="s">
        <v>4664</v>
      </c>
      <c r="B3236" t="str">
        <f>"002554"</f>
        <v>002554</v>
      </c>
      <c r="C3236" t="s">
        <v>6811</v>
      </c>
      <c r="D3236" t="s">
        <v>762</v>
      </c>
      <c r="F3236">
        <v>1313854842</v>
      </c>
      <c r="G3236">
        <v>914224986</v>
      </c>
      <c r="H3236">
        <v>1478912340</v>
      </c>
      <c r="I3236">
        <v>963385340</v>
      </c>
      <c r="J3236">
        <v>1126948637</v>
      </c>
      <c r="K3236">
        <v>640185217</v>
      </c>
      <c r="L3236">
        <v>771299880</v>
      </c>
      <c r="M3236">
        <v>857113655</v>
      </c>
      <c r="N3236">
        <v>558559324</v>
      </c>
      <c r="O3236">
        <v>219139972</v>
      </c>
      <c r="P3236">
        <v>112</v>
      </c>
      <c r="Q3236" t="s">
        <v>6812</v>
      </c>
    </row>
    <row r="3237" spans="1:17" x14ac:dyDescent="0.3">
      <c r="A3237" t="s">
        <v>4664</v>
      </c>
      <c r="B3237" t="str">
        <f>"002555"</f>
        <v>002555</v>
      </c>
      <c r="C3237" t="s">
        <v>6813</v>
      </c>
      <c r="D3237" t="s">
        <v>517</v>
      </c>
      <c r="F3237">
        <v>12124538200</v>
      </c>
      <c r="G3237">
        <v>11830242326</v>
      </c>
      <c r="H3237">
        <v>9543869972</v>
      </c>
      <c r="I3237">
        <v>5315679067</v>
      </c>
      <c r="J3237">
        <v>4929283456</v>
      </c>
      <c r="K3237">
        <v>3960253848</v>
      </c>
      <c r="L3237">
        <v>3502839496</v>
      </c>
      <c r="M3237">
        <v>242179021</v>
      </c>
      <c r="N3237">
        <v>225776589</v>
      </c>
      <c r="O3237">
        <v>259084913</v>
      </c>
      <c r="P3237">
        <v>2918</v>
      </c>
      <c r="Q3237" t="s">
        <v>6814</v>
      </c>
    </row>
    <row r="3238" spans="1:17" x14ac:dyDescent="0.3">
      <c r="A3238" t="s">
        <v>4664</v>
      </c>
      <c r="B3238" t="str">
        <f>"002556"</f>
        <v>002556</v>
      </c>
      <c r="C3238" t="s">
        <v>6815</v>
      </c>
      <c r="D3238" t="s">
        <v>6816</v>
      </c>
      <c r="F3238">
        <v>16104156425</v>
      </c>
      <c r="G3238">
        <v>14217849788</v>
      </c>
      <c r="H3238">
        <v>14723749986</v>
      </c>
      <c r="I3238">
        <v>13875771562</v>
      </c>
      <c r="J3238">
        <v>11328089588</v>
      </c>
      <c r="K3238">
        <v>7651844017</v>
      </c>
      <c r="L3238">
        <v>8334692462</v>
      </c>
      <c r="M3238">
        <v>7601092486</v>
      </c>
      <c r="N3238">
        <v>8316405743</v>
      </c>
      <c r="O3238">
        <v>8962111747</v>
      </c>
      <c r="P3238">
        <v>110</v>
      </c>
      <c r="Q3238" t="s">
        <v>6817</v>
      </c>
    </row>
    <row r="3239" spans="1:17" x14ac:dyDescent="0.3">
      <c r="A3239" t="s">
        <v>4664</v>
      </c>
      <c r="B3239" t="str">
        <f>"002557"</f>
        <v>002557</v>
      </c>
      <c r="C3239" t="s">
        <v>6818</v>
      </c>
      <c r="D3239" t="s">
        <v>3167</v>
      </c>
      <c r="F3239">
        <v>4300361808</v>
      </c>
      <c r="G3239">
        <v>4169054811</v>
      </c>
      <c r="H3239">
        <v>3621169656</v>
      </c>
      <c r="I3239">
        <v>3377940284</v>
      </c>
      <c r="J3239">
        <v>2781232868</v>
      </c>
      <c r="K3239">
        <v>2907708749</v>
      </c>
      <c r="L3239">
        <v>2718128962</v>
      </c>
      <c r="M3239">
        <v>2517853798</v>
      </c>
      <c r="N3239">
        <v>2319321722</v>
      </c>
      <c r="O3239">
        <v>2198594310</v>
      </c>
      <c r="P3239">
        <v>1823</v>
      </c>
      <c r="Q3239" t="s">
        <v>6819</v>
      </c>
    </row>
    <row r="3240" spans="1:17" x14ac:dyDescent="0.3">
      <c r="A3240" t="s">
        <v>4664</v>
      </c>
      <c r="B3240" t="str">
        <f>"002558"</f>
        <v>002558</v>
      </c>
      <c r="C3240" t="s">
        <v>6820</v>
      </c>
      <c r="D3240" t="s">
        <v>517</v>
      </c>
      <c r="F3240">
        <v>1581710053</v>
      </c>
      <c r="G3240">
        <v>1833875990</v>
      </c>
      <c r="H3240">
        <v>2451933772</v>
      </c>
      <c r="I3240">
        <v>2958289169</v>
      </c>
      <c r="J3240">
        <v>2079107659</v>
      </c>
      <c r="K3240">
        <v>1538341586</v>
      </c>
      <c r="L3240">
        <v>341957359</v>
      </c>
      <c r="M3240">
        <v>342465670</v>
      </c>
      <c r="N3240">
        <v>276000072</v>
      </c>
      <c r="O3240">
        <v>258888393</v>
      </c>
      <c r="P3240">
        <v>458</v>
      </c>
      <c r="Q3240" t="s">
        <v>6821</v>
      </c>
    </row>
    <row r="3241" spans="1:17" x14ac:dyDescent="0.3">
      <c r="A3241" t="s">
        <v>4664</v>
      </c>
      <c r="B3241" t="str">
        <f>"002559"</f>
        <v>002559</v>
      </c>
      <c r="C3241" t="s">
        <v>6822</v>
      </c>
      <c r="D3241" t="s">
        <v>2312</v>
      </c>
      <c r="F3241">
        <v>1370454151</v>
      </c>
      <c r="G3241">
        <v>963128528</v>
      </c>
      <c r="H3241">
        <v>874092758</v>
      </c>
      <c r="I3241">
        <v>786926235</v>
      </c>
      <c r="J3241">
        <v>1099787808</v>
      </c>
      <c r="K3241">
        <v>859227142</v>
      </c>
      <c r="L3241">
        <v>752827413</v>
      </c>
      <c r="M3241">
        <v>726626943</v>
      </c>
      <c r="N3241">
        <v>735262755</v>
      </c>
      <c r="O3241">
        <v>642125797</v>
      </c>
      <c r="P3241">
        <v>149</v>
      </c>
      <c r="Q3241" t="s">
        <v>6823</v>
      </c>
    </row>
    <row r="3242" spans="1:17" x14ac:dyDescent="0.3">
      <c r="A3242" t="s">
        <v>4664</v>
      </c>
      <c r="B3242" t="str">
        <f>"002560"</f>
        <v>002560</v>
      </c>
      <c r="C3242" t="s">
        <v>6824</v>
      </c>
      <c r="D3242" t="s">
        <v>1164</v>
      </c>
      <c r="F3242">
        <v>1373763574</v>
      </c>
      <c r="G3242">
        <v>1272228902</v>
      </c>
      <c r="H3242">
        <v>1302896362</v>
      </c>
      <c r="I3242">
        <v>1396981540</v>
      </c>
      <c r="J3242">
        <v>1333278215</v>
      </c>
      <c r="K3242">
        <v>1080992218</v>
      </c>
      <c r="L3242">
        <v>969259019</v>
      </c>
      <c r="M3242">
        <v>500889323</v>
      </c>
      <c r="N3242">
        <v>728723796</v>
      </c>
      <c r="O3242">
        <v>661191432</v>
      </c>
      <c r="P3242">
        <v>138</v>
      </c>
      <c r="Q3242" t="s">
        <v>6825</v>
      </c>
    </row>
    <row r="3243" spans="1:17" x14ac:dyDescent="0.3">
      <c r="A3243" t="s">
        <v>4664</v>
      </c>
      <c r="B3243" t="str">
        <f>"002561"</f>
        <v>002561</v>
      </c>
      <c r="C3243" t="s">
        <v>6826</v>
      </c>
      <c r="D3243" t="s">
        <v>633</v>
      </c>
      <c r="F3243">
        <v>1276684907</v>
      </c>
      <c r="G3243">
        <v>1097097124</v>
      </c>
      <c r="H3243">
        <v>1603735106</v>
      </c>
      <c r="I3243">
        <v>1723883018</v>
      </c>
      <c r="J3243">
        <v>1713912173</v>
      </c>
      <c r="K3243">
        <v>1719251555</v>
      </c>
      <c r="L3243">
        <v>1670470505</v>
      </c>
      <c r="M3243">
        <v>1709501396</v>
      </c>
      <c r="N3243">
        <v>1731018279</v>
      </c>
      <c r="O3243">
        <v>1740648868</v>
      </c>
      <c r="P3243">
        <v>183</v>
      </c>
      <c r="Q3243" t="s">
        <v>6827</v>
      </c>
    </row>
    <row r="3244" spans="1:17" x14ac:dyDescent="0.3">
      <c r="A3244" t="s">
        <v>4664</v>
      </c>
      <c r="B3244" t="str">
        <f>"002562"</f>
        <v>002562</v>
      </c>
      <c r="C3244" t="s">
        <v>6828</v>
      </c>
      <c r="D3244" t="s">
        <v>677</v>
      </c>
      <c r="F3244">
        <v>1517878792</v>
      </c>
      <c r="G3244">
        <v>1281499288</v>
      </c>
      <c r="H3244">
        <v>775453887</v>
      </c>
      <c r="I3244">
        <v>973767395</v>
      </c>
      <c r="J3244">
        <v>842849718</v>
      </c>
      <c r="K3244">
        <v>781742859</v>
      </c>
      <c r="L3244">
        <v>688086161</v>
      </c>
      <c r="M3244">
        <v>657477124</v>
      </c>
      <c r="N3244">
        <v>634466277</v>
      </c>
      <c r="O3244">
        <v>637685835</v>
      </c>
      <c r="P3244">
        <v>260</v>
      </c>
      <c r="Q3244" t="s">
        <v>6829</v>
      </c>
    </row>
    <row r="3245" spans="1:17" x14ac:dyDescent="0.3">
      <c r="A3245" t="s">
        <v>4664</v>
      </c>
      <c r="B3245" t="str">
        <f>"002563"</f>
        <v>002563</v>
      </c>
      <c r="C3245" t="s">
        <v>6830</v>
      </c>
      <c r="D3245" t="s">
        <v>255</v>
      </c>
      <c r="F3245">
        <v>10513572259</v>
      </c>
      <c r="G3245">
        <v>10048687575</v>
      </c>
      <c r="H3245">
        <v>13907750059</v>
      </c>
      <c r="I3245">
        <v>10785706741</v>
      </c>
      <c r="J3245">
        <v>8451105260</v>
      </c>
      <c r="K3245">
        <v>7236478832</v>
      </c>
      <c r="L3245">
        <v>6981587787</v>
      </c>
      <c r="M3245">
        <v>6013756769</v>
      </c>
      <c r="N3245">
        <v>5854831661</v>
      </c>
      <c r="O3245">
        <v>5586948293</v>
      </c>
      <c r="P3245">
        <v>904</v>
      </c>
      <c r="Q3245" t="s">
        <v>6831</v>
      </c>
    </row>
    <row r="3246" spans="1:17" x14ac:dyDescent="0.3">
      <c r="A3246" t="s">
        <v>4664</v>
      </c>
      <c r="B3246" t="str">
        <f>"002564"</f>
        <v>002564</v>
      </c>
      <c r="C3246" t="s">
        <v>6832</v>
      </c>
      <c r="D3246" t="s">
        <v>395</v>
      </c>
      <c r="F3246">
        <v>3513478387</v>
      </c>
      <c r="G3246">
        <v>6256558329</v>
      </c>
      <c r="H3246">
        <v>5790400181</v>
      </c>
      <c r="I3246">
        <v>5287947963</v>
      </c>
      <c r="J3246">
        <v>8037492138</v>
      </c>
      <c r="K3246">
        <v>1156853171</v>
      </c>
      <c r="L3246">
        <v>1478244548</v>
      </c>
      <c r="M3246">
        <v>1466721265</v>
      </c>
      <c r="N3246">
        <v>1156357464</v>
      </c>
      <c r="O3246">
        <v>1152510745</v>
      </c>
      <c r="P3246">
        <v>130</v>
      </c>
      <c r="Q3246" t="s">
        <v>6833</v>
      </c>
    </row>
    <row r="3247" spans="1:17" x14ac:dyDescent="0.3">
      <c r="A3247" t="s">
        <v>4664</v>
      </c>
      <c r="B3247" t="str">
        <f>"002565"</f>
        <v>002565</v>
      </c>
      <c r="C3247" t="s">
        <v>6834</v>
      </c>
      <c r="D3247" t="s">
        <v>2156</v>
      </c>
      <c r="F3247">
        <v>1277771521</v>
      </c>
      <c r="G3247">
        <v>1255198459</v>
      </c>
      <c r="H3247">
        <v>1252058559</v>
      </c>
      <c r="I3247">
        <v>1413334982</v>
      </c>
      <c r="J3247">
        <v>1149210324</v>
      </c>
      <c r="K3247">
        <v>1077634776</v>
      </c>
      <c r="L3247">
        <v>1149944893</v>
      </c>
      <c r="M3247">
        <v>1465810507</v>
      </c>
      <c r="N3247">
        <v>1156487709</v>
      </c>
      <c r="O3247">
        <v>930651850</v>
      </c>
      <c r="P3247">
        <v>107</v>
      </c>
      <c r="Q3247" t="s">
        <v>6835</v>
      </c>
    </row>
    <row r="3248" spans="1:17" x14ac:dyDescent="0.3">
      <c r="A3248" t="s">
        <v>4664</v>
      </c>
      <c r="B3248" t="str">
        <f>"002566"</f>
        <v>002566</v>
      </c>
      <c r="C3248" t="s">
        <v>6836</v>
      </c>
      <c r="D3248" t="s">
        <v>188</v>
      </c>
      <c r="F3248">
        <v>769868721</v>
      </c>
      <c r="G3248">
        <v>664777037</v>
      </c>
      <c r="H3248">
        <v>841840854</v>
      </c>
      <c r="I3248">
        <v>838704255</v>
      </c>
      <c r="J3248">
        <v>907327937</v>
      </c>
      <c r="K3248">
        <v>794579689</v>
      </c>
      <c r="L3248">
        <v>718936958</v>
      </c>
      <c r="M3248">
        <v>645170160</v>
      </c>
      <c r="N3248">
        <v>543431360</v>
      </c>
      <c r="O3248">
        <v>508640098</v>
      </c>
      <c r="P3248">
        <v>134</v>
      </c>
      <c r="Q3248" t="s">
        <v>6837</v>
      </c>
    </row>
    <row r="3249" spans="1:17" x14ac:dyDescent="0.3">
      <c r="A3249" t="s">
        <v>4664</v>
      </c>
      <c r="B3249" t="str">
        <f>"002567"</f>
        <v>002567</v>
      </c>
      <c r="C3249" t="s">
        <v>6838</v>
      </c>
      <c r="D3249" t="s">
        <v>2859</v>
      </c>
      <c r="F3249">
        <v>18388788629</v>
      </c>
      <c r="G3249">
        <v>13310330149</v>
      </c>
      <c r="H3249">
        <v>11243999914</v>
      </c>
      <c r="I3249">
        <v>10928214600</v>
      </c>
      <c r="J3249">
        <v>10148083765</v>
      </c>
      <c r="K3249">
        <v>7889423351</v>
      </c>
      <c r="L3249">
        <v>7266958825</v>
      </c>
      <c r="M3249">
        <v>7657343824</v>
      </c>
      <c r="N3249">
        <v>5201515564</v>
      </c>
      <c r="O3249">
        <v>4944139446</v>
      </c>
      <c r="P3249">
        <v>451</v>
      </c>
      <c r="Q3249" t="s">
        <v>6839</v>
      </c>
    </row>
    <row r="3250" spans="1:17" x14ac:dyDescent="0.3">
      <c r="A3250" t="s">
        <v>4664</v>
      </c>
      <c r="B3250" t="str">
        <f>"002568"</f>
        <v>002568</v>
      </c>
      <c r="C3250" t="s">
        <v>6840</v>
      </c>
      <c r="D3250" t="s">
        <v>134</v>
      </c>
      <c r="F3250">
        <v>2354265104</v>
      </c>
      <c r="G3250">
        <v>1623862507</v>
      </c>
      <c r="H3250">
        <v>1331078520</v>
      </c>
      <c r="I3250">
        <v>1159719172</v>
      </c>
      <c r="J3250">
        <v>959590489</v>
      </c>
      <c r="K3250">
        <v>742158130</v>
      </c>
      <c r="L3250">
        <v>2874159172</v>
      </c>
      <c r="M3250">
        <v>127793558</v>
      </c>
      <c r="N3250">
        <v>119031811</v>
      </c>
      <c r="O3250">
        <v>142267016</v>
      </c>
      <c r="P3250">
        <v>1074</v>
      </c>
      <c r="Q3250" t="s">
        <v>6841</v>
      </c>
    </row>
    <row r="3251" spans="1:17" x14ac:dyDescent="0.3">
      <c r="A3251" t="s">
        <v>4664</v>
      </c>
      <c r="B3251" t="str">
        <f>"002569"</f>
        <v>002569</v>
      </c>
      <c r="C3251" t="s">
        <v>6842</v>
      </c>
      <c r="D3251" t="s">
        <v>255</v>
      </c>
      <c r="F3251">
        <v>185285629</v>
      </c>
      <c r="G3251">
        <v>195639625</v>
      </c>
      <c r="H3251">
        <v>271759036</v>
      </c>
      <c r="I3251">
        <v>301910900</v>
      </c>
      <c r="J3251">
        <v>283681134</v>
      </c>
      <c r="K3251">
        <v>241560417</v>
      </c>
      <c r="L3251">
        <v>293465568</v>
      </c>
      <c r="M3251">
        <v>384909569</v>
      </c>
      <c r="N3251">
        <v>419908493</v>
      </c>
      <c r="O3251">
        <v>504320545</v>
      </c>
      <c r="P3251">
        <v>59</v>
      </c>
      <c r="Q3251" t="s">
        <v>6843</v>
      </c>
    </row>
    <row r="3252" spans="1:17" x14ac:dyDescent="0.3">
      <c r="A3252" t="s">
        <v>4664</v>
      </c>
      <c r="B3252" t="str">
        <f>"002570"</f>
        <v>002570</v>
      </c>
      <c r="C3252" t="s">
        <v>6844</v>
      </c>
      <c r="D3252" t="s">
        <v>900</v>
      </c>
      <c r="F3252">
        <v>1540589297</v>
      </c>
      <c r="G3252">
        <v>1985211666</v>
      </c>
      <c r="H3252">
        <v>2187916873</v>
      </c>
      <c r="I3252">
        <v>1948796561</v>
      </c>
      <c r="J3252">
        <v>2130015784</v>
      </c>
      <c r="K3252">
        <v>2252158692</v>
      </c>
      <c r="L3252">
        <v>2385534865</v>
      </c>
      <c r="M3252">
        <v>4110051352</v>
      </c>
      <c r="N3252">
        <v>5207348041</v>
      </c>
      <c r="O3252">
        <v>4106976254</v>
      </c>
      <c r="P3252">
        <v>261</v>
      </c>
      <c r="Q3252" t="s">
        <v>6845</v>
      </c>
    </row>
    <row r="3253" spans="1:17" x14ac:dyDescent="0.3">
      <c r="A3253" t="s">
        <v>4664</v>
      </c>
      <c r="B3253" t="str">
        <f>"002571"</f>
        <v>002571</v>
      </c>
      <c r="C3253" t="s">
        <v>6846</v>
      </c>
      <c r="D3253" t="s">
        <v>2436</v>
      </c>
      <c r="F3253">
        <v>655612504</v>
      </c>
      <c r="G3253">
        <v>562700875</v>
      </c>
      <c r="H3253">
        <v>612823347</v>
      </c>
      <c r="I3253">
        <v>543302636</v>
      </c>
      <c r="J3253">
        <v>599593449</v>
      </c>
      <c r="K3253">
        <v>577427906</v>
      </c>
      <c r="L3253">
        <v>527436469</v>
      </c>
      <c r="M3253">
        <v>568397700</v>
      </c>
      <c r="N3253">
        <v>456022547</v>
      </c>
      <c r="O3253">
        <v>493869542</v>
      </c>
      <c r="P3253">
        <v>92</v>
      </c>
      <c r="Q3253" t="s">
        <v>6847</v>
      </c>
    </row>
    <row r="3254" spans="1:17" x14ac:dyDescent="0.3">
      <c r="A3254" t="s">
        <v>4664</v>
      </c>
      <c r="B3254" t="str">
        <f>"002572"</f>
        <v>002572</v>
      </c>
      <c r="C3254" t="s">
        <v>6848</v>
      </c>
      <c r="D3254" t="s">
        <v>2647</v>
      </c>
      <c r="F3254">
        <v>7842251738</v>
      </c>
      <c r="G3254">
        <v>5475760930</v>
      </c>
      <c r="H3254">
        <v>5667985772</v>
      </c>
      <c r="I3254">
        <v>5499423927</v>
      </c>
      <c r="J3254">
        <v>4939301133</v>
      </c>
      <c r="K3254">
        <v>3684109433</v>
      </c>
      <c r="L3254">
        <v>2496608420</v>
      </c>
      <c r="M3254">
        <v>1801443552</v>
      </c>
      <c r="N3254">
        <v>1334631998</v>
      </c>
      <c r="O3254">
        <v>897820310</v>
      </c>
      <c r="P3254">
        <v>9141</v>
      </c>
      <c r="Q3254" t="s">
        <v>6849</v>
      </c>
    </row>
    <row r="3255" spans="1:17" x14ac:dyDescent="0.3">
      <c r="A3255" t="s">
        <v>4664</v>
      </c>
      <c r="B3255" t="str">
        <f>"002573"</f>
        <v>002573</v>
      </c>
      <c r="C3255" t="s">
        <v>6850</v>
      </c>
      <c r="D3255" t="s">
        <v>663</v>
      </c>
      <c r="F3255">
        <v>2750750166</v>
      </c>
      <c r="G3255">
        <v>1754056263</v>
      </c>
      <c r="H3255">
        <v>2270821368</v>
      </c>
      <c r="I3255">
        <v>2866701419</v>
      </c>
      <c r="J3255">
        <v>2035586083</v>
      </c>
      <c r="K3255">
        <v>1060964460</v>
      </c>
      <c r="L3255">
        <v>767233661</v>
      </c>
      <c r="M3255">
        <v>679125959</v>
      </c>
      <c r="N3255">
        <v>423612146</v>
      </c>
      <c r="O3255">
        <v>410937950</v>
      </c>
      <c r="P3255">
        <v>613</v>
      </c>
      <c r="Q3255" t="s">
        <v>6851</v>
      </c>
    </row>
    <row r="3256" spans="1:17" x14ac:dyDescent="0.3">
      <c r="A3256" t="s">
        <v>4664</v>
      </c>
      <c r="B3256" t="str">
        <f>"002574"</f>
        <v>002574</v>
      </c>
      <c r="C3256" t="s">
        <v>6852</v>
      </c>
      <c r="D3256" t="s">
        <v>1238</v>
      </c>
      <c r="F3256">
        <v>3010181104</v>
      </c>
      <c r="G3256">
        <v>2176625722</v>
      </c>
      <c r="H3256">
        <v>3116247281</v>
      </c>
      <c r="I3256">
        <v>3636659565</v>
      </c>
      <c r="J3256">
        <v>3237062191</v>
      </c>
      <c r="K3256">
        <v>3190813011</v>
      </c>
      <c r="L3256">
        <v>5092030728</v>
      </c>
      <c r="M3256">
        <v>6274470992</v>
      </c>
      <c r="N3256">
        <v>8746191805</v>
      </c>
      <c r="O3256">
        <v>5754863249</v>
      </c>
      <c r="P3256">
        <v>105</v>
      </c>
      <c r="Q3256" t="s">
        <v>6853</v>
      </c>
    </row>
    <row r="3257" spans="1:17" x14ac:dyDescent="0.3">
      <c r="A3257" t="s">
        <v>4664</v>
      </c>
      <c r="B3257" t="str">
        <f>"002575"</f>
        <v>002575</v>
      </c>
      <c r="C3257" t="s">
        <v>6854</v>
      </c>
      <c r="D3257" t="s">
        <v>2904</v>
      </c>
      <c r="F3257">
        <v>34190803</v>
      </c>
      <c r="G3257">
        <v>22515221</v>
      </c>
      <c r="H3257">
        <v>8874875</v>
      </c>
      <c r="I3257">
        <v>23333602</v>
      </c>
      <c r="J3257">
        <v>66593437</v>
      </c>
      <c r="K3257">
        <v>255542388</v>
      </c>
      <c r="L3257">
        <v>210165994</v>
      </c>
      <c r="M3257">
        <v>280507253</v>
      </c>
      <c r="N3257">
        <v>391944254</v>
      </c>
      <c r="O3257">
        <v>405840792</v>
      </c>
      <c r="P3257">
        <v>57</v>
      </c>
      <c r="Q3257" t="s">
        <v>6855</v>
      </c>
    </row>
    <row r="3258" spans="1:17" x14ac:dyDescent="0.3">
      <c r="A3258" t="s">
        <v>4664</v>
      </c>
      <c r="B3258" t="str">
        <f>"002576"</f>
        <v>002576</v>
      </c>
      <c r="C3258" t="s">
        <v>6856</v>
      </c>
      <c r="D3258" t="s">
        <v>1171</v>
      </c>
      <c r="F3258">
        <v>1022914911</v>
      </c>
      <c r="G3258">
        <v>809619052</v>
      </c>
      <c r="H3258">
        <v>869313093</v>
      </c>
      <c r="I3258">
        <v>594990925</v>
      </c>
      <c r="J3258">
        <v>647276122</v>
      </c>
      <c r="K3258">
        <v>601682130</v>
      </c>
      <c r="L3258">
        <v>828459431</v>
      </c>
      <c r="M3258">
        <v>827467728</v>
      </c>
      <c r="N3258">
        <v>661137036</v>
      </c>
      <c r="O3258">
        <v>583685333</v>
      </c>
      <c r="P3258">
        <v>123</v>
      </c>
      <c r="Q3258" t="s">
        <v>6857</v>
      </c>
    </row>
    <row r="3259" spans="1:17" x14ac:dyDescent="0.3">
      <c r="A3259" t="s">
        <v>4664</v>
      </c>
      <c r="B3259" t="str">
        <f>"002577"</f>
        <v>002577</v>
      </c>
      <c r="C3259" t="s">
        <v>6858</v>
      </c>
      <c r="D3259" t="s">
        <v>236</v>
      </c>
      <c r="F3259">
        <v>383394603</v>
      </c>
      <c r="G3259">
        <v>306197883</v>
      </c>
      <c r="H3259">
        <v>366977129</v>
      </c>
      <c r="I3259">
        <v>392747827</v>
      </c>
      <c r="J3259">
        <v>409924278</v>
      </c>
      <c r="K3259">
        <v>411193007</v>
      </c>
      <c r="L3259">
        <v>320386287</v>
      </c>
      <c r="M3259">
        <v>400925001</v>
      </c>
      <c r="N3259">
        <v>348785324</v>
      </c>
      <c r="O3259">
        <v>388835749</v>
      </c>
      <c r="P3259">
        <v>83</v>
      </c>
      <c r="Q3259" t="s">
        <v>6859</v>
      </c>
    </row>
    <row r="3260" spans="1:17" x14ac:dyDescent="0.3">
      <c r="A3260" t="s">
        <v>4664</v>
      </c>
      <c r="B3260" t="str">
        <f>"002578"</f>
        <v>002578</v>
      </c>
      <c r="C3260" t="s">
        <v>6860</v>
      </c>
      <c r="D3260" t="s">
        <v>504</v>
      </c>
      <c r="F3260">
        <v>1407159296</v>
      </c>
      <c r="G3260">
        <v>1188297588</v>
      </c>
      <c r="H3260">
        <v>1117263998</v>
      </c>
      <c r="I3260">
        <v>978568405</v>
      </c>
      <c r="J3260">
        <v>836935654</v>
      </c>
      <c r="K3260">
        <v>750585946</v>
      </c>
      <c r="L3260">
        <v>932254338</v>
      </c>
      <c r="M3260">
        <v>957489035</v>
      </c>
      <c r="N3260">
        <v>994731720</v>
      </c>
      <c r="O3260">
        <v>907113482</v>
      </c>
      <c r="P3260">
        <v>91</v>
      </c>
      <c r="Q3260" t="s">
        <v>6861</v>
      </c>
    </row>
    <row r="3261" spans="1:17" x14ac:dyDescent="0.3">
      <c r="A3261" t="s">
        <v>4664</v>
      </c>
      <c r="B3261" t="str">
        <f>"002579"</f>
        <v>002579</v>
      </c>
      <c r="C3261" t="s">
        <v>6862</v>
      </c>
      <c r="D3261" t="s">
        <v>425</v>
      </c>
      <c r="F3261">
        <v>1902755233</v>
      </c>
      <c r="G3261">
        <v>1556298296</v>
      </c>
      <c r="H3261">
        <v>1338753662</v>
      </c>
      <c r="I3261">
        <v>957289190</v>
      </c>
      <c r="J3261">
        <v>671481693</v>
      </c>
      <c r="K3261">
        <v>487249211</v>
      </c>
      <c r="L3261">
        <v>410345092</v>
      </c>
      <c r="M3261">
        <v>323839568</v>
      </c>
      <c r="N3261">
        <v>305897800</v>
      </c>
      <c r="O3261">
        <v>269387169</v>
      </c>
      <c r="P3261">
        <v>279</v>
      </c>
      <c r="Q3261" t="s">
        <v>6863</v>
      </c>
    </row>
    <row r="3262" spans="1:17" x14ac:dyDescent="0.3">
      <c r="A3262" t="s">
        <v>4664</v>
      </c>
      <c r="B3262" t="str">
        <f>"002580"</f>
        <v>002580</v>
      </c>
      <c r="C3262" t="s">
        <v>6864</v>
      </c>
      <c r="D3262" t="s">
        <v>555</v>
      </c>
      <c r="F3262">
        <v>1378712747</v>
      </c>
      <c r="G3262">
        <v>1181692152</v>
      </c>
      <c r="H3262">
        <v>1322740636</v>
      </c>
      <c r="I3262">
        <v>1267537679</v>
      </c>
      <c r="J3262">
        <v>1107851058</v>
      </c>
      <c r="K3262">
        <v>953930568</v>
      </c>
      <c r="L3262">
        <v>888322123</v>
      </c>
      <c r="M3262">
        <v>760052661</v>
      </c>
      <c r="N3262">
        <v>679741170</v>
      </c>
      <c r="O3262">
        <v>744819177</v>
      </c>
      <c r="P3262">
        <v>114</v>
      </c>
      <c r="Q3262" t="s">
        <v>6865</v>
      </c>
    </row>
    <row r="3263" spans="1:17" x14ac:dyDescent="0.3">
      <c r="A3263" t="s">
        <v>4664</v>
      </c>
      <c r="B3263" t="str">
        <f>"002581"</f>
        <v>002581</v>
      </c>
      <c r="C3263" t="s">
        <v>6866</v>
      </c>
      <c r="D3263" t="s">
        <v>1379</v>
      </c>
      <c r="F3263">
        <v>349798702</v>
      </c>
      <c r="G3263">
        <v>308450931</v>
      </c>
      <c r="H3263">
        <v>484278737</v>
      </c>
      <c r="I3263">
        <v>612136619</v>
      </c>
      <c r="J3263">
        <v>779025686</v>
      </c>
      <c r="K3263">
        <v>800417451</v>
      </c>
      <c r="L3263">
        <v>430170178</v>
      </c>
      <c r="M3263">
        <v>239475704</v>
      </c>
      <c r="N3263">
        <v>202393221</v>
      </c>
      <c r="O3263">
        <v>188672460</v>
      </c>
      <c r="P3263">
        <v>228</v>
      </c>
      <c r="Q3263" t="s">
        <v>6867</v>
      </c>
    </row>
    <row r="3264" spans="1:17" x14ac:dyDescent="0.3">
      <c r="A3264" t="s">
        <v>4664</v>
      </c>
      <c r="B3264" t="str">
        <f>"002582"</f>
        <v>002582</v>
      </c>
      <c r="C3264" t="s">
        <v>6868</v>
      </c>
      <c r="D3264" t="s">
        <v>3167</v>
      </c>
      <c r="F3264">
        <v>797357302</v>
      </c>
      <c r="G3264">
        <v>3117359753</v>
      </c>
      <c r="H3264">
        <v>4683584464</v>
      </c>
      <c r="I3264">
        <v>4086206482</v>
      </c>
      <c r="J3264">
        <v>3306753813</v>
      </c>
      <c r="K3264">
        <v>1055246064</v>
      </c>
      <c r="L3264">
        <v>856454233</v>
      </c>
      <c r="M3264">
        <v>757940046</v>
      </c>
      <c r="N3264">
        <v>687219035</v>
      </c>
      <c r="O3264">
        <v>647071086</v>
      </c>
      <c r="P3264">
        <v>439</v>
      </c>
      <c r="Q3264" t="s">
        <v>6869</v>
      </c>
    </row>
    <row r="3265" spans="1:17" x14ac:dyDescent="0.3">
      <c r="A3265" t="s">
        <v>4664</v>
      </c>
      <c r="B3265" t="str">
        <f>"002583"</f>
        <v>002583</v>
      </c>
      <c r="C3265" t="s">
        <v>6870</v>
      </c>
      <c r="D3265" t="s">
        <v>1019</v>
      </c>
      <c r="F3265">
        <v>4170630178</v>
      </c>
      <c r="G3265">
        <v>4814584708</v>
      </c>
      <c r="H3265">
        <v>4916175798</v>
      </c>
      <c r="I3265">
        <v>4076520426</v>
      </c>
      <c r="J3265">
        <v>2689750405</v>
      </c>
      <c r="K3265">
        <v>1834245011</v>
      </c>
      <c r="L3265">
        <v>1377204776</v>
      </c>
      <c r="M3265">
        <v>1160110799</v>
      </c>
      <c r="N3265">
        <v>898657441</v>
      </c>
      <c r="O3265">
        <v>728648849</v>
      </c>
      <c r="P3265">
        <v>397</v>
      </c>
      <c r="Q3265" t="s">
        <v>6871</v>
      </c>
    </row>
    <row r="3266" spans="1:17" x14ac:dyDescent="0.3">
      <c r="A3266" t="s">
        <v>4664</v>
      </c>
      <c r="B3266" t="str">
        <f>"002584"</f>
        <v>002584</v>
      </c>
      <c r="C3266" t="s">
        <v>6872</v>
      </c>
      <c r="D3266" t="s">
        <v>2399</v>
      </c>
      <c r="F3266">
        <v>4877986420</v>
      </c>
      <c r="G3266">
        <v>3978625550</v>
      </c>
      <c r="H3266">
        <v>2635099411</v>
      </c>
      <c r="I3266">
        <v>2632761704</v>
      </c>
      <c r="J3266">
        <v>2358462109</v>
      </c>
      <c r="K3266">
        <v>1801620250</v>
      </c>
      <c r="L3266">
        <v>1660627442</v>
      </c>
      <c r="M3266">
        <v>1589605423</v>
      </c>
      <c r="N3266">
        <v>1857010167</v>
      </c>
      <c r="O3266">
        <v>1248395121</v>
      </c>
      <c r="P3266">
        <v>119</v>
      </c>
      <c r="Q3266" t="s">
        <v>6873</v>
      </c>
    </row>
    <row r="3267" spans="1:17" x14ac:dyDescent="0.3">
      <c r="A3267" t="s">
        <v>4664</v>
      </c>
      <c r="B3267" t="str">
        <f>"002585"</f>
        <v>002585</v>
      </c>
      <c r="C3267" t="s">
        <v>6874</v>
      </c>
      <c r="D3267" t="s">
        <v>324</v>
      </c>
      <c r="F3267">
        <v>4530795536</v>
      </c>
      <c r="G3267">
        <v>4041540732</v>
      </c>
      <c r="H3267">
        <v>3499859992</v>
      </c>
      <c r="I3267">
        <v>3332394258</v>
      </c>
      <c r="J3267">
        <v>2139274638</v>
      </c>
      <c r="K3267">
        <v>1857721642</v>
      </c>
      <c r="L3267">
        <v>1514936406</v>
      </c>
      <c r="M3267">
        <v>1916422545</v>
      </c>
      <c r="N3267">
        <v>1861742697</v>
      </c>
      <c r="O3267">
        <v>1820179360</v>
      </c>
      <c r="P3267">
        <v>382</v>
      </c>
      <c r="Q3267" t="s">
        <v>6875</v>
      </c>
    </row>
    <row r="3268" spans="1:17" x14ac:dyDescent="0.3">
      <c r="A3268" t="s">
        <v>4664</v>
      </c>
      <c r="B3268" t="str">
        <f>"002586"</f>
        <v>002586</v>
      </c>
      <c r="C3268" t="s">
        <v>6876</v>
      </c>
      <c r="D3268" t="s">
        <v>101</v>
      </c>
      <c r="F3268">
        <v>1499134362</v>
      </c>
      <c r="G3268">
        <v>1618319801</v>
      </c>
      <c r="H3268">
        <v>2124052222</v>
      </c>
      <c r="I3268">
        <v>1956048542</v>
      </c>
      <c r="J3268">
        <v>1259788410</v>
      </c>
      <c r="K3268">
        <v>993243591</v>
      </c>
      <c r="L3268">
        <v>889182051</v>
      </c>
      <c r="M3268">
        <v>972845063</v>
      </c>
      <c r="N3268">
        <v>728533772</v>
      </c>
      <c r="O3268">
        <v>931290217</v>
      </c>
      <c r="P3268">
        <v>62</v>
      </c>
      <c r="Q3268" t="s">
        <v>6877</v>
      </c>
    </row>
    <row r="3269" spans="1:17" x14ac:dyDescent="0.3">
      <c r="A3269" t="s">
        <v>4664</v>
      </c>
      <c r="B3269" t="str">
        <f>"002587"</f>
        <v>002587</v>
      </c>
      <c r="C3269" t="s">
        <v>6878</v>
      </c>
      <c r="D3269" t="s">
        <v>803</v>
      </c>
      <c r="F3269">
        <v>651136622</v>
      </c>
      <c r="G3269">
        <v>638573542</v>
      </c>
      <c r="H3269">
        <v>675847010</v>
      </c>
      <c r="I3269">
        <v>755165185</v>
      </c>
      <c r="J3269">
        <v>554559978</v>
      </c>
      <c r="K3269">
        <v>229348611</v>
      </c>
      <c r="L3269">
        <v>171445821</v>
      </c>
      <c r="M3269">
        <v>213687674</v>
      </c>
      <c r="N3269">
        <v>185865391</v>
      </c>
      <c r="O3269">
        <v>199184311</v>
      </c>
      <c r="P3269">
        <v>142</v>
      </c>
      <c r="Q3269" t="s">
        <v>6879</v>
      </c>
    </row>
    <row r="3270" spans="1:17" x14ac:dyDescent="0.3">
      <c r="A3270" t="s">
        <v>4664</v>
      </c>
      <c r="B3270" t="str">
        <f>"002588"</f>
        <v>002588</v>
      </c>
      <c r="C3270" t="s">
        <v>6880</v>
      </c>
      <c r="D3270" t="s">
        <v>5489</v>
      </c>
      <c r="F3270">
        <v>5675017087</v>
      </c>
      <c r="G3270">
        <v>5330640100</v>
      </c>
      <c r="H3270">
        <v>4868965730</v>
      </c>
      <c r="I3270">
        <v>4632741394</v>
      </c>
      <c r="J3270">
        <v>4198768361</v>
      </c>
      <c r="K3270">
        <v>5644918924</v>
      </c>
      <c r="L3270">
        <v>5338142921</v>
      </c>
      <c r="M3270">
        <v>4231407186</v>
      </c>
      <c r="N3270">
        <v>4063822859</v>
      </c>
      <c r="O3270">
        <v>4084008806</v>
      </c>
      <c r="P3270">
        <v>164</v>
      </c>
      <c r="Q3270" t="s">
        <v>6881</v>
      </c>
    </row>
    <row r="3271" spans="1:17" x14ac:dyDescent="0.3">
      <c r="A3271" t="s">
        <v>4664</v>
      </c>
      <c r="B3271" t="str">
        <f>"002589"</f>
        <v>002589</v>
      </c>
      <c r="C3271" t="s">
        <v>6882</v>
      </c>
      <c r="D3271" t="s">
        <v>125</v>
      </c>
      <c r="F3271">
        <v>19655052069</v>
      </c>
      <c r="G3271">
        <v>22891766546</v>
      </c>
      <c r="H3271">
        <v>22387296629</v>
      </c>
      <c r="I3271">
        <v>23820897985</v>
      </c>
      <c r="J3271">
        <v>17283431334</v>
      </c>
      <c r="K3271">
        <v>11084789322</v>
      </c>
      <c r="L3271">
        <v>7072278923</v>
      </c>
      <c r="M3271">
        <v>5784036595</v>
      </c>
      <c r="N3271">
        <v>4492941874</v>
      </c>
      <c r="O3271">
        <v>3558157788</v>
      </c>
      <c r="P3271">
        <v>460</v>
      </c>
      <c r="Q3271" t="s">
        <v>6883</v>
      </c>
    </row>
    <row r="3272" spans="1:17" x14ac:dyDescent="0.3">
      <c r="A3272" t="s">
        <v>4664</v>
      </c>
      <c r="B3272" t="str">
        <f>"002590"</f>
        <v>002590</v>
      </c>
      <c r="C3272" t="s">
        <v>6884</v>
      </c>
      <c r="D3272" t="s">
        <v>348</v>
      </c>
      <c r="F3272">
        <v>1368489083</v>
      </c>
      <c r="G3272">
        <v>1079779785</v>
      </c>
      <c r="H3272">
        <v>1090439969</v>
      </c>
      <c r="I3272">
        <v>1174297263</v>
      </c>
      <c r="J3272">
        <v>1177414543</v>
      </c>
      <c r="K3272">
        <v>850022166</v>
      </c>
      <c r="L3272">
        <v>764692001</v>
      </c>
      <c r="M3272">
        <v>727907556</v>
      </c>
      <c r="N3272">
        <v>595091479</v>
      </c>
      <c r="O3272">
        <v>489797776</v>
      </c>
      <c r="P3272">
        <v>119</v>
      </c>
      <c r="Q3272" t="s">
        <v>6885</v>
      </c>
    </row>
    <row r="3273" spans="1:17" x14ac:dyDescent="0.3">
      <c r="A3273" t="s">
        <v>4664</v>
      </c>
      <c r="B3273" t="str">
        <f>"002591"</f>
        <v>002591</v>
      </c>
      <c r="C3273" t="s">
        <v>6886</v>
      </c>
      <c r="D3273" t="s">
        <v>207</v>
      </c>
      <c r="F3273">
        <v>627350164</v>
      </c>
      <c r="G3273">
        <v>415097074</v>
      </c>
      <c r="H3273">
        <v>418009436</v>
      </c>
      <c r="I3273">
        <v>182430999</v>
      </c>
      <c r="J3273">
        <v>169106918</v>
      </c>
      <c r="K3273">
        <v>104733839</v>
      </c>
      <c r="L3273">
        <v>155170610</v>
      </c>
      <c r="M3273">
        <v>139107640</v>
      </c>
      <c r="N3273">
        <v>128856519</v>
      </c>
      <c r="O3273">
        <v>149686565</v>
      </c>
      <c r="P3273">
        <v>113</v>
      </c>
      <c r="Q3273" t="s">
        <v>6887</v>
      </c>
    </row>
    <row r="3274" spans="1:17" x14ac:dyDescent="0.3">
      <c r="A3274" t="s">
        <v>4664</v>
      </c>
      <c r="B3274" t="str">
        <f>"002592"</f>
        <v>002592</v>
      </c>
      <c r="C3274" t="s">
        <v>6888</v>
      </c>
      <c r="D3274" t="s">
        <v>348</v>
      </c>
      <c r="F3274">
        <v>325906274</v>
      </c>
      <c r="G3274">
        <v>294444054</v>
      </c>
      <c r="H3274">
        <v>316387830</v>
      </c>
      <c r="I3274">
        <v>354603236</v>
      </c>
      <c r="J3274">
        <v>369541211</v>
      </c>
      <c r="K3274">
        <v>316249597</v>
      </c>
      <c r="L3274">
        <v>278916935</v>
      </c>
      <c r="M3274">
        <v>350392405</v>
      </c>
      <c r="N3274">
        <v>322605169</v>
      </c>
      <c r="O3274">
        <v>242380928</v>
      </c>
      <c r="P3274">
        <v>76</v>
      </c>
      <c r="Q3274" t="s">
        <v>6889</v>
      </c>
    </row>
    <row r="3275" spans="1:17" x14ac:dyDescent="0.3">
      <c r="A3275" t="s">
        <v>4664</v>
      </c>
      <c r="B3275" t="str">
        <f>"002593"</f>
        <v>002593</v>
      </c>
      <c r="C3275" t="s">
        <v>6890</v>
      </c>
      <c r="D3275" t="s">
        <v>978</v>
      </c>
      <c r="F3275">
        <v>2536355435</v>
      </c>
      <c r="G3275">
        <v>1966424900</v>
      </c>
      <c r="H3275">
        <v>1893938834</v>
      </c>
      <c r="I3275">
        <v>2007574616</v>
      </c>
      <c r="J3275">
        <v>1309182185</v>
      </c>
      <c r="K3275">
        <v>1011329844</v>
      </c>
      <c r="L3275">
        <v>915106998</v>
      </c>
      <c r="M3275">
        <v>1049767253</v>
      </c>
      <c r="N3275">
        <v>896266819</v>
      </c>
      <c r="O3275">
        <v>866529712</v>
      </c>
      <c r="P3275">
        <v>88</v>
      </c>
      <c r="Q3275" t="s">
        <v>6891</v>
      </c>
    </row>
    <row r="3276" spans="1:17" x14ac:dyDescent="0.3">
      <c r="A3276" t="s">
        <v>4664</v>
      </c>
      <c r="B3276" t="str">
        <f>"002594"</f>
        <v>002594</v>
      </c>
      <c r="C3276" t="s">
        <v>6892</v>
      </c>
      <c r="D3276" t="s">
        <v>6893</v>
      </c>
      <c r="F3276">
        <v>129994762000</v>
      </c>
      <c r="G3276">
        <v>94936925000</v>
      </c>
      <c r="H3276">
        <v>77347304000</v>
      </c>
      <c r="I3276">
        <v>75025602000</v>
      </c>
      <c r="J3276">
        <v>66867542000</v>
      </c>
      <c r="K3276">
        <v>66846239000</v>
      </c>
      <c r="L3276">
        <v>52458430000</v>
      </c>
      <c r="M3276">
        <v>40433378000</v>
      </c>
      <c r="N3276">
        <v>41046069000</v>
      </c>
      <c r="O3276">
        <v>38546989000</v>
      </c>
      <c r="P3276">
        <v>5218</v>
      </c>
      <c r="Q3276" t="s">
        <v>6894</v>
      </c>
    </row>
    <row r="3277" spans="1:17" x14ac:dyDescent="0.3">
      <c r="A3277" t="s">
        <v>4664</v>
      </c>
      <c r="B3277" t="str">
        <f>"002595"</f>
        <v>002595</v>
      </c>
      <c r="C3277" t="s">
        <v>6895</v>
      </c>
      <c r="D3277" t="s">
        <v>741</v>
      </c>
      <c r="F3277">
        <v>2756486787</v>
      </c>
      <c r="G3277">
        <v>2578904428</v>
      </c>
      <c r="H3277">
        <v>2162019568</v>
      </c>
      <c r="I3277">
        <v>2134347261</v>
      </c>
      <c r="J3277">
        <v>1924354018</v>
      </c>
      <c r="K3277">
        <v>1882519354</v>
      </c>
      <c r="L3277">
        <v>1479208016</v>
      </c>
      <c r="M3277">
        <v>1060804834</v>
      </c>
      <c r="N3277">
        <v>645720706</v>
      </c>
      <c r="O3277">
        <v>453914907</v>
      </c>
      <c r="P3277">
        <v>4171</v>
      </c>
      <c r="Q3277" t="s">
        <v>6896</v>
      </c>
    </row>
    <row r="3278" spans="1:17" x14ac:dyDescent="0.3">
      <c r="A3278" t="s">
        <v>4664</v>
      </c>
      <c r="B3278" t="str">
        <f>"002596"</f>
        <v>002596</v>
      </c>
      <c r="C3278" t="s">
        <v>6897</v>
      </c>
      <c r="D3278" t="s">
        <v>3071</v>
      </c>
      <c r="F3278">
        <v>1705496773</v>
      </c>
      <c r="G3278">
        <v>1747256496</v>
      </c>
      <c r="H3278">
        <v>1973101810</v>
      </c>
      <c r="I3278">
        <v>1926545649</v>
      </c>
      <c r="J3278">
        <v>1497527770</v>
      </c>
      <c r="K3278">
        <v>998138554</v>
      </c>
      <c r="L3278">
        <v>800673995</v>
      </c>
      <c r="M3278">
        <v>703080647</v>
      </c>
      <c r="N3278">
        <v>723506849</v>
      </c>
      <c r="O3278">
        <v>602853104</v>
      </c>
      <c r="P3278">
        <v>100</v>
      </c>
      <c r="Q3278" t="s">
        <v>6898</v>
      </c>
    </row>
    <row r="3279" spans="1:17" x14ac:dyDescent="0.3">
      <c r="A3279" t="s">
        <v>4664</v>
      </c>
      <c r="B3279" t="str">
        <f>"002597"</f>
        <v>002597</v>
      </c>
      <c r="C3279" t="s">
        <v>6899</v>
      </c>
      <c r="D3279" t="s">
        <v>677</v>
      </c>
      <c r="F3279">
        <v>4038607720</v>
      </c>
      <c r="G3279">
        <v>2665925928</v>
      </c>
      <c r="H3279">
        <v>3160382803</v>
      </c>
      <c r="I3279">
        <v>3698684092</v>
      </c>
      <c r="J3279">
        <v>3361506497</v>
      </c>
      <c r="K3279">
        <v>2834710636</v>
      </c>
      <c r="L3279">
        <v>2544268319</v>
      </c>
      <c r="M3279">
        <v>2772083601</v>
      </c>
      <c r="N3279">
        <v>2575996599</v>
      </c>
      <c r="O3279">
        <v>2261811019</v>
      </c>
      <c r="P3279">
        <v>1878</v>
      </c>
      <c r="Q3279" t="s">
        <v>6900</v>
      </c>
    </row>
    <row r="3280" spans="1:17" x14ac:dyDescent="0.3">
      <c r="A3280" t="s">
        <v>4664</v>
      </c>
      <c r="B3280" t="str">
        <f>"002598"</f>
        <v>002598</v>
      </c>
      <c r="C3280" t="s">
        <v>6901</v>
      </c>
      <c r="D3280" t="s">
        <v>560</v>
      </c>
      <c r="F3280">
        <v>1210091358</v>
      </c>
      <c r="G3280">
        <v>888450959</v>
      </c>
      <c r="H3280">
        <v>903949612</v>
      </c>
      <c r="I3280">
        <v>731713417</v>
      </c>
      <c r="J3280">
        <v>573792830</v>
      </c>
      <c r="K3280">
        <v>387917380</v>
      </c>
      <c r="L3280">
        <v>372182661</v>
      </c>
      <c r="M3280">
        <v>472250010</v>
      </c>
      <c r="N3280">
        <v>478278617</v>
      </c>
      <c r="O3280">
        <v>513216216</v>
      </c>
      <c r="P3280">
        <v>88</v>
      </c>
      <c r="Q3280" t="s">
        <v>6902</v>
      </c>
    </row>
    <row r="3281" spans="1:17" x14ac:dyDescent="0.3">
      <c r="A3281" t="s">
        <v>4664</v>
      </c>
      <c r="B3281" t="str">
        <f>"002599"</f>
        <v>002599</v>
      </c>
      <c r="C3281" t="s">
        <v>6903</v>
      </c>
      <c r="D3281" t="s">
        <v>1692</v>
      </c>
      <c r="F3281">
        <v>1707415280</v>
      </c>
      <c r="G3281">
        <v>1321012197</v>
      </c>
      <c r="H3281">
        <v>1316194231</v>
      </c>
      <c r="I3281">
        <v>1246002766</v>
      </c>
      <c r="J3281">
        <v>893961540</v>
      </c>
      <c r="K3281">
        <v>604987643</v>
      </c>
      <c r="L3281">
        <v>528984769</v>
      </c>
      <c r="M3281">
        <v>511074267</v>
      </c>
      <c r="N3281">
        <v>450880329</v>
      </c>
      <c r="O3281">
        <v>412128531</v>
      </c>
      <c r="P3281">
        <v>87</v>
      </c>
      <c r="Q3281" t="s">
        <v>6904</v>
      </c>
    </row>
    <row r="3282" spans="1:17" x14ac:dyDescent="0.3">
      <c r="A3282" t="s">
        <v>4664</v>
      </c>
      <c r="B3282" t="str">
        <f>"002600"</f>
        <v>002600</v>
      </c>
      <c r="C3282" t="s">
        <v>6905</v>
      </c>
      <c r="D3282" t="s">
        <v>313</v>
      </c>
      <c r="F3282">
        <v>21325713895</v>
      </c>
      <c r="G3282">
        <v>18612288095</v>
      </c>
      <c r="H3282">
        <v>16766201401</v>
      </c>
      <c r="I3282">
        <v>17859650525</v>
      </c>
      <c r="J3282">
        <v>12764641472</v>
      </c>
      <c r="K3282">
        <v>8256184968</v>
      </c>
      <c r="L3282">
        <v>2955473174</v>
      </c>
      <c r="M3282">
        <v>1434039529</v>
      </c>
      <c r="N3282">
        <v>881964921</v>
      </c>
      <c r="O3282">
        <v>714403648</v>
      </c>
      <c r="P3282">
        <v>877</v>
      </c>
      <c r="Q3282" t="s">
        <v>6906</v>
      </c>
    </row>
    <row r="3283" spans="1:17" x14ac:dyDescent="0.3">
      <c r="A3283" t="s">
        <v>4664</v>
      </c>
      <c r="B3283" t="str">
        <f>"002601"</f>
        <v>002601</v>
      </c>
      <c r="C3283" t="s">
        <v>6907</v>
      </c>
      <c r="D3283" t="s">
        <v>1474</v>
      </c>
      <c r="F3283">
        <v>12574861054</v>
      </c>
      <c r="G3283">
        <v>8775865153</v>
      </c>
      <c r="H3283">
        <v>7648684094</v>
      </c>
      <c r="I3283">
        <v>6308146035</v>
      </c>
      <c r="J3283">
        <v>5567637528</v>
      </c>
      <c r="K3283">
        <v>1571124955</v>
      </c>
      <c r="L3283">
        <v>1369301326</v>
      </c>
      <c r="M3283">
        <v>1165537482</v>
      </c>
      <c r="N3283">
        <v>809600290</v>
      </c>
      <c r="O3283">
        <v>1197428320</v>
      </c>
      <c r="P3283">
        <v>1262</v>
      </c>
      <c r="Q3283" t="s">
        <v>6908</v>
      </c>
    </row>
    <row r="3284" spans="1:17" x14ac:dyDescent="0.3">
      <c r="A3284" t="s">
        <v>4664</v>
      </c>
      <c r="B3284" t="str">
        <f>"002602"</f>
        <v>002602</v>
      </c>
      <c r="C3284" t="s">
        <v>6909</v>
      </c>
      <c r="D3284" t="s">
        <v>517</v>
      </c>
      <c r="F3284">
        <v>10641149730</v>
      </c>
      <c r="G3284">
        <v>10873481414</v>
      </c>
      <c r="H3284">
        <v>0</v>
      </c>
      <c r="I3284">
        <v>4533828465</v>
      </c>
      <c r="J3284">
        <v>2391756723</v>
      </c>
      <c r="K3284">
        <v>2713179330</v>
      </c>
      <c r="L3284">
        <v>2081138987</v>
      </c>
      <c r="M3284">
        <v>1142501774</v>
      </c>
      <c r="N3284">
        <v>901216585</v>
      </c>
      <c r="O3284">
        <v>779349829</v>
      </c>
      <c r="P3284">
        <v>718</v>
      </c>
      <c r="Q3284" t="s">
        <v>6910</v>
      </c>
    </row>
    <row r="3285" spans="1:17" x14ac:dyDescent="0.3">
      <c r="A3285" t="s">
        <v>4664</v>
      </c>
      <c r="B3285" t="str">
        <f>"002603"</f>
        <v>002603</v>
      </c>
      <c r="C3285" t="s">
        <v>6911</v>
      </c>
      <c r="D3285" t="s">
        <v>188</v>
      </c>
      <c r="F3285">
        <v>7208742093</v>
      </c>
      <c r="G3285">
        <v>7001857981</v>
      </c>
      <c r="H3285">
        <v>4197551845</v>
      </c>
      <c r="I3285">
        <v>3520464861</v>
      </c>
      <c r="J3285">
        <v>2852875605</v>
      </c>
      <c r="K3285">
        <v>2485349943</v>
      </c>
      <c r="L3285">
        <v>2116536788</v>
      </c>
      <c r="M3285">
        <v>2102870089</v>
      </c>
      <c r="N3285">
        <v>1846298783</v>
      </c>
      <c r="O3285">
        <v>1280354321</v>
      </c>
      <c r="P3285">
        <v>833</v>
      </c>
      <c r="Q3285" t="s">
        <v>6912</v>
      </c>
    </row>
    <row r="3286" spans="1:17" x14ac:dyDescent="0.3">
      <c r="A3286" t="s">
        <v>4664</v>
      </c>
      <c r="B3286" t="str">
        <f>"002604"</f>
        <v>002604</v>
      </c>
      <c r="C3286" t="s">
        <v>6913</v>
      </c>
      <c r="H3286">
        <v>346710991</v>
      </c>
      <c r="I3286">
        <v>565689181</v>
      </c>
      <c r="J3286">
        <v>1311415657</v>
      </c>
      <c r="K3286">
        <v>782423227</v>
      </c>
      <c r="L3286">
        <v>644689694</v>
      </c>
      <c r="M3286">
        <v>611913733</v>
      </c>
      <c r="N3286">
        <v>731445470</v>
      </c>
      <c r="O3286">
        <v>696913150</v>
      </c>
      <c r="P3286">
        <v>49</v>
      </c>
      <c r="Q3286" t="s">
        <v>6914</v>
      </c>
    </row>
    <row r="3287" spans="1:17" x14ac:dyDescent="0.3">
      <c r="A3287" t="s">
        <v>4664</v>
      </c>
      <c r="B3287" t="str">
        <f>"002605"</f>
        <v>002605</v>
      </c>
      <c r="C3287" t="s">
        <v>6915</v>
      </c>
      <c r="D3287" t="s">
        <v>517</v>
      </c>
      <c r="F3287">
        <v>3045399914</v>
      </c>
      <c r="G3287">
        <v>1771644164</v>
      </c>
      <c r="H3287">
        <v>1313686523</v>
      </c>
      <c r="I3287">
        <v>572614403</v>
      </c>
      <c r="J3287">
        <v>459644760</v>
      </c>
      <c r="K3287">
        <v>579527118</v>
      </c>
      <c r="L3287">
        <v>637050964</v>
      </c>
      <c r="M3287">
        <v>592262765</v>
      </c>
      <c r="N3287">
        <v>608690366</v>
      </c>
      <c r="O3287">
        <v>531574383</v>
      </c>
      <c r="P3287">
        <v>432</v>
      </c>
      <c r="Q3287" t="s">
        <v>6916</v>
      </c>
    </row>
    <row r="3288" spans="1:17" x14ac:dyDescent="0.3">
      <c r="A3288" t="s">
        <v>4664</v>
      </c>
      <c r="B3288" t="str">
        <f>"002606"</f>
        <v>002606</v>
      </c>
      <c r="C3288" t="s">
        <v>6917</v>
      </c>
      <c r="D3288" t="s">
        <v>1164</v>
      </c>
      <c r="F3288">
        <v>750311830</v>
      </c>
      <c r="G3288">
        <v>676519331</v>
      </c>
      <c r="H3288">
        <v>550816958</v>
      </c>
      <c r="I3288">
        <v>464247658</v>
      </c>
      <c r="J3288">
        <v>515285818</v>
      </c>
      <c r="K3288">
        <v>501846084</v>
      </c>
      <c r="L3288">
        <v>482914204</v>
      </c>
      <c r="M3288">
        <v>464937016</v>
      </c>
      <c r="N3288">
        <v>509620362</v>
      </c>
      <c r="O3288">
        <v>455580958</v>
      </c>
      <c r="P3288">
        <v>160</v>
      </c>
      <c r="Q3288" t="s">
        <v>6918</v>
      </c>
    </row>
    <row r="3289" spans="1:17" x14ac:dyDescent="0.3">
      <c r="A3289" t="s">
        <v>4664</v>
      </c>
      <c r="B3289" t="str">
        <f>"002607"</f>
        <v>002607</v>
      </c>
      <c r="C3289" t="s">
        <v>6919</v>
      </c>
      <c r="D3289" t="s">
        <v>1336</v>
      </c>
      <c r="F3289">
        <v>3764009075</v>
      </c>
      <c r="G3289">
        <v>12630977793</v>
      </c>
      <c r="H3289">
        <v>8330180757</v>
      </c>
      <c r="I3289">
        <v>5122051387</v>
      </c>
      <c r="J3289">
        <v>6048201989</v>
      </c>
      <c r="K3289">
        <v>5231646375</v>
      </c>
      <c r="L3289">
        <v>4439132780</v>
      </c>
      <c r="M3289">
        <v>4430769828</v>
      </c>
      <c r="N3289">
        <v>4165924240</v>
      </c>
      <c r="O3289">
        <v>3509542117</v>
      </c>
      <c r="P3289">
        <v>1791</v>
      </c>
      <c r="Q3289" t="s">
        <v>6920</v>
      </c>
    </row>
    <row r="3290" spans="1:17" x14ac:dyDescent="0.3">
      <c r="A3290" t="s">
        <v>4664</v>
      </c>
      <c r="B3290" t="str">
        <f>"002608"</f>
        <v>002608</v>
      </c>
      <c r="C3290" t="s">
        <v>6921</v>
      </c>
      <c r="D3290" t="s">
        <v>41</v>
      </c>
      <c r="F3290">
        <v>20704057543</v>
      </c>
      <c r="G3290">
        <v>15871363511</v>
      </c>
      <c r="H3290">
        <v>17780195447</v>
      </c>
      <c r="I3290">
        <v>17603554745</v>
      </c>
      <c r="J3290">
        <v>17625480116</v>
      </c>
      <c r="K3290">
        <v>149682613</v>
      </c>
      <c r="L3290">
        <v>1425473583</v>
      </c>
      <c r="M3290">
        <v>3006398801</v>
      </c>
      <c r="N3290">
        <v>1694241558</v>
      </c>
      <c r="O3290">
        <v>1286652795</v>
      </c>
      <c r="P3290">
        <v>138</v>
      </c>
      <c r="Q3290" t="s">
        <v>6922</v>
      </c>
    </row>
    <row r="3291" spans="1:17" x14ac:dyDescent="0.3">
      <c r="A3291" t="s">
        <v>4664</v>
      </c>
      <c r="B3291" t="str">
        <f>"002609"</f>
        <v>002609</v>
      </c>
      <c r="C3291" t="s">
        <v>6923</v>
      </c>
      <c r="D3291" t="s">
        <v>316</v>
      </c>
      <c r="F3291">
        <v>1124031247</v>
      </c>
      <c r="G3291">
        <v>800749322</v>
      </c>
      <c r="H3291">
        <v>640388019</v>
      </c>
      <c r="I3291">
        <v>599117398</v>
      </c>
      <c r="J3291">
        <v>488604436</v>
      </c>
      <c r="K3291">
        <v>496824165</v>
      </c>
      <c r="L3291">
        <v>415232827</v>
      </c>
      <c r="M3291">
        <v>405849980</v>
      </c>
      <c r="N3291">
        <v>359659159</v>
      </c>
      <c r="O3291">
        <v>302569865</v>
      </c>
      <c r="P3291">
        <v>212</v>
      </c>
      <c r="Q3291" t="s">
        <v>6924</v>
      </c>
    </row>
    <row r="3292" spans="1:17" x14ac:dyDescent="0.3">
      <c r="A3292" t="s">
        <v>4664</v>
      </c>
      <c r="B3292" t="str">
        <f>"002610"</f>
        <v>002610</v>
      </c>
      <c r="C3292" t="s">
        <v>6925</v>
      </c>
      <c r="D3292" t="s">
        <v>478</v>
      </c>
      <c r="F3292">
        <v>1840915237</v>
      </c>
      <c r="G3292">
        <v>2105094088</v>
      </c>
      <c r="H3292">
        <v>2995025914</v>
      </c>
      <c r="I3292">
        <v>2544982107</v>
      </c>
      <c r="J3292">
        <v>2145144024</v>
      </c>
      <c r="K3292">
        <v>2022809676</v>
      </c>
      <c r="L3292">
        <v>1697337605</v>
      </c>
      <c r="M3292">
        <v>1210881588</v>
      </c>
      <c r="N3292">
        <v>956049880</v>
      </c>
      <c r="O3292">
        <v>948889338</v>
      </c>
      <c r="P3292">
        <v>301</v>
      </c>
      <c r="Q3292" t="s">
        <v>6926</v>
      </c>
    </row>
    <row r="3293" spans="1:17" x14ac:dyDescent="0.3">
      <c r="A3293" t="s">
        <v>4664</v>
      </c>
      <c r="B3293" t="str">
        <f>"002611"</f>
        <v>002611</v>
      </c>
      <c r="C3293" t="s">
        <v>6927</v>
      </c>
      <c r="D3293" t="s">
        <v>3388</v>
      </c>
      <c r="F3293">
        <v>2382779348</v>
      </c>
      <c r="G3293">
        <v>2191344316</v>
      </c>
      <c r="H3293">
        <v>4705143721</v>
      </c>
      <c r="I3293">
        <v>4101516675</v>
      </c>
      <c r="J3293">
        <v>2453281410</v>
      </c>
      <c r="K3293">
        <v>1083151220</v>
      </c>
      <c r="L3293">
        <v>836431096</v>
      </c>
      <c r="M3293">
        <v>716068101</v>
      </c>
      <c r="N3293">
        <v>199596767</v>
      </c>
      <c r="O3293">
        <v>192522017</v>
      </c>
      <c r="P3293">
        <v>208</v>
      </c>
      <c r="Q3293" t="s">
        <v>6928</v>
      </c>
    </row>
    <row r="3294" spans="1:17" x14ac:dyDescent="0.3">
      <c r="A3294" t="s">
        <v>4664</v>
      </c>
      <c r="B3294" t="str">
        <f>"002612"</f>
        <v>002612</v>
      </c>
      <c r="C3294" t="s">
        <v>6929</v>
      </c>
      <c r="D3294" t="s">
        <v>255</v>
      </c>
      <c r="F3294">
        <v>2913798255</v>
      </c>
      <c r="G3294">
        <v>2240655620</v>
      </c>
      <c r="H3294">
        <v>2215538443</v>
      </c>
      <c r="I3294">
        <v>1986864821</v>
      </c>
      <c r="J3294">
        <v>1718712128</v>
      </c>
      <c r="K3294">
        <v>865014188</v>
      </c>
      <c r="L3294">
        <v>1152402089</v>
      </c>
      <c r="M3294">
        <v>1023609040</v>
      </c>
      <c r="N3294">
        <v>1069906456</v>
      </c>
      <c r="O3294">
        <v>850907218</v>
      </c>
      <c r="P3294">
        <v>370</v>
      </c>
      <c r="Q3294" t="s">
        <v>6930</v>
      </c>
    </row>
    <row r="3295" spans="1:17" x14ac:dyDescent="0.3">
      <c r="A3295" t="s">
        <v>4664</v>
      </c>
      <c r="B3295" t="str">
        <f>"002613"</f>
        <v>002613</v>
      </c>
      <c r="C3295" t="s">
        <v>6931</v>
      </c>
      <c r="D3295" t="s">
        <v>666</v>
      </c>
      <c r="F3295">
        <v>902807949</v>
      </c>
      <c r="G3295">
        <v>570621558</v>
      </c>
      <c r="H3295">
        <v>693301134</v>
      </c>
      <c r="I3295">
        <v>880393200</v>
      </c>
      <c r="J3295">
        <v>649941091</v>
      </c>
      <c r="K3295">
        <v>513215153</v>
      </c>
      <c r="L3295">
        <v>478595893</v>
      </c>
      <c r="M3295">
        <v>487174250</v>
      </c>
      <c r="N3295">
        <v>471959405</v>
      </c>
      <c r="O3295">
        <v>503001545</v>
      </c>
      <c r="P3295">
        <v>90</v>
      </c>
      <c r="Q3295" t="s">
        <v>6932</v>
      </c>
    </row>
    <row r="3296" spans="1:17" x14ac:dyDescent="0.3">
      <c r="A3296" t="s">
        <v>4664</v>
      </c>
      <c r="B3296" t="str">
        <f>"002614"</f>
        <v>002614</v>
      </c>
      <c r="C3296" t="s">
        <v>6933</v>
      </c>
      <c r="D3296" t="s">
        <v>3015</v>
      </c>
      <c r="F3296">
        <v>5784423313</v>
      </c>
      <c r="G3296">
        <v>4542583474</v>
      </c>
      <c r="H3296">
        <v>3730780629</v>
      </c>
      <c r="I3296">
        <v>3311611604</v>
      </c>
      <c r="J3296">
        <v>2944333133</v>
      </c>
      <c r="K3296">
        <v>2125658399</v>
      </c>
      <c r="L3296">
        <v>1919143355</v>
      </c>
      <c r="M3296">
        <v>1988530926</v>
      </c>
      <c r="N3296">
        <v>1506871649</v>
      </c>
      <c r="O3296">
        <v>1250997039</v>
      </c>
      <c r="P3296">
        <v>525</v>
      </c>
      <c r="Q3296" t="s">
        <v>6934</v>
      </c>
    </row>
    <row r="3297" spans="1:17" x14ac:dyDescent="0.3">
      <c r="A3297" t="s">
        <v>4664</v>
      </c>
      <c r="B3297" t="str">
        <f>"002615"</f>
        <v>002615</v>
      </c>
      <c r="C3297" t="s">
        <v>6935</v>
      </c>
      <c r="D3297" t="s">
        <v>2436</v>
      </c>
      <c r="F3297">
        <v>1569717446</v>
      </c>
      <c r="G3297">
        <v>1024610572</v>
      </c>
      <c r="H3297">
        <v>1349384778</v>
      </c>
      <c r="I3297">
        <v>1289710648</v>
      </c>
      <c r="J3297">
        <v>930621418</v>
      </c>
      <c r="K3297">
        <v>900544567</v>
      </c>
      <c r="L3297">
        <v>501711245</v>
      </c>
      <c r="M3297">
        <v>528130997</v>
      </c>
      <c r="N3297">
        <v>422165014</v>
      </c>
      <c r="O3297">
        <v>347533622</v>
      </c>
      <c r="P3297">
        <v>178</v>
      </c>
      <c r="Q3297" t="s">
        <v>6936</v>
      </c>
    </row>
    <row r="3298" spans="1:17" x14ac:dyDescent="0.3">
      <c r="A3298" t="s">
        <v>4664</v>
      </c>
      <c r="B3298" t="str">
        <f>"002616"</f>
        <v>002616</v>
      </c>
      <c r="C3298" t="s">
        <v>6937</v>
      </c>
      <c r="D3298" t="s">
        <v>6938</v>
      </c>
      <c r="F3298">
        <v>1577574769</v>
      </c>
      <c r="G3298">
        <v>1857056624</v>
      </c>
      <c r="H3298">
        <v>1674892930</v>
      </c>
      <c r="I3298">
        <v>1791177726</v>
      </c>
      <c r="J3298">
        <v>1386220244</v>
      </c>
      <c r="K3298">
        <v>1364181838</v>
      </c>
      <c r="L3298">
        <v>1149908925</v>
      </c>
      <c r="M3298">
        <v>989917387</v>
      </c>
      <c r="N3298">
        <v>911871731</v>
      </c>
      <c r="O3298">
        <v>745689500</v>
      </c>
      <c r="P3298">
        <v>202</v>
      </c>
      <c r="Q3298" t="s">
        <v>6939</v>
      </c>
    </row>
    <row r="3299" spans="1:17" x14ac:dyDescent="0.3">
      <c r="A3299" t="s">
        <v>4664</v>
      </c>
      <c r="B3299" t="str">
        <f>"002617"</f>
        <v>002617</v>
      </c>
      <c r="C3299" t="s">
        <v>6940</v>
      </c>
      <c r="D3299" t="s">
        <v>86</v>
      </c>
      <c r="F3299">
        <v>2470256165</v>
      </c>
      <c r="G3299">
        <v>1860907219</v>
      </c>
      <c r="H3299">
        <v>2143170352</v>
      </c>
      <c r="I3299">
        <v>2336272029</v>
      </c>
      <c r="J3299">
        <v>1584938240</v>
      </c>
      <c r="K3299">
        <v>1087833624</v>
      </c>
      <c r="L3299">
        <v>1581515057</v>
      </c>
      <c r="M3299">
        <v>1625691302</v>
      </c>
      <c r="N3299">
        <v>1534690578</v>
      </c>
      <c r="O3299">
        <v>1252626946</v>
      </c>
      <c r="P3299">
        <v>321</v>
      </c>
      <c r="Q3299" t="s">
        <v>6941</v>
      </c>
    </row>
    <row r="3300" spans="1:17" x14ac:dyDescent="0.3">
      <c r="A3300" t="s">
        <v>4664</v>
      </c>
      <c r="B3300" t="str">
        <f>"002618"</f>
        <v>002618</v>
      </c>
      <c r="C3300" t="s">
        <v>6942</v>
      </c>
      <c r="D3300" t="s">
        <v>425</v>
      </c>
      <c r="F3300">
        <v>36985519</v>
      </c>
      <c r="G3300">
        <v>191334591</v>
      </c>
      <c r="H3300">
        <v>154155350</v>
      </c>
      <c r="I3300">
        <v>261715162</v>
      </c>
      <c r="J3300">
        <v>166451328</v>
      </c>
      <c r="K3300">
        <v>144384102</v>
      </c>
      <c r="L3300">
        <v>316866388</v>
      </c>
      <c r="M3300">
        <v>266295631</v>
      </c>
      <c r="N3300">
        <v>212730447</v>
      </c>
      <c r="O3300">
        <v>183155065</v>
      </c>
      <c r="P3300">
        <v>135</v>
      </c>
      <c r="Q3300" t="s">
        <v>6943</v>
      </c>
    </row>
    <row r="3301" spans="1:17" x14ac:dyDescent="0.3">
      <c r="A3301" t="s">
        <v>4664</v>
      </c>
      <c r="B3301" t="str">
        <f>"002619"</f>
        <v>002619</v>
      </c>
      <c r="C3301" t="s">
        <v>6944</v>
      </c>
      <c r="D3301" t="s">
        <v>517</v>
      </c>
      <c r="F3301">
        <v>51131013</v>
      </c>
      <c r="G3301">
        <v>713425375</v>
      </c>
      <c r="H3301">
        <v>501426768</v>
      </c>
      <c r="I3301">
        <v>456367870</v>
      </c>
      <c r="J3301">
        <v>547846987</v>
      </c>
      <c r="K3301">
        <v>366117650</v>
      </c>
      <c r="L3301">
        <v>359699639</v>
      </c>
      <c r="M3301">
        <v>286122313</v>
      </c>
      <c r="N3301">
        <v>381786334</v>
      </c>
      <c r="O3301">
        <v>183682855</v>
      </c>
      <c r="P3301">
        <v>124</v>
      </c>
      <c r="Q3301" t="s">
        <v>6945</v>
      </c>
    </row>
    <row r="3302" spans="1:17" x14ac:dyDescent="0.3">
      <c r="A3302" t="s">
        <v>4664</v>
      </c>
      <c r="B3302" t="str">
        <f>"002620"</f>
        <v>002620</v>
      </c>
      <c r="C3302" t="s">
        <v>6946</v>
      </c>
      <c r="D3302" t="s">
        <v>450</v>
      </c>
      <c r="F3302">
        <v>2374798504</v>
      </c>
      <c r="G3302">
        <v>2336535476</v>
      </c>
      <c r="H3302">
        <v>2277506057</v>
      </c>
      <c r="I3302">
        <v>1998601548</v>
      </c>
      <c r="J3302">
        <v>1985008445</v>
      </c>
      <c r="K3302">
        <v>1050227551</v>
      </c>
      <c r="L3302">
        <v>1228367897</v>
      </c>
      <c r="M3302">
        <v>942650333</v>
      </c>
      <c r="N3302">
        <v>693877606</v>
      </c>
      <c r="O3302">
        <v>667570591</v>
      </c>
      <c r="P3302">
        <v>90</v>
      </c>
      <c r="Q3302" t="s">
        <v>6947</v>
      </c>
    </row>
    <row r="3303" spans="1:17" x14ac:dyDescent="0.3">
      <c r="A3303" t="s">
        <v>4664</v>
      </c>
      <c r="B3303" t="str">
        <f>"002621"</f>
        <v>002621</v>
      </c>
      <c r="C3303" t="s">
        <v>6948</v>
      </c>
      <c r="D3303" t="s">
        <v>1336</v>
      </c>
      <c r="F3303">
        <v>178424133</v>
      </c>
      <c r="G3303">
        <v>200089684</v>
      </c>
      <c r="H3303">
        <v>472251732</v>
      </c>
      <c r="I3303">
        <v>181707626</v>
      </c>
      <c r="J3303">
        <v>156980409</v>
      </c>
      <c r="K3303">
        <v>75490782</v>
      </c>
      <c r="L3303">
        <v>106030978</v>
      </c>
      <c r="M3303">
        <v>123083009</v>
      </c>
      <c r="N3303">
        <v>139697432</v>
      </c>
      <c r="O3303">
        <v>156396414</v>
      </c>
      <c r="P3303">
        <v>143</v>
      </c>
      <c r="Q3303" t="s">
        <v>6949</v>
      </c>
    </row>
    <row r="3304" spans="1:17" x14ac:dyDescent="0.3">
      <c r="A3304" t="s">
        <v>4664</v>
      </c>
      <c r="B3304" t="str">
        <f>"002622"</f>
        <v>002622</v>
      </c>
      <c r="C3304" t="s">
        <v>6950</v>
      </c>
      <c r="D3304" t="s">
        <v>210</v>
      </c>
      <c r="F3304">
        <v>73898624</v>
      </c>
      <c r="G3304">
        <v>91769877</v>
      </c>
      <c r="H3304">
        <v>105690292</v>
      </c>
      <c r="I3304">
        <v>265095552</v>
      </c>
      <c r="J3304">
        <v>118548372</v>
      </c>
      <c r="K3304">
        <v>62011874</v>
      </c>
      <c r="L3304">
        <v>93471113</v>
      </c>
      <c r="M3304">
        <v>156093574</v>
      </c>
      <c r="N3304">
        <v>163368505</v>
      </c>
      <c r="O3304">
        <v>201407964</v>
      </c>
      <c r="P3304">
        <v>120</v>
      </c>
      <c r="Q3304" t="s">
        <v>6951</v>
      </c>
    </row>
    <row r="3305" spans="1:17" x14ac:dyDescent="0.3">
      <c r="A3305" t="s">
        <v>4664</v>
      </c>
      <c r="B3305" t="str">
        <f>"002623"</f>
        <v>002623</v>
      </c>
      <c r="C3305" t="s">
        <v>6952</v>
      </c>
      <c r="D3305" t="s">
        <v>478</v>
      </c>
      <c r="F3305">
        <v>1019812273</v>
      </c>
      <c r="G3305">
        <v>899180582</v>
      </c>
      <c r="H3305">
        <v>480615496</v>
      </c>
      <c r="I3305">
        <v>681424396</v>
      </c>
      <c r="J3305">
        <v>702310434</v>
      </c>
      <c r="K3305">
        <v>516710379</v>
      </c>
      <c r="L3305">
        <v>613485859</v>
      </c>
      <c r="M3305">
        <v>408552652</v>
      </c>
      <c r="N3305">
        <v>375429513</v>
      </c>
      <c r="O3305">
        <v>309621229</v>
      </c>
      <c r="P3305">
        <v>172</v>
      </c>
      <c r="Q3305" t="s">
        <v>6953</v>
      </c>
    </row>
    <row r="3306" spans="1:17" x14ac:dyDescent="0.3">
      <c r="A3306" t="s">
        <v>4664</v>
      </c>
      <c r="B3306" t="str">
        <f>"002624"</f>
        <v>002624</v>
      </c>
      <c r="C3306" t="s">
        <v>6954</v>
      </c>
      <c r="D3306" t="s">
        <v>517</v>
      </c>
      <c r="F3306">
        <v>6985019998</v>
      </c>
      <c r="G3306">
        <v>8817909470</v>
      </c>
      <c r="H3306">
        <v>5484211684</v>
      </c>
      <c r="I3306">
        <v>5623395410</v>
      </c>
      <c r="J3306">
        <v>6127768987</v>
      </c>
      <c r="K3306">
        <v>4085800969</v>
      </c>
      <c r="L3306">
        <v>613348495</v>
      </c>
      <c r="M3306">
        <v>133167734</v>
      </c>
      <c r="N3306">
        <v>182451235</v>
      </c>
      <c r="O3306">
        <v>152295765</v>
      </c>
      <c r="P3306">
        <v>2399</v>
      </c>
      <c r="Q3306" t="s">
        <v>6955</v>
      </c>
    </row>
    <row r="3307" spans="1:17" x14ac:dyDescent="0.3">
      <c r="A3307" t="s">
        <v>4664</v>
      </c>
      <c r="B3307" t="str">
        <f>"002625"</f>
        <v>002625</v>
      </c>
      <c r="C3307" t="s">
        <v>6956</v>
      </c>
      <c r="D3307" t="s">
        <v>98</v>
      </c>
      <c r="F3307">
        <v>334119498</v>
      </c>
      <c r="G3307">
        <v>191944634</v>
      </c>
      <c r="H3307">
        <v>185153998</v>
      </c>
      <c r="I3307">
        <v>428955437</v>
      </c>
      <c r="J3307">
        <v>242216024</v>
      </c>
      <c r="K3307">
        <v>339001199</v>
      </c>
      <c r="L3307">
        <v>369694580</v>
      </c>
      <c r="M3307">
        <v>300138392</v>
      </c>
      <c r="N3307">
        <v>239553095</v>
      </c>
      <c r="O3307">
        <v>197964807</v>
      </c>
      <c r="P3307">
        <v>259</v>
      </c>
      <c r="Q3307" t="s">
        <v>6957</v>
      </c>
    </row>
    <row r="3308" spans="1:17" x14ac:dyDescent="0.3">
      <c r="A3308" t="s">
        <v>4664</v>
      </c>
      <c r="B3308" t="str">
        <f>"002626"</f>
        <v>002626</v>
      </c>
      <c r="C3308" t="s">
        <v>6958</v>
      </c>
      <c r="D3308" t="s">
        <v>838</v>
      </c>
      <c r="F3308">
        <v>2664344758</v>
      </c>
      <c r="G3308">
        <v>2517317714</v>
      </c>
      <c r="H3308">
        <v>2419881820</v>
      </c>
      <c r="I3308">
        <v>2128384333</v>
      </c>
      <c r="J3308">
        <v>1274824918</v>
      </c>
      <c r="K3308">
        <v>1163814478</v>
      </c>
      <c r="L3308">
        <v>767329606</v>
      </c>
      <c r="M3308">
        <v>571274035</v>
      </c>
      <c r="N3308">
        <v>513173679</v>
      </c>
      <c r="O3308">
        <v>473636946</v>
      </c>
      <c r="P3308">
        <v>1113</v>
      </c>
      <c r="Q3308" t="s">
        <v>6959</v>
      </c>
    </row>
    <row r="3309" spans="1:17" x14ac:dyDescent="0.3">
      <c r="A3309" t="s">
        <v>4664</v>
      </c>
      <c r="B3309" t="str">
        <f>"002627"</f>
        <v>002627</v>
      </c>
      <c r="C3309" t="s">
        <v>6960</v>
      </c>
      <c r="D3309" t="s">
        <v>1133</v>
      </c>
      <c r="F3309">
        <v>1960404992</v>
      </c>
      <c r="G3309">
        <v>1558936315</v>
      </c>
      <c r="H3309">
        <v>1743070357</v>
      </c>
      <c r="I3309">
        <v>1771510697</v>
      </c>
      <c r="J3309">
        <v>1607647534</v>
      </c>
      <c r="K3309">
        <v>1439330686</v>
      </c>
      <c r="L3309">
        <v>1222103019</v>
      </c>
      <c r="M3309">
        <v>1047744269</v>
      </c>
      <c r="N3309">
        <v>876743487</v>
      </c>
      <c r="O3309">
        <v>797937959</v>
      </c>
      <c r="P3309">
        <v>99</v>
      </c>
      <c r="Q3309" t="s">
        <v>6961</v>
      </c>
    </row>
    <row r="3310" spans="1:17" x14ac:dyDescent="0.3">
      <c r="A3310" t="s">
        <v>4664</v>
      </c>
      <c r="B3310" t="str">
        <f>"002628"</f>
        <v>002628</v>
      </c>
      <c r="C3310" t="s">
        <v>6962</v>
      </c>
      <c r="D3310" t="s">
        <v>101</v>
      </c>
      <c r="F3310">
        <v>1074949847</v>
      </c>
      <c r="G3310">
        <v>1039480117</v>
      </c>
      <c r="H3310">
        <v>1421863062</v>
      </c>
      <c r="I3310">
        <v>1997517723</v>
      </c>
      <c r="J3310">
        <v>1346560273</v>
      </c>
      <c r="K3310">
        <v>2233570609</v>
      </c>
      <c r="L3310">
        <v>1260592327</v>
      </c>
      <c r="M3310">
        <v>1153528401</v>
      </c>
      <c r="N3310">
        <v>1941606018</v>
      </c>
      <c r="O3310">
        <v>1149378224</v>
      </c>
      <c r="P3310">
        <v>91</v>
      </c>
      <c r="Q3310" t="s">
        <v>6963</v>
      </c>
    </row>
    <row r="3311" spans="1:17" x14ac:dyDescent="0.3">
      <c r="A3311" t="s">
        <v>4664</v>
      </c>
      <c r="B3311" t="str">
        <f>"002629"</f>
        <v>002629</v>
      </c>
      <c r="C3311" t="s">
        <v>6964</v>
      </c>
      <c r="D3311" t="s">
        <v>1758</v>
      </c>
      <c r="F3311">
        <v>103559554</v>
      </c>
      <c r="G3311">
        <v>59122940</v>
      </c>
      <c r="H3311">
        <v>66285997</v>
      </c>
      <c r="I3311">
        <v>2995939158</v>
      </c>
      <c r="J3311">
        <v>2813149648</v>
      </c>
      <c r="K3311">
        <v>189184990</v>
      </c>
      <c r="L3311">
        <v>233086011</v>
      </c>
      <c r="M3311">
        <v>440108770</v>
      </c>
      <c r="N3311">
        <v>397693051</v>
      </c>
      <c r="O3311">
        <v>365541691</v>
      </c>
      <c r="P3311">
        <v>60</v>
      </c>
      <c r="Q3311" t="s">
        <v>6965</v>
      </c>
    </row>
    <row r="3312" spans="1:17" x14ac:dyDescent="0.3">
      <c r="A3312" t="s">
        <v>4664</v>
      </c>
      <c r="B3312" t="str">
        <f>"002630"</f>
        <v>002630</v>
      </c>
      <c r="C3312" t="s">
        <v>6966</v>
      </c>
      <c r="D3312" t="s">
        <v>470</v>
      </c>
      <c r="F3312">
        <v>923507086</v>
      </c>
      <c r="G3312">
        <v>2001070331</v>
      </c>
      <c r="H3312">
        <v>2039115101</v>
      </c>
      <c r="I3312">
        <v>2620771686</v>
      </c>
      <c r="J3312">
        <v>2100293472</v>
      </c>
      <c r="K3312">
        <v>1946373313</v>
      </c>
      <c r="L3312">
        <v>1808570736</v>
      </c>
      <c r="M3312">
        <v>1364295425</v>
      </c>
      <c r="N3312">
        <v>1327539106</v>
      </c>
      <c r="O3312">
        <v>1029677442</v>
      </c>
      <c r="P3312">
        <v>109</v>
      </c>
      <c r="Q3312" t="s">
        <v>6967</v>
      </c>
    </row>
    <row r="3313" spans="1:17" x14ac:dyDescent="0.3">
      <c r="A3313" t="s">
        <v>4664</v>
      </c>
      <c r="B3313" t="str">
        <f>"002631"</f>
        <v>002631</v>
      </c>
      <c r="C3313" t="s">
        <v>6968</v>
      </c>
      <c r="D3313" t="s">
        <v>2647</v>
      </c>
      <c r="F3313">
        <v>1655730640</v>
      </c>
      <c r="G3313">
        <v>1243804577</v>
      </c>
      <c r="H3313">
        <v>1428009684</v>
      </c>
      <c r="I3313">
        <v>1461054802</v>
      </c>
      <c r="J3313">
        <v>1302359835</v>
      </c>
      <c r="K3313">
        <v>906808100</v>
      </c>
      <c r="L3313">
        <v>546194364</v>
      </c>
      <c r="M3313">
        <v>540125844</v>
      </c>
      <c r="N3313">
        <v>450993082</v>
      </c>
      <c r="O3313">
        <v>280894997</v>
      </c>
      <c r="P3313">
        <v>156</v>
      </c>
      <c r="Q3313" t="s">
        <v>6969</v>
      </c>
    </row>
    <row r="3314" spans="1:17" x14ac:dyDescent="0.3">
      <c r="A3314" t="s">
        <v>4664</v>
      </c>
      <c r="B3314" t="str">
        <f>"002632"</f>
        <v>002632</v>
      </c>
      <c r="C3314" t="s">
        <v>6970</v>
      </c>
      <c r="D3314" t="s">
        <v>324</v>
      </c>
      <c r="F3314">
        <v>1369688531</v>
      </c>
      <c r="G3314">
        <v>1102743148</v>
      </c>
      <c r="H3314">
        <v>754962326</v>
      </c>
      <c r="I3314">
        <v>638818316</v>
      </c>
      <c r="J3314">
        <v>524216093</v>
      </c>
      <c r="K3314">
        <v>338463379</v>
      </c>
      <c r="L3314">
        <v>321340764</v>
      </c>
      <c r="M3314">
        <v>321795751</v>
      </c>
      <c r="N3314">
        <v>283554135</v>
      </c>
      <c r="O3314">
        <v>289113159</v>
      </c>
      <c r="P3314">
        <v>144</v>
      </c>
      <c r="Q3314" t="s">
        <v>6971</v>
      </c>
    </row>
    <row r="3315" spans="1:17" x14ac:dyDescent="0.3">
      <c r="A3315" t="s">
        <v>4664</v>
      </c>
      <c r="B3315" t="str">
        <f>"002633"</f>
        <v>002633</v>
      </c>
      <c r="C3315" t="s">
        <v>6972</v>
      </c>
      <c r="D3315" t="s">
        <v>274</v>
      </c>
      <c r="F3315">
        <v>114407924</v>
      </c>
      <c r="G3315">
        <v>103428036</v>
      </c>
      <c r="H3315">
        <v>125636013</v>
      </c>
      <c r="I3315">
        <v>122723560</v>
      </c>
      <c r="J3315">
        <v>118551247</v>
      </c>
      <c r="K3315">
        <v>143831222</v>
      </c>
      <c r="L3315">
        <v>191975953</v>
      </c>
      <c r="M3315">
        <v>229093306</v>
      </c>
      <c r="N3315">
        <v>226025468</v>
      </c>
      <c r="O3315">
        <v>160586690</v>
      </c>
      <c r="P3315">
        <v>44</v>
      </c>
      <c r="Q3315" t="s">
        <v>6973</v>
      </c>
    </row>
    <row r="3316" spans="1:17" x14ac:dyDescent="0.3">
      <c r="A3316" t="s">
        <v>4664</v>
      </c>
      <c r="B3316" t="str">
        <f>"002634"</f>
        <v>002634</v>
      </c>
      <c r="C3316" t="s">
        <v>6974</v>
      </c>
      <c r="D3316" t="s">
        <v>330</v>
      </c>
      <c r="F3316">
        <v>432611439</v>
      </c>
      <c r="G3316">
        <v>433895169</v>
      </c>
      <c r="H3316">
        <v>375239834</v>
      </c>
      <c r="I3316">
        <v>308008916</v>
      </c>
      <c r="J3316">
        <v>289788077</v>
      </c>
      <c r="K3316">
        <v>279294430</v>
      </c>
      <c r="L3316">
        <v>221581512</v>
      </c>
      <c r="M3316">
        <v>270328928</v>
      </c>
      <c r="N3316">
        <v>256285923</v>
      </c>
      <c r="O3316">
        <v>228041384</v>
      </c>
      <c r="P3316">
        <v>88</v>
      </c>
      <c r="Q3316" t="s">
        <v>6975</v>
      </c>
    </row>
    <row r="3317" spans="1:17" x14ac:dyDescent="0.3">
      <c r="A3317" t="s">
        <v>4664</v>
      </c>
      <c r="B3317" t="str">
        <f>"002635"</f>
        <v>002635</v>
      </c>
      <c r="C3317" t="s">
        <v>6976</v>
      </c>
      <c r="D3317" t="s">
        <v>313</v>
      </c>
      <c r="F3317">
        <v>2345174796</v>
      </c>
      <c r="G3317">
        <v>2212631183</v>
      </c>
      <c r="H3317">
        <v>2399875483</v>
      </c>
      <c r="I3317">
        <v>2396296105</v>
      </c>
      <c r="J3317">
        <v>1534616299</v>
      </c>
      <c r="K3317">
        <v>1364185599</v>
      </c>
      <c r="L3317">
        <v>1101341634</v>
      </c>
      <c r="M3317">
        <v>503957848</v>
      </c>
      <c r="N3317">
        <v>496062801</v>
      </c>
      <c r="O3317">
        <v>383812684</v>
      </c>
      <c r="P3317">
        <v>513</v>
      </c>
      <c r="Q3317" t="s">
        <v>6977</v>
      </c>
    </row>
    <row r="3318" spans="1:17" x14ac:dyDescent="0.3">
      <c r="A3318" t="s">
        <v>4664</v>
      </c>
      <c r="B3318" t="str">
        <f>"002636"</f>
        <v>002636</v>
      </c>
      <c r="C3318" t="s">
        <v>6978</v>
      </c>
      <c r="D3318" t="s">
        <v>425</v>
      </c>
      <c r="F3318">
        <v>3840818447</v>
      </c>
      <c r="G3318">
        <v>2656450332</v>
      </c>
      <c r="H3318">
        <v>2785458896</v>
      </c>
      <c r="I3318">
        <v>3338332566</v>
      </c>
      <c r="J3318">
        <v>2862391898</v>
      </c>
      <c r="K3318">
        <v>2364046673</v>
      </c>
      <c r="L3318">
        <v>1890276685</v>
      </c>
      <c r="M3318">
        <v>2058146939</v>
      </c>
      <c r="N3318">
        <v>1953421630</v>
      </c>
      <c r="O3318">
        <v>1615457457</v>
      </c>
      <c r="P3318">
        <v>306</v>
      </c>
      <c r="Q3318" t="s">
        <v>6979</v>
      </c>
    </row>
    <row r="3319" spans="1:17" x14ac:dyDescent="0.3">
      <c r="A3319" t="s">
        <v>4664</v>
      </c>
      <c r="B3319" t="str">
        <f>"002637"</f>
        <v>002637</v>
      </c>
      <c r="C3319" t="s">
        <v>6980</v>
      </c>
      <c r="D3319" t="s">
        <v>386</v>
      </c>
      <c r="F3319">
        <v>7733257806</v>
      </c>
      <c r="G3319">
        <v>4796876308</v>
      </c>
      <c r="H3319">
        <v>4499618872</v>
      </c>
      <c r="I3319">
        <v>4860335218</v>
      </c>
      <c r="J3319">
        <v>4811027713</v>
      </c>
      <c r="K3319">
        <v>3310997006</v>
      </c>
      <c r="L3319">
        <v>2286932754</v>
      </c>
      <c r="M3319">
        <v>1983667321</v>
      </c>
      <c r="N3319">
        <v>1746821250</v>
      </c>
      <c r="O3319">
        <v>1714350636</v>
      </c>
      <c r="P3319">
        <v>145</v>
      </c>
      <c r="Q3319" t="s">
        <v>6981</v>
      </c>
    </row>
    <row r="3320" spans="1:17" x14ac:dyDescent="0.3">
      <c r="A3320" t="s">
        <v>4664</v>
      </c>
      <c r="B3320" t="str">
        <f>"002638"</f>
        <v>002638</v>
      </c>
      <c r="C3320" t="s">
        <v>6982</v>
      </c>
      <c r="D3320" t="s">
        <v>1336</v>
      </c>
      <c r="F3320">
        <v>782493971</v>
      </c>
      <c r="G3320">
        <v>821842016</v>
      </c>
      <c r="H3320">
        <v>899958761</v>
      </c>
      <c r="I3320">
        <v>967504266</v>
      </c>
      <c r="J3320">
        <v>1082615752</v>
      </c>
      <c r="K3320">
        <v>626251023</v>
      </c>
      <c r="L3320">
        <v>631881126</v>
      </c>
      <c r="M3320">
        <v>854504820</v>
      </c>
      <c r="N3320">
        <v>744904241</v>
      </c>
      <c r="O3320">
        <v>565632103</v>
      </c>
      <c r="P3320">
        <v>83</v>
      </c>
      <c r="Q3320" t="s">
        <v>6983</v>
      </c>
    </row>
    <row r="3321" spans="1:17" x14ac:dyDescent="0.3">
      <c r="A3321" t="s">
        <v>4664</v>
      </c>
      <c r="B3321" t="str">
        <f>"002639"</f>
        <v>002639</v>
      </c>
      <c r="C3321" t="s">
        <v>6984</v>
      </c>
      <c r="D3321" t="s">
        <v>988</v>
      </c>
      <c r="F3321">
        <v>1413064069</v>
      </c>
      <c r="G3321">
        <v>1024653336</v>
      </c>
      <c r="H3321">
        <v>1166679797</v>
      </c>
      <c r="I3321">
        <v>867513523</v>
      </c>
      <c r="J3321">
        <v>662964912</v>
      </c>
      <c r="K3321">
        <v>466013031</v>
      </c>
      <c r="L3321">
        <v>452031393</v>
      </c>
      <c r="M3321">
        <v>338826260</v>
      </c>
      <c r="N3321">
        <v>225124896</v>
      </c>
      <c r="O3321">
        <v>203477324</v>
      </c>
      <c r="P3321">
        <v>228</v>
      </c>
      <c r="Q3321" t="s">
        <v>6985</v>
      </c>
    </row>
    <row r="3322" spans="1:17" x14ac:dyDescent="0.3">
      <c r="A3322" t="s">
        <v>4664</v>
      </c>
      <c r="B3322" t="str">
        <f>"002640"</f>
        <v>002640</v>
      </c>
      <c r="C3322" t="s">
        <v>6986</v>
      </c>
      <c r="D3322" t="s">
        <v>2014</v>
      </c>
      <c r="F3322">
        <v>5675629478</v>
      </c>
      <c r="G3322">
        <v>11183149261</v>
      </c>
      <c r="H3322">
        <v>12095824866</v>
      </c>
      <c r="I3322">
        <v>13628687594</v>
      </c>
      <c r="J3322">
        <v>8272758065</v>
      </c>
      <c r="K3322">
        <v>5144482522</v>
      </c>
      <c r="L3322">
        <v>2158401961</v>
      </c>
      <c r="M3322">
        <v>272438265</v>
      </c>
      <c r="N3322">
        <v>274773341</v>
      </c>
      <c r="O3322">
        <v>281064193</v>
      </c>
      <c r="P3322">
        <v>263</v>
      </c>
      <c r="Q3322" t="s">
        <v>6987</v>
      </c>
    </row>
    <row r="3323" spans="1:17" x14ac:dyDescent="0.3">
      <c r="A3323" t="s">
        <v>4664</v>
      </c>
      <c r="B3323" t="str">
        <f>"002641"</f>
        <v>002641</v>
      </c>
      <c r="C3323" t="s">
        <v>6988</v>
      </c>
      <c r="D3323" t="s">
        <v>3320</v>
      </c>
      <c r="F3323">
        <v>6885991253</v>
      </c>
      <c r="G3323">
        <v>5269173401</v>
      </c>
      <c r="H3323">
        <v>4697612209</v>
      </c>
      <c r="I3323">
        <v>4080135304</v>
      </c>
      <c r="J3323">
        <v>3678013225</v>
      </c>
      <c r="K3323">
        <v>2995346813</v>
      </c>
      <c r="L3323">
        <v>2828657518</v>
      </c>
      <c r="M3323">
        <v>2495003137</v>
      </c>
      <c r="N3323">
        <v>2178938330</v>
      </c>
      <c r="O3323">
        <v>2065502754</v>
      </c>
      <c r="P3323">
        <v>360</v>
      </c>
      <c r="Q3323" t="s">
        <v>6989</v>
      </c>
    </row>
    <row r="3324" spans="1:17" x14ac:dyDescent="0.3">
      <c r="A3324" t="s">
        <v>4664</v>
      </c>
      <c r="B3324" t="str">
        <f>"002642"</f>
        <v>002642</v>
      </c>
      <c r="C3324" t="s">
        <v>6990</v>
      </c>
      <c r="D3324" t="s">
        <v>316</v>
      </c>
      <c r="F3324">
        <v>2388089613</v>
      </c>
      <c r="G3324">
        <v>1733343175</v>
      </c>
      <c r="H3324">
        <v>1745115388</v>
      </c>
      <c r="I3324">
        <v>2017164631</v>
      </c>
      <c r="J3324">
        <v>1017120537</v>
      </c>
      <c r="K3324">
        <v>1006084877</v>
      </c>
      <c r="L3324">
        <v>1009753560</v>
      </c>
      <c r="M3324">
        <v>866368099</v>
      </c>
      <c r="N3324">
        <v>798956651</v>
      </c>
      <c r="O3324">
        <v>580098856</v>
      </c>
      <c r="P3324">
        <v>221</v>
      </c>
      <c r="Q3324" t="s">
        <v>6991</v>
      </c>
    </row>
    <row r="3325" spans="1:17" x14ac:dyDescent="0.3">
      <c r="A3325" t="s">
        <v>4664</v>
      </c>
      <c r="B3325" t="str">
        <f>"002643"</f>
        <v>002643</v>
      </c>
      <c r="C3325" t="s">
        <v>6992</v>
      </c>
      <c r="D3325" t="s">
        <v>2399</v>
      </c>
      <c r="F3325">
        <v>3589015006</v>
      </c>
      <c r="G3325">
        <v>2115094938</v>
      </c>
      <c r="H3325">
        <v>2252877605</v>
      </c>
      <c r="I3325">
        <v>1871037109</v>
      </c>
      <c r="J3325">
        <v>1838587600</v>
      </c>
      <c r="K3325">
        <v>1423140723</v>
      </c>
      <c r="L3325">
        <v>1190075144</v>
      </c>
      <c r="M3325">
        <v>731066761</v>
      </c>
      <c r="N3325">
        <v>721943337</v>
      </c>
      <c r="O3325">
        <v>526886509</v>
      </c>
      <c r="P3325">
        <v>387</v>
      </c>
      <c r="Q3325" t="s">
        <v>6993</v>
      </c>
    </row>
    <row r="3326" spans="1:17" x14ac:dyDescent="0.3">
      <c r="A3326" t="s">
        <v>4664</v>
      </c>
      <c r="B3326" t="str">
        <f>"002644"</f>
        <v>002644</v>
      </c>
      <c r="C3326" t="s">
        <v>6994</v>
      </c>
      <c r="D3326" t="s">
        <v>188</v>
      </c>
      <c r="F3326">
        <v>525040074</v>
      </c>
      <c r="G3326">
        <v>498365820</v>
      </c>
      <c r="H3326">
        <v>401198380</v>
      </c>
      <c r="I3326">
        <v>392068919</v>
      </c>
      <c r="J3326">
        <v>322406402</v>
      </c>
      <c r="K3326">
        <v>326673143</v>
      </c>
      <c r="L3326">
        <v>268252806</v>
      </c>
      <c r="M3326">
        <v>381899875</v>
      </c>
      <c r="N3326">
        <v>228827947</v>
      </c>
      <c r="O3326">
        <v>182179001</v>
      </c>
      <c r="P3326">
        <v>163</v>
      </c>
      <c r="Q3326" t="s">
        <v>6995</v>
      </c>
    </row>
    <row r="3327" spans="1:17" x14ac:dyDescent="0.3">
      <c r="A3327" t="s">
        <v>4664</v>
      </c>
      <c r="B3327" t="str">
        <f>"002645"</f>
        <v>002645</v>
      </c>
      <c r="C3327" t="s">
        <v>6996</v>
      </c>
      <c r="D3327" t="s">
        <v>1070</v>
      </c>
      <c r="F3327">
        <v>5410282238</v>
      </c>
      <c r="G3327">
        <v>2282552824</v>
      </c>
      <c r="H3327">
        <v>1539777980</v>
      </c>
      <c r="I3327">
        <v>1548036706</v>
      </c>
      <c r="J3327">
        <v>1203701710</v>
      </c>
      <c r="K3327">
        <v>783687467</v>
      </c>
      <c r="L3327">
        <v>209170966</v>
      </c>
      <c r="M3327">
        <v>310549700</v>
      </c>
      <c r="N3327">
        <v>378324731</v>
      </c>
      <c r="O3327">
        <v>362565271</v>
      </c>
      <c r="P3327">
        <v>204</v>
      </c>
      <c r="Q3327" t="s">
        <v>6997</v>
      </c>
    </row>
    <row r="3328" spans="1:17" x14ac:dyDescent="0.3">
      <c r="A3328" t="s">
        <v>4664</v>
      </c>
      <c r="B3328" t="str">
        <f>"002646"</f>
        <v>002646</v>
      </c>
      <c r="C3328" t="s">
        <v>6998</v>
      </c>
      <c r="D3328" t="s">
        <v>458</v>
      </c>
      <c r="F3328">
        <v>955325327</v>
      </c>
      <c r="G3328">
        <v>619344110</v>
      </c>
      <c r="H3328">
        <v>1007727095</v>
      </c>
      <c r="I3328">
        <v>1110397930</v>
      </c>
      <c r="J3328">
        <v>1055596243</v>
      </c>
      <c r="K3328">
        <v>1201884828</v>
      </c>
      <c r="L3328">
        <v>1206304069</v>
      </c>
      <c r="M3328">
        <v>1188360372</v>
      </c>
      <c r="N3328">
        <v>1305277831</v>
      </c>
      <c r="O3328">
        <v>1131734841</v>
      </c>
      <c r="P3328">
        <v>254</v>
      </c>
      <c r="Q3328" t="s">
        <v>6999</v>
      </c>
    </row>
    <row r="3329" spans="1:17" x14ac:dyDescent="0.3">
      <c r="A3329" t="s">
        <v>4664</v>
      </c>
      <c r="B3329" t="str">
        <f>"002647"</f>
        <v>002647</v>
      </c>
      <c r="C3329" t="s">
        <v>7000</v>
      </c>
      <c r="D3329" t="s">
        <v>6337</v>
      </c>
      <c r="F3329">
        <v>1353381688</v>
      </c>
      <c r="G3329">
        <v>1877129427</v>
      </c>
      <c r="H3329">
        <v>924708735</v>
      </c>
      <c r="I3329">
        <v>1122175659</v>
      </c>
      <c r="J3329">
        <v>459074159</v>
      </c>
      <c r="K3329">
        <v>2767093211</v>
      </c>
      <c r="L3329">
        <v>3098934425</v>
      </c>
      <c r="M3329">
        <v>3154817768</v>
      </c>
      <c r="N3329">
        <v>3536835231</v>
      </c>
      <c r="O3329">
        <v>3013772249</v>
      </c>
      <c r="P3329">
        <v>180</v>
      </c>
      <c r="Q3329" t="s">
        <v>7001</v>
      </c>
    </row>
    <row r="3330" spans="1:17" x14ac:dyDescent="0.3">
      <c r="A3330" t="s">
        <v>4664</v>
      </c>
      <c r="B3330" t="str">
        <f>"002648"</f>
        <v>002648</v>
      </c>
      <c r="C3330" t="s">
        <v>7002</v>
      </c>
      <c r="D3330" t="s">
        <v>386</v>
      </c>
      <c r="F3330">
        <v>16886713091</v>
      </c>
      <c r="G3330">
        <v>5370305124</v>
      </c>
      <c r="H3330">
        <v>8720316088</v>
      </c>
      <c r="I3330">
        <v>5865783414</v>
      </c>
      <c r="J3330">
        <v>5452400342</v>
      </c>
      <c r="K3330">
        <v>3092582342</v>
      </c>
      <c r="L3330">
        <v>3298569599</v>
      </c>
      <c r="M3330">
        <v>2886576850</v>
      </c>
      <c r="N3330">
        <v>2684379188</v>
      </c>
      <c r="O3330">
        <v>2566587827</v>
      </c>
      <c r="P3330">
        <v>526</v>
      </c>
      <c r="Q3330" t="s">
        <v>7003</v>
      </c>
    </row>
    <row r="3331" spans="1:17" x14ac:dyDescent="0.3">
      <c r="A3331" t="s">
        <v>4664</v>
      </c>
      <c r="B3331" t="str">
        <f>"002649"</f>
        <v>002649</v>
      </c>
      <c r="C3331" t="s">
        <v>7004</v>
      </c>
      <c r="D3331" t="s">
        <v>316</v>
      </c>
      <c r="F3331">
        <v>3669352737</v>
      </c>
      <c r="G3331">
        <v>3216444333</v>
      </c>
      <c r="H3331">
        <v>2601395092</v>
      </c>
      <c r="I3331">
        <v>1798619702</v>
      </c>
      <c r="J3331">
        <v>1527589399</v>
      </c>
      <c r="K3331">
        <v>1326672284</v>
      </c>
      <c r="L3331">
        <v>1242734052</v>
      </c>
      <c r="M3331">
        <v>1131521362</v>
      </c>
      <c r="N3331">
        <v>878032209</v>
      </c>
      <c r="O3331">
        <v>491612289</v>
      </c>
      <c r="P3331">
        <v>273</v>
      </c>
      <c r="Q3331" t="s">
        <v>7005</v>
      </c>
    </row>
    <row r="3332" spans="1:17" x14ac:dyDescent="0.3">
      <c r="A3332" t="s">
        <v>4664</v>
      </c>
      <c r="B3332" t="str">
        <f>"002650"</f>
        <v>002650</v>
      </c>
      <c r="C3332" t="s">
        <v>7006</v>
      </c>
      <c r="D3332" t="s">
        <v>433</v>
      </c>
      <c r="F3332">
        <v>1382246508</v>
      </c>
      <c r="G3332">
        <v>1759846089</v>
      </c>
      <c r="H3332">
        <v>1638009822</v>
      </c>
      <c r="I3332">
        <v>1509862165</v>
      </c>
      <c r="J3332">
        <v>1543844821</v>
      </c>
      <c r="K3332">
        <v>1527309252</v>
      </c>
      <c r="L3332">
        <v>1478112544</v>
      </c>
      <c r="M3332">
        <v>1362518298</v>
      </c>
      <c r="N3332">
        <v>1381251370</v>
      </c>
      <c r="O3332">
        <v>1376257221</v>
      </c>
      <c r="P3332">
        <v>207</v>
      </c>
      <c r="Q3332" t="s">
        <v>7007</v>
      </c>
    </row>
    <row r="3333" spans="1:17" x14ac:dyDescent="0.3">
      <c r="A3333" t="s">
        <v>4664</v>
      </c>
      <c r="B3333" t="str">
        <f>"002651"</f>
        <v>002651</v>
      </c>
      <c r="C3333" t="s">
        <v>7008</v>
      </c>
      <c r="D3333" t="s">
        <v>395</v>
      </c>
      <c r="F3333">
        <v>519254137</v>
      </c>
      <c r="G3333">
        <v>365859373</v>
      </c>
      <c r="H3333">
        <v>242168493</v>
      </c>
      <c r="I3333">
        <v>259175322</v>
      </c>
      <c r="J3333">
        <v>294954420</v>
      </c>
      <c r="K3333">
        <v>222152462</v>
      </c>
      <c r="L3333">
        <v>212400027</v>
      </c>
      <c r="M3333">
        <v>347745490</v>
      </c>
      <c r="N3333">
        <v>519110521</v>
      </c>
      <c r="O3333">
        <v>345739524</v>
      </c>
      <c r="P3333">
        <v>121</v>
      </c>
      <c r="Q3333" t="s">
        <v>7009</v>
      </c>
    </row>
    <row r="3334" spans="1:17" x14ac:dyDescent="0.3">
      <c r="A3334" t="s">
        <v>4664</v>
      </c>
      <c r="B3334" t="str">
        <f>"002652"</f>
        <v>002652</v>
      </c>
      <c r="C3334" t="s">
        <v>7010</v>
      </c>
      <c r="D3334" t="s">
        <v>722</v>
      </c>
      <c r="F3334">
        <v>1006926788</v>
      </c>
      <c r="G3334">
        <v>2438996451</v>
      </c>
      <c r="H3334">
        <v>1915112518</v>
      </c>
      <c r="I3334">
        <v>1709722599</v>
      </c>
      <c r="J3334">
        <v>2673262443</v>
      </c>
      <c r="K3334">
        <v>1418957300</v>
      </c>
      <c r="L3334">
        <v>977653702</v>
      </c>
      <c r="M3334">
        <v>1149869991</v>
      </c>
      <c r="N3334">
        <v>1123911016</v>
      </c>
      <c r="O3334">
        <v>1064039106</v>
      </c>
      <c r="P3334">
        <v>58</v>
      </c>
      <c r="Q3334" t="s">
        <v>7011</v>
      </c>
    </row>
    <row r="3335" spans="1:17" x14ac:dyDescent="0.3">
      <c r="A3335" t="s">
        <v>4664</v>
      </c>
      <c r="B3335" t="str">
        <f>"002653"</f>
        <v>002653</v>
      </c>
      <c r="C3335" t="s">
        <v>7012</v>
      </c>
      <c r="D3335" t="s">
        <v>143</v>
      </c>
      <c r="F3335">
        <v>2155555840</v>
      </c>
      <c r="G3335">
        <v>2635051011</v>
      </c>
      <c r="H3335">
        <v>3444253463</v>
      </c>
      <c r="I3335">
        <v>2376767663</v>
      </c>
      <c r="J3335">
        <v>1307962446</v>
      </c>
      <c r="K3335">
        <v>966923078</v>
      </c>
      <c r="L3335">
        <v>974332900</v>
      </c>
      <c r="M3335">
        <v>931402312</v>
      </c>
      <c r="N3335">
        <v>812961621</v>
      </c>
      <c r="O3335">
        <v>689170932</v>
      </c>
      <c r="P3335">
        <v>549</v>
      </c>
      <c r="Q3335" t="s">
        <v>7013</v>
      </c>
    </row>
    <row r="3336" spans="1:17" x14ac:dyDescent="0.3">
      <c r="A3336" t="s">
        <v>4664</v>
      </c>
      <c r="B3336" t="str">
        <f>"002654"</f>
        <v>002654</v>
      </c>
      <c r="C3336" t="s">
        <v>7014</v>
      </c>
      <c r="D3336" t="s">
        <v>803</v>
      </c>
      <c r="F3336">
        <v>3204915664</v>
      </c>
      <c r="G3336">
        <v>2992716508</v>
      </c>
      <c r="H3336">
        <v>2939171398</v>
      </c>
      <c r="I3336">
        <v>3085448923</v>
      </c>
      <c r="J3336">
        <v>1826930261</v>
      </c>
      <c r="K3336">
        <v>997296812</v>
      </c>
      <c r="L3336">
        <v>500287116</v>
      </c>
      <c r="M3336">
        <v>354852584</v>
      </c>
      <c r="N3336">
        <v>295539896</v>
      </c>
      <c r="O3336">
        <v>253292242</v>
      </c>
      <c r="P3336">
        <v>124</v>
      </c>
      <c r="Q3336" t="s">
        <v>7015</v>
      </c>
    </row>
    <row r="3337" spans="1:17" x14ac:dyDescent="0.3">
      <c r="A3337" t="s">
        <v>4664</v>
      </c>
      <c r="B3337" t="str">
        <f>"002655"</f>
        <v>002655</v>
      </c>
      <c r="C3337" t="s">
        <v>7016</v>
      </c>
      <c r="D3337" t="s">
        <v>313</v>
      </c>
      <c r="F3337">
        <v>747168103</v>
      </c>
      <c r="G3337">
        <v>826612489</v>
      </c>
      <c r="H3337">
        <v>700384220</v>
      </c>
      <c r="I3337">
        <v>614863019</v>
      </c>
      <c r="J3337">
        <v>618556311</v>
      </c>
      <c r="K3337">
        <v>544454770</v>
      </c>
      <c r="L3337">
        <v>508925482</v>
      </c>
      <c r="M3337">
        <v>499699759</v>
      </c>
      <c r="N3337">
        <v>316711619</v>
      </c>
      <c r="O3337">
        <v>293355469</v>
      </c>
      <c r="P3337">
        <v>230</v>
      </c>
      <c r="Q3337" t="s">
        <v>7017</v>
      </c>
    </row>
    <row r="3338" spans="1:17" x14ac:dyDescent="0.3">
      <c r="A3338" t="s">
        <v>4664</v>
      </c>
      <c r="B3338" t="str">
        <f>"002656"</f>
        <v>002656</v>
      </c>
      <c r="C3338" t="s">
        <v>7018</v>
      </c>
      <c r="D3338" t="s">
        <v>255</v>
      </c>
      <c r="F3338">
        <v>313446428</v>
      </c>
      <c r="G3338">
        <v>430220869</v>
      </c>
      <c r="H3338">
        <v>996476647</v>
      </c>
      <c r="I3338">
        <v>899080709</v>
      </c>
      <c r="J3338">
        <v>627566657</v>
      </c>
      <c r="K3338">
        <v>581162048</v>
      </c>
      <c r="L3338">
        <v>527243687</v>
      </c>
      <c r="M3338">
        <v>590535952</v>
      </c>
      <c r="N3338">
        <v>526180816</v>
      </c>
      <c r="O3338">
        <v>357896334</v>
      </c>
      <c r="P3338">
        <v>62</v>
      </c>
      <c r="Q3338" t="s">
        <v>7019</v>
      </c>
    </row>
    <row r="3339" spans="1:17" x14ac:dyDescent="0.3">
      <c r="A3339" t="s">
        <v>4664</v>
      </c>
      <c r="B3339" t="str">
        <f>"002657"</f>
        <v>002657</v>
      </c>
      <c r="C3339" t="s">
        <v>7020</v>
      </c>
      <c r="D3339" t="s">
        <v>316</v>
      </c>
      <c r="F3339">
        <v>1157588864</v>
      </c>
      <c r="G3339">
        <v>1066701960</v>
      </c>
      <c r="H3339">
        <v>1022714302</v>
      </c>
      <c r="I3339">
        <v>906403857</v>
      </c>
      <c r="J3339">
        <v>755621013</v>
      </c>
      <c r="K3339">
        <v>927981526</v>
      </c>
      <c r="L3339">
        <v>836758374</v>
      </c>
      <c r="M3339">
        <v>666465095</v>
      </c>
      <c r="N3339">
        <v>522204060</v>
      </c>
      <c r="O3339">
        <v>385811989</v>
      </c>
      <c r="P3339">
        <v>154</v>
      </c>
      <c r="Q3339" t="s">
        <v>7021</v>
      </c>
    </row>
    <row r="3340" spans="1:17" x14ac:dyDescent="0.3">
      <c r="A3340" t="s">
        <v>4664</v>
      </c>
      <c r="B3340" t="str">
        <f>"002658"</f>
        <v>002658</v>
      </c>
      <c r="C3340" t="s">
        <v>7022</v>
      </c>
      <c r="D3340" t="s">
        <v>1070</v>
      </c>
      <c r="F3340">
        <v>833254436</v>
      </c>
      <c r="G3340">
        <v>684990998</v>
      </c>
      <c r="H3340">
        <v>799028467</v>
      </c>
      <c r="I3340">
        <v>742534999</v>
      </c>
      <c r="J3340">
        <v>886539776</v>
      </c>
      <c r="K3340">
        <v>688435939</v>
      </c>
      <c r="L3340">
        <v>660248728</v>
      </c>
      <c r="M3340">
        <v>574299827</v>
      </c>
      <c r="N3340">
        <v>396028638</v>
      </c>
      <c r="O3340">
        <v>225630403</v>
      </c>
      <c r="P3340">
        <v>231</v>
      </c>
      <c r="Q3340" t="s">
        <v>7023</v>
      </c>
    </row>
    <row r="3341" spans="1:17" x14ac:dyDescent="0.3">
      <c r="A3341" t="s">
        <v>4664</v>
      </c>
      <c r="B3341" t="str">
        <f>"002659"</f>
        <v>002659</v>
      </c>
      <c r="C3341" t="s">
        <v>7024</v>
      </c>
      <c r="D3341" t="s">
        <v>1777</v>
      </c>
      <c r="F3341">
        <v>373204541</v>
      </c>
      <c r="G3341">
        <v>327079572</v>
      </c>
      <c r="H3341">
        <v>389187647</v>
      </c>
      <c r="I3341">
        <v>317682734</v>
      </c>
      <c r="J3341">
        <v>590165393</v>
      </c>
      <c r="K3341">
        <v>379548029</v>
      </c>
      <c r="L3341">
        <v>475801003</v>
      </c>
      <c r="M3341">
        <v>289083361</v>
      </c>
      <c r="N3341">
        <v>515901515</v>
      </c>
      <c r="O3341">
        <v>369147948</v>
      </c>
      <c r="P3341">
        <v>96</v>
      </c>
      <c r="Q3341" t="s">
        <v>7025</v>
      </c>
    </row>
    <row r="3342" spans="1:17" x14ac:dyDescent="0.3">
      <c r="A3342" t="s">
        <v>4664</v>
      </c>
      <c r="B3342" t="str">
        <f>"002660"</f>
        <v>002660</v>
      </c>
      <c r="C3342" t="s">
        <v>7026</v>
      </c>
      <c r="D3342" t="s">
        <v>313</v>
      </c>
      <c r="F3342">
        <v>856034553</v>
      </c>
      <c r="G3342">
        <v>841087604</v>
      </c>
      <c r="H3342">
        <v>916320608</v>
      </c>
      <c r="I3342">
        <v>947274798</v>
      </c>
      <c r="J3342">
        <v>1083674537</v>
      </c>
      <c r="K3342">
        <v>779587511</v>
      </c>
      <c r="L3342">
        <v>534900174</v>
      </c>
      <c r="M3342">
        <v>493844397</v>
      </c>
      <c r="N3342">
        <v>389764553</v>
      </c>
      <c r="O3342">
        <v>329362733</v>
      </c>
      <c r="P3342">
        <v>122</v>
      </c>
      <c r="Q3342" t="s">
        <v>7027</v>
      </c>
    </row>
    <row r="3343" spans="1:17" x14ac:dyDescent="0.3">
      <c r="A3343" t="s">
        <v>4664</v>
      </c>
      <c r="B3343" t="str">
        <f>"002661"</f>
        <v>002661</v>
      </c>
      <c r="C3343" t="s">
        <v>7028</v>
      </c>
      <c r="D3343" t="s">
        <v>445</v>
      </c>
      <c r="F3343">
        <v>3316383937</v>
      </c>
      <c r="G3343">
        <v>3309084147</v>
      </c>
      <c r="H3343">
        <v>2451281206</v>
      </c>
      <c r="I3343">
        <v>2281054889</v>
      </c>
      <c r="J3343">
        <v>1910018715</v>
      </c>
      <c r="K3343">
        <v>1666519975</v>
      </c>
      <c r="L3343">
        <v>1300746188</v>
      </c>
      <c r="M3343">
        <v>1170655435</v>
      </c>
      <c r="N3343">
        <v>917705293</v>
      </c>
      <c r="O3343">
        <v>771088030</v>
      </c>
      <c r="P3343">
        <v>511</v>
      </c>
      <c r="Q3343" t="s">
        <v>7029</v>
      </c>
    </row>
    <row r="3344" spans="1:17" x14ac:dyDescent="0.3">
      <c r="A3344" t="s">
        <v>4664</v>
      </c>
      <c r="B3344" t="str">
        <f>"002662"</f>
        <v>002662</v>
      </c>
      <c r="C3344" t="s">
        <v>7030</v>
      </c>
      <c r="D3344" t="s">
        <v>191</v>
      </c>
      <c r="F3344">
        <v>2660666980</v>
      </c>
      <c r="G3344">
        <v>2562617158</v>
      </c>
      <c r="H3344">
        <v>3135540595</v>
      </c>
      <c r="I3344">
        <v>3972441725</v>
      </c>
      <c r="J3344">
        <v>4131070416</v>
      </c>
      <c r="K3344">
        <v>3441984344</v>
      </c>
      <c r="L3344">
        <v>2886384315</v>
      </c>
      <c r="M3344">
        <v>1706734894</v>
      </c>
      <c r="N3344">
        <v>1398455137</v>
      </c>
      <c r="O3344">
        <v>1309023011</v>
      </c>
      <c r="P3344">
        <v>140</v>
      </c>
      <c r="Q3344" t="s">
        <v>7031</v>
      </c>
    </row>
    <row r="3345" spans="1:17" x14ac:dyDescent="0.3">
      <c r="A3345" t="s">
        <v>4664</v>
      </c>
      <c r="B3345" t="str">
        <f>"002663"</f>
        <v>002663</v>
      </c>
      <c r="C3345" t="s">
        <v>7032</v>
      </c>
      <c r="D3345" t="s">
        <v>2408</v>
      </c>
      <c r="F3345">
        <v>2328087846</v>
      </c>
      <c r="G3345">
        <v>1994979145</v>
      </c>
      <c r="H3345">
        <v>2231141647</v>
      </c>
      <c r="I3345">
        <v>2637913927</v>
      </c>
      <c r="J3345">
        <v>2284795596</v>
      </c>
      <c r="K3345">
        <v>1639961557</v>
      </c>
      <c r="L3345">
        <v>1508499336</v>
      </c>
      <c r="M3345">
        <v>1491921686</v>
      </c>
      <c r="N3345">
        <v>959169809</v>
      </c>
      <c r="O3345">
        <v>897964292</v>
      </c>
      <c r="P3345">
        <v>95</v>
      </c>
      <c r="Q3345" t="s">
        <v>7033</v>
      </c>
    </row>
    <row r="3346" spans="1:17" x14ac:dyDescent="0.3">
      <c r="A3346" t="s">
        <v>4664</v>
      </c>
      <c r="B3346" t="str">
        <f>"002664"</f>
        <v>002664</v>
      </c>
      <c r="C3346" t="s">
        <v>7034</v>
      </c>
      <c r="D3346" t="s">
        <v>1415</v>
      </c>
      <c r="F3346">
        <v>2675079680</v>
      </c>
      <c r="G3346">
        <v>2077882088</v>
      </c>
      <c r="H3346">
        <v>2015851865</v>
      </c>
      <c r="I3346">
        <v>2120107277</v>
      </c>
      <c r="J3346">
        <v>1659742562</v>
      </c>
      <c r="K3346">
        <v>1211195284</v>
      </c>
      <c r="L3346">
        <v>1071197245</v>
      </c>
      <c r="M3346">
        <v>954469812</v>
      </c>
      <c r="N3346">
        <v>809431431</v>
      </c>
      <c r="O3346">
        <v>589837562</v>
      </c>
      <c r="P3346">
        <v>232</v>
      </c>
      <c r="Q3346" t="s">
        <v>7035</v>
      </c>
    </row>
    <row r="3347" spans="1:17" x14ac:dyDescent="0.3">
      <c r="A3347" t="s">
        <v>4664</v>
      </c>
      <c r="B3347" t="str">
        <f>"002665"</f>
        <v>002665</v>
      </c>
      <c r="C3347" t="s">
        <v>7036</v>
      </c>
      <c r="D3347" t="s">
        <v>880</v>
      </c>
      <c r="F3347">
        <v>590362383</v>
      </c>
      <c r="G3347">
        <v>196222490</v>
      </c>
      <c r="H3347">
        <v>464244098</v>
      </c>
      <c r="I3347">
        <v>581272477</v>
      </c>
      <c r="J3347">
        <v>959416207</v>
      </c>
      <c r="K3347">
        <v>805402696</v>
      </c>
      <c r="L3347">
        <v>515724168</v>
      </c>
      <c r="M3347">
        <v>438126018</v>
      </c>
      <c r="N3347">
        <v>473542324</v>
      </c>
      <c r="O3347">
        <v>275968996</v>
      </c>
      <c r="P3347">
        <v>208</v>
      </c>
      <c r="Q3347" t="s">
        <v>7037</v>
      </c>
    </row>
    <row r="3348" spans="1:17" x14ac:dyDescent="0.3">
      <c r="A3348" t="s">
        <v>4664</v>
      </c>
      <c r="B3348" t="str">
        <f>"002666"</f>
        <v>002666</v>
      </c>
      <c r="C3348" t="s">
        <v>7038</v>
      </c>
      <c r="D3348" t="s">
        <v>386</v>
      </c>
      <c r="F3348">
        <v>4290123011</v>
      </c>
      <c r="G3348">
        <v>3072454837</v>
      </c>
      <c r="H3348">
        <v>2634733518</v>
      </c>
      <c r="I3348">
        <v>2745502493</v>
      </c>
      <c r="J3348">
        <v>1996665867</v>
      </c>
      <c r="K3348">
        <v>1579780819</v>
      </c>
      <c r="L3348">
        <v>1364030810</v>
      </c>
      <c r="M3348">
        <v>1289628872</v>
      </c>
      <c r="N3348">
        <v>1122590635</v>
      </c>
      <c r="O3348">
        <v>898361347</v>
      </c>
      <c r="P3348">
        <v>110</v>
      </c>
      <c r="Q3348" t="s">
        <v>7039</v>
      </c>
    </row>
    <row r="3349" spans="1:17" x14ac:dyDescent="0.3">
      <c r="A3349" t="s">
        <v>4664</v>
      </c>
      <c r="B3349" t="str">
        <f>"002667"</f>
        <v>002667</v>
      </c>
      <c r="C3349" t="s">
        <v>7040</v>
      </c>
      <c r="D3349" t="s">
        <v>395</v>
      </c>
      <c r="F3349">
        <v>175018397</v>
      </c>
      <c r="G3349">
        <v>125208478</v>
      </c>
      <c r="H3349">
        <v>144168462</v>
      </c>
      <c r="I3349">
        <v>145137270</v>
      </c>
      <c r="J3349">
        <v>121903832</v>
      </c>
      <c r="K3349">
        <v>86527312</v>
      </c>
      <c r="L3349">
        <v>123195603</v>
      </c>
      <c r="M3349">
        <v>137107615</v>
      </c>
      <c r="N3349">
        <v>156844269</v>
      </c>
      <c r="O3349">
        <v>135893041</v>
      </c>
      <c r="P3349">
        <v>73</v>
      </c>
      <c r="Q3349" t="s">
        <v>7041</v>
      </c>
    </row>
    <row r="3350" spans="1:17" x14ac:dyDescent="0.3">
      <c r="A3350" t="s">
        <v>4664</v>
      </c>
      <c r="B3350" t="str">
        <f>"002668"</f>
        <v>002668</v>
      </c>
      <c r="C3350" t="s">
        <v>7042</v>
      </c>
      <c r="D3350" t="s">
        <v>754</v>
      </c>
      <c r="F3350">
        <v>7751387184</v>
      </c>
      <c r="G3350">
        <v>5898126820</v>
      </c>
      <c r="H3350">
        <v>6040723030</v>
      </c>
      <c r="I3350">
        <v>5490212629</v>
      </c>
      <c r="J3350">
        <v>4948207705</v>
      </c>
      <c r="K3350">
        <v>4096083798</v>
      </c>
      <c r="L3350">
        <v>3899514609</v>
      </c>
      <c r="M3350">
        <v>3789524692</v>
      </c>
      <c r="N3350">
        <v>2571617976</v>
      </c>
      <c r="O3350">
        <v>2557412319</v>
      </c>
      <c r="P3350">
        <v>204</v>
      </c>
      <c r="Q3350" t="s">
        <v>7043</v>
      </c>
    </row>
    <row r="3351" spans="1:17" x14ac:dyDescent="0.3">
      <c r="A3351" t="s">
        <v>4664</v>
      </c>
      <c r="B3351" t="str">
        <f>"002669"</f>
        <v>002669</v>
      </c>
      <c r="C3351" t="s">
        <v>7044</v>
      </c>
      <c r="D3351" t="s">
        <v>3143</v>
      </c>
      <c r="F3351">
        <v>1695352814</v>
      </c>
      <c r="G3351">
        <v>1041163195</v>
      </c>
      <c r="H3351">
        <v>812279095</v>
      </c>
      <c r="I3351">
        <v>608844418</v>
      </c>
      <c r="J3351">
        <v>457098609</v>
      </c>
      <c r="K3351">
        <v>519040813</v>
      </c>
      <c r="L3351">
        <v>489383096</v>
      </c>
      <c r="M3351">
        <v>352391150</v>
      </c>
      <c r="N3351">
        <v>255010923</v>
      </c>
      <c r="O3351">
        <v>181351450</v>
      </c>
      <c r="P3351">
        <v>138</v>
      </c>
      <c r="Q3351" t="s">
        <v>7045</v>
      </c>
    </row>
    <row r="3352" spans="1:17" x14ac:dyDescent="0.3">
      <c r="A3352" t="s">
        <v>4664</v>
      </c>
      <c r="B3352" t="str">
        <f>"002670"</f>
        <v>002670</v>
      </c>
      <c r="C3352" t="s">
        <v>7046</v>
      </c>
      <c r="D3352" t="s">
        <v>80</v>
      </c>
      <c r="F3352">
        <v>0</v>
      </c>
      <c r="G3352">
        <v>4275000</v>
      </c>
      <c r="H3352">
        <v>0</v>
      </c>
      <c r="I3352">
        <v>0</v>
      </c>
      <c r="J3352">
        <v>668830603</v>
      </c>
      <c r="K3352">
        <v>721099066</v>
      </c>
      <c r="L3352">
        <v>1030943457</v>
      </c>
      <c r="M3352">
        <v>1219107075</v>
      </c>
      <c r="N3352">
        <v>1057570186</v>
      </c>
      <c r="O3352">
        <v>1149151028</v>
      </c>
      <c r="P3352">
        <v>580</v>
      </c>
      <c r="Q3352" t="s">
        <v>7047</v>
      </c>
    </row>
    <row r="3353" spans="1:17" x14ac:dyDescent="0.3">
      <c r="A3353" t="s">
        <v>4664</v>
      </c>
      <c r="B3353" t="str">
        <f>"002671"</f>
        <v>002671</v>
      </c>
      <c r="C3353" t="s">
        <v>7048</v>
      </c>
      <c r="D3353" t="s">
        <v>3071</v>
      </c>
      <c r="F3353">
        <v>784797742</v>
      </c>
      <c r="G3353">
        <v>546999526</v>
      </c>
      <c r="H3353">
        <v>792781409</v>
      </c>
      <c r="I3353">
        <v>852749476</v>
      </c>
      <c r="J3353">
        <v>647766951</v>
      </c>
      <c r="K3353">
        <v>577579613</v>
      </c>
      <c r="L3353">
        <v>227902320</v>
      </c>
      <c r="M3353">
        <v>555912787</v>
      </c>
      <c r="N3353">
        <v>661884281</v>
      </c>
      <c r="O3353">
        <v>398947830</v>
      </c>
      <c r="P3353">
        <v>68</v>
      </c>
      <c r="Q3353" t="s">
        <v>7049</v>
      </c>
    </row>
    <row r="3354" spans="1:17" x14ac:dyDescent="0.3">
      <c r="A3354" t="s">
        <v>4664</v>
      </c>
      <c r="B3354" t="str">
        <f>"002672"</f>
        <v>002672</v>
      </c>
      <c r="C3354" t="s">
        <v>7050</v>
      </c>
      <c r="D3354" t="s">
        <v>499</v>
      </c>
      <c r="F3354">
        <v>2684507319</v>
      </c>
      <c r="G3354">
        <v>2606269259</v>
      </c>
      <c r="H3354">
        <v>2830888964</v>
      </c>
      <c r="I3354">
        <v>2821624432</v>
      </c>
      <c r="J3354">
        <v>2403482051</v>
      </c>
      <c r="K3354">
        <v>1932008172</v>
      </c>
      <c r="L3354">
        <v>1766819157</v>
      </c>
      <c r="M3354">
        <v>1394917513</v>
      </c>
      <c r="N3354">
        <v>1250980042</v>
      </c>
      <c r="O3354">
        <v>1088171049</v>
      </c>
      <c r="P3354">
        <v>317</v>
      </c>
      <c r="Q3354" t="s">
        <v>7051</v>
      </c>
    </row>
    <row r="3355" spans="1:17" x14ac:dyDescent="0.3">
      <c r="A3355" t="s">
        <v>4664</v>
      </c>
      <c r="B3355" t="str">
        <f>"002673"</f>
        <v>002673</v>
      </c>
      <c r="C3355" t="s">
        <v>7052</v>
      </c>
      <c r="D3355" t="s">
        <v>80</v>
      </c>
      <c r="P3355">
        <v>1135</v>
      </c>
      <c r="Q3355" t="s">
        <v>7053</v>
      </c>
    </row>
    <row r="3356" spans="1:17" x14ac:dyDescent="0.3">
      <c r="A3356" t="s">
        <v>4664</v>
      </c>
      <c r="B3356" t="str">
        <f>"002674"</f>
        <v>002674</v>
      </c>
      <c r="C3356" t="s">
        <v>7054</v>
      </c>
      <c r="D3356" t="s">
        <v>2929</v>
      </c>
      <c r="F3356">
        <v>1458684688</v>
      </c>
      <c r="G3356">
        <v>695610737</v>
      </c>
      <c r="H3356">
        <v>1255606039</v>
      </c>
      <c r="I3356">
        <v>1475561754</v>
      </c>
      <c r="J3356">
        <v>1570112143</v>
      </c>
      <c r="K3356">
        <v>1831425459</v>
      </c>
      <c r="L3356">
        <v>1734757692</v>
      </c>
      <c r="M3356">
        <v>1513157777</v>
      </c>
      <c r="N3356">
        <v>1110333540</v>
      </c>
      <c r="O3356">
        <v>1194684617</v>
      </c>
      <c r="P3356">
        <v>102</v>
      </c>
      <c r="Q3356" t="s">
        <v>7055</v>
      </c>
    </row>
    <row r="3357" spans="1:17" x14ac:dyDescent="0.3">
      <c r="A3357" t="s">
        <v>4664</v>
      </c>
      <c r="B3357" t="str">
        <f>"002675"</f>
        <v>002675</v>
      </c>
      <c r="C3357" t="s">
        <v>7056</v>
      </c>
      <c r="D3357" t="s">
        <v>143</v>
      </c>
      <c r="F3357">
        <v>2913155667</v>
      </c>
      <c r="G3357">
        <v>2474116289</v>
      </c>
      <c r="H3357">
        <v>2206016822</v>
      </c>
      <c r="I3357">
        <v>1643380475</v>
      </c>
      <c r="J3357">
        <v>1104462519</v>
      </c>
      <c r="K3357">
        <v>770323751</v>
      </c>
      <c r="L3357">
        <v>524255012</v>
      </c>
      <c r="M3357">
        <v>543140146</v>
      </c>
      <c r="N3357">
        <v>507562047</v>
      </c>
      <c r="O3357">
        <v>415332610</v>
      </c>
      <c r="P3357">
        <v>365</v>
      </c>
      <c r="Q3357" t="s">
        <v>7057</v>
      </c>
    </row>
    <row r="3358" spans="1:17" x14ac:dyDescent="0.3">
      <c r="A3358" t="s">
        <v>4664</v>
      </c>
      <c r="B3358" t="str">
        <f>"002676"</f>
        <v>002676</v>
      </c>
      <c r="C3358" t="s">
        <v>7058</v>
      </c>
      <c r="D3358" t="s">
        <v>1253</v>
      </c>
      <c r="F3358">
        <v>1081651708</v>
      </c>
      <c r="G3358">
        <v>902613854</v>
      </c>
      <c r="H3358">
        <v>828083584</v>
      </c>
      <c r="I3358">
        <v>981935117</v>
      </c>
      <c r="J3358">
        <v>954493344</v>
      </c>
      <c r="K3358">
        <v>833925643</v>
      </c>
      <c r="L3358">
        <v>940600620</v>
      </c>
      <c r="M3358">
        <v>945751724</v>
      </c>
      <c r="N3358">
        <v>832367644</v>
      </c>
      <c r="O3358">
        <v>692559422</v>
      </c>
      <c r="P3358">
        <v>87</v>
      </c>
      <c r="Q3358" t="s">
        <v>7059</v>
      </c>
    </row>
    <row r="3359" spans="1:17" x14ac:dyDescent="0.3">
      <c r="A3359" t="s">
        <v>4664</v>
      </c>
      <c r="B3359" t="str">
        <f>"002677"</f>
        <v>002677</v>
      </c>
      <c r="C3359" t="s">
        <v>7060</v>
      </c>
      <c r="D3359" t="s">
        <v>3680</v>
      </c>
      <c r="F3359">
        <v>1605768588</v>
      </c>
      <c r="G3359">
        <v>1263856105</v>
      </c>
      <c r="H3359">
        <v>1275532521</v>
      </c>
      <c r="I3359">
        <v>1093666370</v>
      </c>
      <c r="J3359">
        <v>851628404</v>
      </c>
      <c r="K3359">
        <v>507496330</v>
      </c>
      <c r="L3359">
        <v>384509082</v>
      </c>
      <c r="M3359">
        <v>318941642</v>
      </c>
      <c r="N3359">
        <v>286594685</v>
      </c>
      <c r="O3359">
        <v>243158183</v>
      </c>
      <c r="P3359">
        <v>4536</v>
      </c>
      <c r="Q3359" t="s">
        <v>7061</v>
      </c>
    </row>
    <row r="3360" spans="1:17" x14ac:dyDescent="0.3">
      <c r="A3360" t="s">
        <v>4664</v>
      </c>
      <c r="B3360" t="str">
        <f>"002678"</f>
        <v>002678</v>
      </c>
      <c r="C3360" t="s">
        <v>7062</v>
      </c>
      <c r="D3360" t="s">
        <v>2904</v>
      </c>
      <c r="F3360">
        <v>1530918384</v>
      </c>
      <c r="G3360">
        <v>1078560982</v>
      </c>
      <c r="H3360">
        <v>1522156842</v>
      </c>
      <c r="I3360">
        <v>1422180380</v>
      </c>
      <c r="J3360">
        <v>1305991557</v>
      </c>
      <c r="K3360">
        <v>1083757695</v>
      </c>
      <c r="L3360">
        <v>1002652683</v>
      </c>
      <c r="M3360">
        <v>1031344468</v>
      </c>
      <c r="N3360">
        <v>968771229</v>
      </c>
      <c r="O3360">
        <v>979027468</v>
      </c>
      <c r="P3360">
        <v>113</v>
      </c>
      <c r="Q3360" t="s">
        <v>7063</v>
      </c>
    </row>
    <row r="3361" spans="1:17" x14ac:dyDescent="0.3">
      <c r="A3361" t="s">
        <v>4664</v>
      </c>
      <c r="B3361" t="str">
        <f>"002679"</f>
        <v>002679</v>
      </c>
      <c r="C3361" t="s">
        <v>7064</v>
      </c>
      <c r="D3361" t="s">
        <v>603</v>
      </c>
      <c r="F3361">
        <v>55331764</v>
      </c>
      <c r="G3361">
        <v>88085010</v>
      </c>
      <c r="H3361">
        <v>68165627</v>
      </c>
      <c r="I3361">
        <v>96003264</v>
      </c>
      <c r="J3361">
        <v>29061436</v>
      </c>
      <c r="K3361">
        <v>44726557</v>
      </c>
      <c r="L3361">
        <v>79112983</v>
      </c>
      <c r="M3361">
        <v>74331848</v>
      </c>
      <c r="N3361">
        <v>76517169</v>
      </c>
      <c r="O3361">
        <v>63925311</v>
      </c>
      <c r="P3361">
        <v>95</v>
      </c>
      <c r="Q3361" t="s">
        <v>7065</v>
      </c>
    </row>
    <row r="3362" spans="1:17" x14ac:dyDescent="0.3">
      <c r="A3362" t="s">
        <v>4664</v>
      </c>
      <c r="B3362" t="str">
        <f>"002680"</f>
        <v>002680</v>
      </c>
      <c r="C3362" t="s">
        <v>7066</v>
      </c>
      <c r="J3362">
        <v>883302336</v>
      </c>
      <c r="K3362">
        <v>360449599</v>
      </c>
      <c r="L3362">
        <v>56276616</v>
      </c>
      <c r="M3362">
        <v>113628016</v>
      </c>
      <c r="N3362">
        <v>166924736</v>
      </c>
      <c r="O3362">
        <v>339177597</v>
      </c>
      <c r="P3362">
        <v>221</v>
      </c>
      <c r="Q3362" t="s">
        <v>7067</v>
      </c>
    </row>
    <row r="3363" spans="1:17" x14ac:dyDescent="0.3">
      <c r="A3363" t="s">
        <v>4664</v>
      </c>
      <c r="B3363" t="str">
        <f>"002681"</f>
        <v>002681</v>
      </c>
      <c r="C3363" t="s">
        <v>7068</v>
      </c>
      <c r="D3363" t="s">
        <v>313</v>
      </c>
      <c r="F3363">
        <v>3164964563</v>
      </c>
      <c r="G3363">
        <v>2710013254</v>
      </c>
      <c r="H3363">
        <v>2920176856</v>
      </c>
      <c r="I3363">
        <v>2994352777</v>
      </c>
      <c r="J3363">
        <v>1543371609</v>
      </c>
      <c r="K3363">
        <v>1529760506</v>
      </c>
      <c r="L3363">
        <v>1327516250</v>
      </c>
      <c r="M3363">
        <v>693686473</v>
      </c>
      <c r="N3363">
        <v>650704290</v>
      </c>
      <c r="O3363">
        <v>570299941</v>
      </c>
      <c r="P3363">
        <v>216</v>
      </c>
      <c r="Q3363" t="s">
        <v>7069</v>
      </c>
    </row>
    <row r="3364" spans="1:17" x14ac:dyDescent="0.3">
      <c r="A3364" t="s">
        <v>4664</v>
      </c>
      <c r="B3364" t="str">
        <f>"002682"</f>
        <v>002682</v>
      </c>
      <c r="C3364" t="s">
        <v>7070</v>
      </c>
      <c r="D3364" t="s">
        <v>2492</v>
      </c>
      <c r="F3364">
        <v>4105409969</v>
      </c>
      <c r="G3364">
        <v>3393595198</v>
      </c>
      <c r="H3364">
        <v>4396565965</v>
      </c>
      <c r="I3364">
        <v>4129537716</v>
      </c>
      <c r="J3364">
        <v>2787731037</v>
      </c>
      <c r="K3364">
        <v>1714257882</v>
      </c>
      <c r="L3364">
        <v>1711587501</v>
      </c>
      <c r="M3364">
        <v>1768756118</v>
      </c>
      <c r="N3364">
        <v>1382913719</v>
      </c>
      <c r="O3364">
        <v>1148243739</v>
      </c>
      <c r="P3364">
        <v>80</v>
      </c>
      <c r="Q3364" t="s">
        <v>7071</v>
      </c>
    </row>
    <row r="3365" spans="1:17" x14ac:dyDescent="0.3">
      <c r="A3365" t="s">
        <v>4664</v>
      </c>
      <c r="B3365" t="str">
        <f>"002683"</f>
        <v>002683</v>
      </c>
      <c r="C3365" t="s">
        <v>7072</v>
      </c>
      <c r="D3365" t="s">
        <v>2713</v>
      </c>
      <c r="F3365">
        <v>5350445838</v>
      </c>
      <c r="G3365">
        <v>4487357652</v>
      </c>
      <c r="H3365">
        <v>4103615700</v>
      </c>
      <c r="I3365">
        <v>3378618859</v>
      </c>
      <c r="J3365">
        <v>2548924172</v>
      </c>
      <c r="K3365">
        <v>1454977686</v>
      </c>
      <c r="L3365">
        <v>1696299038</v>
      </c>
      <c r="M3365">
        <v>2022633160</v>
      </c>
      <c r="N3365">
        <v>1337751487</v>
      </c>
      <c r="O3365">
        <v>914239859</v>
      </c>
      <c r="P3365">
        <v>270</v>
      </c>
      <c r="Q3365" t="s">
        <v>7073</v>
      </c>
    </row>
    <row r="3366" spans="1:17" x14ac:dyDescent="0.3">
      <c r="A3366" t="s">
        <v>4664</v>
      </c>
      <c r="B3366" t="str">
        <f>"002684"</f>
        <v>002684</v>
      </c>
      <c r="C3366" t="s">
        <v>7074</v>
      </c>
      <c r="D3366" t="s">
        <v>2359</v>
      </c>
      <c r="F3366">
        <v>779892432</v>
      </c>
      <c r="G3366">
        <v>840850033</v>
      </c>
      <c r="H3366">
        <v>1231696077</v>
      </c>
      <c r="I3366">
        <v>1603092559</v>
      </c>
      <c r="J3366">
        <v>1369443772</v>
      </c>
      <c r="K3366">
        <v>1085502629</v>
      </c>
      <c r="L3366">
        <v>429130929</v>
      </c>
      <c r="M3366">
        <v>380448416</v>
      </c>
      <c r="N3366">
        <v>276863247</v>
      </c>
      <c r="O3366">
        <v>387880283</v>
      </c>
      <c r="P3366">
        <v>91</v>
      </c>
      <c r="Q3366" t="s">
        <v>7075</v>
      </c>
    </row>
    <row r="3367" spans="1:17" x14ac:dyDescent="0.3">
      <c r="A3367" t="s">
        <v>4664</v>
      </c>
      <c r="B3367" t="str">
        <f>"002685"</f>
        <v>002685</v>
      </c>
      <c r="C3367" t="s">
        <v>7076</v>
      </c>
      <c r="D3367" t="s">
        <v>2312</v>
      </c>
      <c r="F3367">
        <v>7902401413</v>
      </c>
      <c r="G3367">
        <v>9611058123</v>
      </c>
      <c r="H3367">
        <v>10190041946</v>
      </c>
      <c r="I3367">
        <v>7171258462</v>
      </c>
      <c r="J3367">
        <v>3237947935</v>
      </c>
      <c r="K3367">
        <v>1835715077</v>
      </c>
      <c r="L3367">
        <v>1040503992</v>
      </c>
      <c r="M3367">
        <v>258814804</v>
      </c>
      <c r="N3367">
        <v>192746865</v>
      </c>
      <c r="O3367">
        <v>171334238</v>
      </c>
      <c r="P3367">
        <v>109</v>
      </c>
      <c r="Q3367" t="s">
        <v>7077</v>
      </c>
    </row>
    <row r="3368" spans="1:17" x14ac:dyDescent="0.3">
      <c r="A3368" t="s">
        <v>4664</v>
      </c>
      <c r="B3368" t="str">
        <f>"002686"</f>
        <v>002686</v>
      </c>
      <c r="C3368" t="s">
        <v>7078</v>
      </c>
      <c r="D3368" t="s">
        <v>988</v>
      </c>
      <c r="F3368">
        <v>1101787676</v>
      </c>
      <c r="G3368">
        <v>900608314</v>
      </c>
      <c r="H3368">
        <v>1211545949</v>
      </c>
      <c r="I3368">
        <v>878460003</v>
      </c>
      <c r="J3368">
        <v>737213252</v>
      </c>
      <c r="K3368">
        <v>589036182</v>
      </c>
      <c r="L3368">
        <v>460010349</v>
      </c>
      <c r="M3368">
        <v>442857413</v>
      </c>
      <c r="N3368">
        <v>401491336</v>
      </c>
      <c r="O3368">
        <v>300399385</v>
      </c>
      <c r="P3368">
        <v>78</v>
      </c>
      <c r="Q3368" t="s">
        <v>7079</v>
      </c>
    </row>
    <row r="3369" spans="1:17" x14ac:dyDescent="0.3">
      <c r="A3369" t="s">
        <v>4664</v>
      </c>
      <c r="B3369" t="str">
        <f>"002687"</f>
        <v>002687</v>
      </c>
      <c r="C3369" t="s">
        <v>7080</v>
      </c>
      <c r="D3369" t="s">
        <v>255</v>
      </c>
      <c r="F3369">
        <v>649957382</v>
      </c>
      <c r="G3369">
        <v>648066476</v>
      </c>
      <c r="H3369">
        <v>671928008</v>
      </c>
      <c r="I3369">
        <v>607153823</v>
      </c>
      <c r="J3369">
        <v>480138107</v>
      </c>
      <c r="K3369">
        <v>476317424</v>
      </c>
      <c r="L3369">
        <v>380548474</v>
      </c>
      <c r="M3369">
        <v>414963956</v>
      </c>
      <c r="N3369">
        <v>484605291</v>
      </c>
      <c r="O3369">
        <v>420465841</v>
      </c>
      <c r="P3369">
        <v>127</v>
      </c>
      <c r="Q3369" t="s">
        <v>7081</v>
      </c>
    </row>
    <row r="3370" spans="1:17" x14ac:dyDescent="0.3">
      <c r="A3370" t="s">
        <v>4664</v>
      </c>
      <c r="B3370" t="str">
        <f>"002688"</f>
        <v>002688</v>
      </c>
      <c r="C3370" t="s">
        <v>7082</v>
      </c>
      <c r="D3370" t="s">
        <v>453</v>
      </c>
      <c r="F3370">
        <v>1409725954</v>
      </c>
      <c r="G3370">
        <v>1256482636</v>
      </c>
      <c r="H3370">
        <v>1294874716</v>
      </c>
      <c r="I3370">
        <v>1053345499</v>
      </c>
      <c r="J3370">
        <v>859790964</v>
      </c>
      <c r="K3370">
        <v>1072767710</v>
      </c>
      <c r="L3370">
        <v>871693886</v>
      </c>
      <c r="M3370">
        <v>563878408</v>
      </c>
      <c r="N3370">
        <v>590102010</v>
      </c>
      <c r="O3370">
        <v>540299865</v>
      </c>
      <c r="P3370">
        <v>167</v>
      </c>
      <c r="Q3370" t="s">
        <v>7083</v>
      </c>
    </row>
    <row r="3371" spans="1:17" x14ac:dyDescent="0.3">
      <c r="A3371" t="s">
        <v>4664</v>
      </c>
      <c r="B3371" t="str">
        <f>"002689"</f>
        <v>002689</v>
      </c>
      <c r="C3371" t="s">
        <v>7084</v>
      </c>
      <c r="D3371" t="s">
        <v>1689</v>
      </c>
      <c r="F3371">
        <v>746579209</v>
      </c>
      <c r="G3371">
        <v>682816996</v>
      </c>
      <c r="H3371">
        <v>789739836</v>
      </c>
      <c r="I3371">
        <v>867217697</v>
      </c>
      <c r="J3371">
        <v>898393122</v>
      </c>
      <c r="K3371">
        <v>984797859</v>
      </c>
      <c r="L3371">
        <v>1211875637</v>
      </c>
      <c r="M3371">
        <v>1346131726</v>
      </c>
      <c r="N3371">
        <v>1197525104</v>
      </c>
      <c r="O3371">
        <v>1054939470</v>
      </c>
      <c r="P3371">
        <v>87</v>
      </c>
      <c r="Q3371" t="s">
        <v>7085</v>
      </c>
    </row>
    <row r="3372" spans="1:17" x14ac:dyDescent="0.3">
      <c r="A3372" t="s">
        <v>4664</v>
      </c>
      <c r="B3372" t="str">
        <f>"002690"</f>
        <v>002690</v>
      </c>
      <c r="C3372" t="s">
        <v>7086</v>
      </c>
      <c r="D3372" t="s">
        <v>741</v>
      </c>
      <c r="F3372">
        <v>1439702960</v>
      </c>
      <c r="G3372">
        <v>1030685199</v>
      </c>
      <c r="H3372">
        <v>1140552067</v>
      </c>
      <c r="I3372">
        <v>942738085</v>
      </c>
      <c r="J3372">
        <v>879432832</v>
      </c>
      <c r="K3372">
        <v>745250181</v>
      </c>
      <c r="L3372">
        <v>534205728</v>
      </c>
      <c r="M3372">
        <v>494013108</v>
      </c>
      <c r="N3372">
        <v>435567585</v>
      </c>
      <c r="O3372">
        <v>417875513</v>
      </c>
      <c r="P3372">
        <v>3632</v>
      </c>
      <c r="Q3372" t="s">
        <v>7087</v>
      </c>
    </row>
    <row r="3373" spans="1:17" x14ac:dyDescent="0.3">
      <c r="A3373" t="s">
        <v>4664</v>
      </c>
      <c r="B3373" t="str">
        <f>"002691"</f>
        <v>002691</v>
      </c>
      <c r="C3373" t="s">
        <v>7088</v>
      </c>
      <c r="D3373" t="s">
        <v>395</v>
      </c>
      <c r="F3373">
        <v>171921453</v>
      </c>
      <c r="G3373">
        <v>149684141</v>
      </c>
      <c r="H3373">
        <v>207017220</v>
      </c>
      <c r="I3373">
        <v>198972773</v>
      </c>
      <c r="J3373">
        <v>157426559</v>
      </c>
      <c r="K3373">
        <v>76014417</v>
      </c>
      <c r="L3373">
        <v>98180537</v>
      </c>
      <c r="M3373">
        <v>179953560</v>
      </c>
      <c r="N3373">
        <v>167999133</v>
      </c>
      <c r="O3373">
        <v>230324785</v>
      </c>
      <c r="P3373">
        <v>54</v>
      </c>
      <c r="Q3373" t="s">
        <v>7089</v>
      </c>
    </row>
    <row r="3374" spans="1:17" x14ac:dyDescent="0.3">
      <c r="A3374" t="s">
        <v>4664</v>
      </c>
      <c r="B3374" t="str">
        <f>"002692"</f>
        <v>002692</v>
      </c>
      <c r="C3374" t="s">
        <v>7090</v>
      </c>
      <c r="D3374" t="s">
        <v>1164</v>
      </c>
      <c r="F3374">
        <v>2302103052</v>
      </c>
      <c r="G3374">
        <v>1865694107</v>
      </c>
      <c r="H3374">
        <v>2373831317</v>
      </c>
      <c r="I3374">
        <v>2397556712</v>
      </c>
      <c r="J3374">
        <v>1876930287</v>
      </c>
      <c r="K3374">
        <v>1982101709</v>
      </c>
      <c r="L3374">
        <v>2140653442</v>
      </c>
      <c r="M3374">
        <v>1496146416</v>
      </c>
      <c r="N3374">
        <v>1651972564</v>
      </c>
      <c r="O3374">
        <v>1566608026</v>
      </c>
      <c r="P3374">
        <v>53</v>
      </c>
      <c r="Q3374" t="s">
        <v>7091</v>
      </c>
    </row>
    <row r="3375" spans="1:17" x14ac:dyDescent="0.3">
      <c r="A3375" t="s">
        <v>4664</v>
      </c>
      <c r="B3375" t="str">
        <f>"002693"</f>
        <v>002693</v>
      </c>
      <c r="C3375" t="s">
        <v>7092</v>
      </c>
      <c r="D3375" t="s">
        <v>1379</v>
      </c>
      <c r="F3375">
        <v>279500191</v>
      </c>
      <c r="G3375">
        <v>217674675</v>
      </c>
      <c r="H3375">
        <v>279383207</v>
      </c>
      <c r="I3375">
        <v>333639077</v>
      </c>
      <c r="J3375">
        <v>143893800</v>
      </c>
      <c r="K3375">
        <v>138195096</v>
      </c>
      <c r="L3375">
        <v>155928621</v>
      </c>
      <c r="M3375">
        <v>127160350</v>
      </c>
      <c r="N3375">
        <v>107665528</v>
      </c>
      <c r="O3375">
        <v>106427844</v>
      </c>
      <c r="P3375">
        <v>95</v>
      </c>
      <c r="Q3375" t="s">
        <v>7093</v>
      </c>
    </row>
    <row r="3376" spans="1:17" x14ac:dyDescent="0.3">
      <c r="A3376" t="s">
        <v>4664</v>
      </c>
      <c r="B3376" t="str">
        <f>"002694"</f>
        <v>002694</v>
      </c>
      <c r="C3376" t="s">
        <v>7094</v>
      </c>
      <c r="D3376" t="s">
        <v>3320</v>
      </c>
      <c r="F3376">
        <v>1156993844</v>
      </c>
      <c r="G3376">
        <v>1032968569</v>
      </c>
      <c r="H3376">
        <v>1217323317</v>
      </c>
      <c r="I3376">
        <v>1277117513</v>
      </c>
      <c r="J3376">
        <v>1229626418</v>
      </c>
      <c r="K3376">
        <v>996256983</v>
      </c>
      <c r="L3376">
        <v>1316668976</v>
      </c>
      <c r="M3376">
        <v>1219261503</v>
      </c>
      <c r="N3376">
        <v>1188316135</v>
      </c>
      <c r="O3376">
        <v>1105452253</v>
      </c>
      <c r="P3376">
        <v>71</v>
      </c>
      <c r="Q3376" t="s">
        <v>7095</v>
      </c>
    </row>
    <row r="3377" spans="1:17" x14ac:dyDescent="0.3">
      <c r="A3377" t="s">
        <v>4664</v>
      </c>
      <c r="B3377" t="str">
        <f>"002695"</f>
        <v>002695</v>
      </c>
      <c r="C3377" t="s">
        <v>7096</v>
      </c>
      <c r="D3377" t="s">
        <v>2962</v>
      </c>
      <c r="F3377">
        <v>2133393819</v>
      </c>
      <c r="G3377">
        <v>2160400932</v>
      </c>
      <c r="H3377">
        <v>1603930650</v>
      </c>
      <c r="I3377">
        <v>1592135828</v>
      </c>
      <c r="J3377">
        <v>1268173000</v>
      </c>
      <c r="K3377">
        <v>1062950253</v>
      </c>
      <c r="L3377">
        <v>1072398251</v>
      </c>
      <c r="M3377">
        <v>909143964</v>
      </c>
      <c r="N3377">
        <v>836752935</v>
      </c>
      <c r="O3377">
        <v>831048143</v>
      </c>
      <c r="P3377">
        <v>623</v>
      </c>
      <c r="Q3377" t="s">
        <v>7097</v>
      </c>
    </row>
    <row r="3378" spans="1:17" x14ac:dyDescent="0.3">
      <c r="A3378" t="s">
        <v>4664</v>
      </c>
      <c r="B3378" t="str">
        <f>"002696"</f>
        <v>002696</v>
      </c>
      <c r="C3378" t="s">
        <v>7098</v>
      </c>
      <c r="D3378" t="s">
        <v>587</v>
      </c>
      <c r="F3378">
        <v>1788106836</v>
      </c>
      <c r="G3378">
        <v>1738718574</v>
      </c>
      <c r="H3378">
        <v>2191893292</v>
      </c>
      <c r="I3378">
        <v>2096385721</v>
      </c>
      <c r="J3378">
        <v>1608865780</v>
      </c>
      <c r="K3378">
        <v>1510517405</v>
      </c>
      <c r="L3378">
        <v>1282241564</v>
      </c>
      <c r="M3378">
        <v>1152617704</v>
      </c>
      <c r="N3378">
        <v>936059540</v>
      </c>
      <c r="O3378">
        <v>804990578</v>
      </c>
      <c r="P3378">
        <v>93</v>
      </c>
      <c r="Q3378" t="s">
        <v>7099</v>
      </c>
    </row>
    <row r="3379" spans="1:17" x14ac:dyDescent="0.3">
      <c r="A3379" t="s">
        <v>4664</v>
      </c>
      <c r="B3379" t="str">
        <f>"002697"</f>
        <v>002697</v>
      </c>
      <c r="C3379" t="s">
        <v>7100</v>
      </c>
      <c r="D3379" t="s">
        <v>798</v>
      </c>
      <c r="F3379">
        <v>7860190770</v>
      </c>
      <c r="G3379">
        <v>7545943119</v>
      </c>
      <c r="H3379">
        <v>6741840127</v>
      </c>
      <c r="I3379">
        <v>6333473048</v>
      </c>
      <c r="J3379">
        <v>5986677675</v>
      </c>
      <c r="K3379">
        <v>5427765322</v>
      </c>
      <c r="L3379">
        <v>4725664756</v>
      </c>
      <c r="M3379">
        <v>4102210886</v>
      </c>
      <c r="N3379">
        <v>3800421370</v>
      </c>
      <c r="O3379">
        <v>3413213186</v>
      </c>
      <c r="P3379">
        <v>503</v>
      </c>
      <c r="Q3379" t="s">
        <v>7101</v>
      </c>
    </row>
    <row r="3380" spans="1:17" x14ac:dyDescent="0.3">
      <c r="A3380" t="s">
        <v>4664</v>
      </c>
      <c r="B3380" t="str">
        <f>"002698"</f>
        <v>002698</v>
      </c>
      <c r="C3380" t="s">
        <v>7102</v>
      </c>
      <c r="D3380" t="s">
        <v>2911</v>
      </c>
      <c r="F3380">
        <v>1577357928</v>
      </c>
      <c r="G3380">
        <v>1021011092</v>
      </c>
      <c r="H3380">
        <v>1243144784</v>
      </c>
      <c r="I3380">
        <v>1075876036</v>
      </c>
      <c r="J3380">
        <v>610564288</v>
      </c>
      <c r="K3380">
        <v>459797594</v>
      </c>
      <c r="L3380">
        <v>441419118</v>
      </c>
      <c r="M3380">
        <v>421824859</v>
      </c>
      <c r="N3380">
        <v>506783233</v>
      </c>
      <c r="O3380">
        <v>390550870</v>
      </c>
      <c r="P3380">
        <v>271</v>
      </c>
      <c r="Q3380" t="s">
        <v>7103</v>
      </c>
    </row>
    <row r="3381" spans="1:17" x14ac:dyDescent="0.3">
      <c r="A3381" t="s">
        <v>4664</v>
      </c>
      <c r="B3381" t="str">
        <f>"002699"</f>
        <v>002699</v>
      </c>
      <c r="C3381" t="s">
        <v>7104</v>
      </c>
      <c r="D3381" t="s">
        <v>113</v>
      </c>
      <c r="F3381">
        <v>651911080</v>
      </c>
      <c r="G3381">
        <v>858155755</v>
      </c>
      <c r="H3381">
        <v>674754162</v>
      </c>
      <c r="I3381">
        <v>519541088</v>
      </c>
      <c r="J3381">
        <v>542107772</v>
      </c>
      <c r="K3381">
        <v>371349299</v>
      </c>
      <c r="L3381">
        <v>297782668</v>
      </c>
      <c r="M3381">
        <v>315848376</v>
      </c>
      <c r="N3381">
        <v>150290970</v>
      </c>
      <c r="O3381">
        <v>141823625</v>
      </c>
      <c r="P3381">
        <v>157</v>
      </c>
      <c r="Q3381" t="s">
        <v>7105</v>
      </c>
    </row>
    <row r="3382" spans="1:17" x14ac:dyDescent="0.3">
      <c r="A3382" t="s">
        <v>4664</v>
      </c>
      <c r="B3382" t="str">
        <f>"002700"</f>
        <v>002700</v>
      </c>
      <c r="C3382" t="s">
        <v>7106</v>
      </c>
      <c r="D3382" t="s">
        <v>749</v>
      </c>
      <c r="F3382">
        <v>422610284</v>
      </c>
      <c r="G3382">
        <v>308775104</v>
      </c>
      <c r="H3382">
        <v>375999743</v>
      </c>
      <c r="I3382">
        <v>308801638</v>
      </c>
      <c r="J3382">
        <v>268883184</v>
      </c>
      <c r="K3382">
        <v>269364315</v>
      </c>
      <c r="L3382">
        <v>324703042</v>
      </c>
      <c r="M3382">
        <v>278532659</v>
      </c>
      <c r="N3382">
        <v>207066634</v>
      </c>
      <c r="O3382">
        <v>187189865</v>
      </c>
      <c r="P3382">
        <v>53</v>
      </c>
      <c r="Q3382" t="s">
        <v>7107</v>
      </c>
    </row>
    <row r="3383" spans="1:17" x14ac:dyDescent="0.3">
      <c r="A3383" t="s">
        <v>4664</v>
      </c>
      <c r="B3383" t="str">
        <f>"002701"</f>
        <v>002701</v>
      </c>
      <c r="C3383" t="s">
        <v>7108</v>
      </c>
      <c r="D3383" t="s">
        <v>2364</v>
      </c>
      <c r="F3383">
        <v>10151721217</v>
      </c>
      <c r="G3383">
        <v>8222066945</v>
      </c>
      <c r="H3383">
        <v>6358211681</v>
      </c>
      <c r="I3383">
        <v>6512264977</v>
      </c>
      <c r="J3383">
        <v>6641374687</v>
      </c>
      <c r="K3383">
        <v>5531700957</v>
      </c>
      <c r="L3383">
        <v>5235359691</v>
      </c>
      <c r="M3383">
        <v>4444500396</v>
      </c>
      <c r="N3383">
        <v>3543546660</v>
      </c>
      <c r="O3383">
        <v>2775783459</v>
      </c>
      <c r="P3383">
        <v>1656</v>
      </c>
      <c r="Q3383" t="s">
        <v>7109</v>
      </c>
    </row>
    <row r="3384" spans="1:17" x14ac:dyDescent="0.3">
      <c r="A3384" t="s">
        <v>4664</v>
      </c>
      <c r="B3384" t="str">
        <f>"002702"</f>
        <v>002702</v>
      </c>
      <c r="C3384" t="s">
        <v>7110</v>
      </c>
      <c r="D3384" t="s">
        <v>2838</v>
      </c>
      <c r="F3384">
        <v>1276985643</v>
      </c>
      <c r="G3384">
        <v>1068403049</v>
      </c>
      <c r="H3384">
        <v>887138829</v>
      </c>
      <c r="I3384">
        <v>751019749</v>
      </c>
      <c r="J3384">
        <v>628295377</v>
      </c>
      <c r="K3384">
        <v>642219973</v>
      </c>
      <c r="L3384">
        <v>624955557</v>
      </c>
      <c r="M3384">
        <v>602531411</v>
      </c>
      <c r="N3384">
        <v>583857660</v>
      </c>
      <c r="O3384">
        <v>526149560</v>
      </c>
      <c r="P3384">
        <v>186</v>
      </c>
      <c r="Q3384" t="s">
        <v>7111</v>
      </c>
    </row>
    <row r="3385" spans="1:17" x14ac:dyDescent="0.3">
      <c r="A3385" t="s">
        <v>4664</v>
      </c>
      <c r="B3385" t="str">
        <f>"002703"</f>
        <v>002703</v>
      </c>
      <c r="C3385" t="s">
        <v>7112</v>
      </c>
      <c r="D3385" t="s">
        <v>348</v>
      </c>
      <c r="F3385">
        <v>545150197</v>
      </c>
      <c r="G3385">
        <v>434917199</v>
      </c>
      <c r="H3385">
        <v>466180746</v>
      </c>
      <c r="I3385">
        <v>474393217</v>
      </c>
      <c r="J3385">
        <v>377788934</v>
      </c>
      <c r="K3385">
        <v>397739777</v>
      </c>
      <c r="L3385">
        <v>456862556</v>
      </c>
      <c r="M3385">
        <v>410389798</v>
      </c>
      <c r="N3385">
        <v>579873119</v>
      </c>
      <c r="O3385">
        <v>483550026</v>
      </c>
      <c r="P3385">
        <v>76</v>
      </c>
      <c r="Q3385" t="s">
        <v>7113</v>
      </c>
    </row>
    <row r="3386" spans="1:17" x14ac:dyDescent="0.3">
      <c r="A3386" t="s">
        <v>4664</v>
      </c>
      <c r="B3386" t="str">
        <f>"002705"</f>
        <v>002705</v>
      </c>
      <c r="C3386" t="s">
        <v>7114</v>
      </c>
      <c r="D3386" t="s">
        <v>5712</v>
      </c>
      <c r="F3386">
        <v>10894752108</v>
      </c>
      <c r="G3386">
        <v>8206336567</v>
      </c>
      <c r="H3386">
        <v>6758346384</v>
      </c>
      <c r="I3386">
        <v>5834238709</v>
      </c>
      <c r="J3386">
        <v>5795411240</v>
      </c>
      <c r="K3386">
        <v>4950825926</v>
      </c>
      <c r="L3386">
        <v>4694769963</v>
      </c>
      <c r="M3386">
        <v>3817104264</v>
      </c>
      <c r="N3386">
        <v>3629697736</v>
      </c>
      <c r="P3386">
        <v>1093</v>
      </c>
      <c r="Q3386" t="s">
        <v>7115</v>
      </c>
    </row>
    <row r="3387" spans="1:17" x14ac:dyDescent="0.3">
      <c r="A3387" t="s">
        <v>4664</v>
      </c>
      <c r="B3387" t="str">
        <f>"002706"</f>
        <v>002706</v>
      </c>
      <c r="C3387" t="s">
        <v>7116</v>
      </c>
      <c r="D3387" t="s">
        <v>657</v>
      </c>
      <c r="F3387">
        <v>2257911973</v>
      </c>
      <c r="G3387">
        <v>1633649927</v>
      </c>
      <c r="H3387">
        <v>1223058369</v>
      </c>
      <c r="I3387">
        <v>1045565957</v>
      </c>
      <c r="J3387">
        <v>1225376276</v>
      </c>
      <c r="K3387">
        <v>961116487</v>
      </c>
      <c r="L3387">
        <v>874099638</v>
      </c>
      <c r="M3387">
        <v>596086963</v>
      </c>
      <c r="N3387">
        <v>577988512</v>
      </c>
      <c r="O3387">
        <v>494978739</v>
      </c>
      <c r="P3387">
        <v>761</v>
      </c>
      <c r="Q3387" t="s">
        <v>7117</v>
      </c>
    </row>
    <row r="3388" spans="1:17" x14ac:dyDescent="0.3">
      <c r="A3388" t="s">
        <v>4664</v>
      </c>
      <c r="B3388" t="str">
        <f>"002707"</f>
        <v>002707</v>
      </c>
      <c r="C3388" t="s">
        <v>7118</v>
      </c>
      <c r="D3388" t="s">
        <v>1120</v>
      </c>
      <c r="F3388">
        <v>611493761</v>
      </c>
      <c r="G3388">
        <v>1277171951</v>
      </c>
      <c r="H3388">
        <v>9852773592</v>
      </c>
      <c r="I3388">
        <v>9627195203</v>
      </c>
      <c r="J3388">
        <v>9479181751</v>
      </c>
      <c r="K3388">
        <v>8149368424</v>
      </c>
      <c r="L3388">
        <v>6625122423</v>
      </c>
      <c r="M3388">
        <v>3117002329</v>
      </c>
      <c r="N3388">
        <v>2225597155</v>
      </c>
      <c r="P3388">
        <v>295</v>
      </c>
      <c r="Q3388" t="s">
        <v>7119</v>
      </c>
    </row>
    <row r="3389" spans="1:17" x14ac:dyDescent="0.3">
      <c r="A3389" t="s">
        <v>4664</v>
      </c>
      <c r="B3389" t="str">
        <f>"002708"</f>
        <v>002708</v>
      </c>
      <c r="C3389" t="s">
        <v>7120</v>
      </c>
      <c r="D3389" t="s">
        <v>348</v>
      </c>
      <c r="F3389">
        <v>633656449</v>
      </c>
      <c r="G3389">
        <v>511304193</v>
      </c>
      <c r="H3389">
        <v>554559948</v>
      </c>
      <c r="I3389">
        <v>640427390</v>
      </c>
      <c r="J3389">
        <v>563575950</v>
      </c>
      <c r="K3389">
        <v>595898003</v>
      </c>
      <c r="L3389">
        <v>466722628</v>
      </c>
      <c r="M3389">
        <v>531757365</v>
      </c>
      <c r="N3389">
        <v>458665016</v>
      </c>
      <c r="P3389">
        <v>91</v>
      </c>
      <c r="Q3389" t="s">
        <v>7121</v>
      </c>
    </row>
    <row r="3390" spans="1:17" x14ac:dyDescent="0.3">
      <c r="A3390" t="s">
        <v>4664</v>
      </c>
      <c r="B3390" t="str">
        <f>"002709"</f>
        <v>002709</v>
      </c>
      <c r="C3390" t="s">
        <v>7122</v>
      </c>
      <c r="D3390" t="s">
        <v>1786</v>
      </c>
      <c r="F3390">
        <v>3013075071</v>
      </c>
      <c r="G3390">
        <v>1527997426</v>
      </c>
      <c r="H3390">
        <v>1253382755</v>
      </c>
      <c r="I3390">
        <v>1053643334</v>
      </c>
      <c r="J3390">
        <v>859775685</v>
      </c>
      <c r="K3390">
        <v>806685271</v>
      </c>
      <c r="L3390">
        <v>481114379</v>
      </c>
      <c r="M3390">
        <v>370877531</v>
      </c>
      <c r="N3390">
        <v>348246993</v>
      </c>
      <c r="O3390">
        <v>362028383</v>
      </c>
      <c r="P3390">
        <v>1069</v>
      </c>
      <c r="Q3390" t="s">
        <v>7123</v>
      </c>
    </row>
    <row r="3391" spans="1:17" x14ac:dyDescent="0.3">
      <c r="A3391" t="s">
        <v>4664</v>
      </c>
      <c r="B3391" t="str">
        <f>"002710"</f>
        <v>002710</v>
      </c>
      <c r="C3391" t="s">
        <v>7124</v>
      </c>
      <c r="D3391" t="s">
        <v>7125</v>
      </c>
      <c r="N3391">
        <v>455309186</v>
      </c>
      <c r="P3391">
        <v>8</v>
      </c>
      <c r="Q3391" t="s">
        <v>7126</v>
      </c>
    </row>
    <row r="3392" spans="1:17" x14ac:dyDescent="0.3">
      <c r="A3392" t="s">
        <v>4664</v>
      </c>
      <c r="B3392" t="str">
        <f>"002711"</f>
        <v>002711</v>
      </c>
      <c r="C3392" t="s">
        <v>7127</v>
      </c>
      <c r="G3392">
        <v>453349984</v>
      </c>
      <c r="H3392">
        <v>137194663</v>
      </c>
      <c r="I3392">
        <v>5160393215</v>
      </c>
      <c r="J3392">
        <v>5519538109</v>
      </c>
      <c r="K3392">
        <v>2117639198</v>
      </c>
      <c r="L3392">
        <v>1419978582</v>
      </c>
      <c r="M3392">
        <v>1189779190</v>
      </c>
      <c r="N3392">
        <v>501036200</v>
      </c>
      <c r="O3392">
        <v>478239900</v>
      </c>
      <c r="P3392">
        <v>74</v>
      </c>
      <c r="Q3392" t="s">
        <v>7128</v>
      </c>
    </row>
    <row r="3393" spans="1:17" x14ac:dyDescent="0.3">
      <c r="A3393" t="s">
        <v>4664</v>
      </c>
      <c r="B3393" t="str">
        <f>"002712"</f>
        <v>002712</v>
      </c>
      <c r="C3393" t="s">
        <v>7129</v>
      </c>
      <c r="D3393" t="s">
        <v>207</v>
      </c>
      <c r="F3393">
        <v>3576460325</v>
      </c>
      <c r="G3393">
        <v>2747681867</v>
      </c>
      <c r="H3393">
        <v>1896148076</v>
      </c>
      <c r="I3393">
        <v>3859292880</v>
      </c>
      <c r="J3393">
        <v>2604368931</v>
      </c>
      <c r="K3393">
        <v>2778781659</v>
      </c>
      <c r="L3393">
        <v>1699110030</v>
      </c>
      <c r="M3393">
        <v>1012929982</v>
      </c>
      <c r="N3393">
        <v>845828195</v>
      </c>
      <c r="P3393">
        <v>107</v>
      </c>
      <c r="Q3393" t="s">
        <v>7130</v>
      </c>
    </row>
    <row r="3394" spans="1:17" x14ac:dyDescent="0.3">
      <c r="A3394" t="s">
        <v>4664</v>
      </c>
      <c r="B3394" t="str">
        <f>"002713"</f>
        <v>002713</v>
      </c>
      <c r="C3394" t="s">
        <v>7131</v>
      </c>
      <c r="D3394" t="s">
        <v>450</v>
      </c>
      <c r="F3394">
        <v>3162692340</v>
      </c>
      <c r="G3394">
        <v>2583871733</v>
      </c>
      <c r="H3394">
        <v>3159732620</v>
      </c>
      <c r="I3394">
        <v>3188920917</v>
      </c>
      <c r="J3394">
        <v>2818285264</v>
      </c>
      <c r="K3394">
        <v>2165972612</v>
      </c>
      <c r="L3394">
        <v>1686784391</v>
      </c>
      <c r="M3394">
        <v>1310927334</v>
      </c>
      <c r="N3394">
        <v>1253161000</v>
      </c>
      <c r="O3394">
        <v>989888400</v>
      </c>
      <c r="P3394">
        <v>268</v>
      </c>
      <c r="Q3394" t="s">
        <v>7132</v>
      </c>
    </row>
    <row r="3395" spans="1:17" x14ac:dyDescent="0.3">
      <c r="A3395" t="s">
        <v>4664</v>
      </c>
      <c r="B3395" t="str">
        <f>"002714"</f>
        <v>002714</v>
      </c>
      <c r="C3395" t="s">
        <v>7133</v>
      </c>
      <c r="D3395" t="s">
        <v>1894</v>
      </c>
      <c r="F3395">
        <v>57178106451</v>
      </c>
      <c r="G3395">
        <v>39601493622</v>
      </c>
      <c r="H3395">
        <v>11679320594</v>
      </c>
      <c r="I3395">
        <v>9268741541</v>
      </c>
      <c r="J3395">
        <v>7168351634</v>
      </c>
      <c r="K3395">
        <v>3906656066</v>
      </c>
      <c r="L3395">
        <v>1942506188</v>
      </c>
      <c r="M3395">
        <v>1757040068</v>
      </c>
      <c r="N3395">
        <v>1159098546</v>
      </c>
      <c r="P3395">
        <v>4953</v>
      </c>
      <c r="Q3395" t="s">
        <v>7134</v>
      </c>
    </row>
    <row r="3396" spans="1:17" x14ac:dyDescent="0.3">
      <c r="A3396" t="s">
        <v>4664</v>
      </c>
      <c r="B3396" t="str">
        <f>"002715"</f>
        <v>002715</v>
      </c>
      <c r="C3396" t="s">
        <v>7135</v>
      </c>
      <c r="D3396" t="s">
        <v>348</v>
      </c>
      <c r="F3396">
        <v>238615283</v>
      </c>
      <c r="G3396">
        <v>187780118</v>
      </c>
      <c r="H3396">
        <v>209891641</v>
      </c>
      <c r="I3396">
        <v>223678474</v>
      </c>
      <c r="J3396">
        <v>198679738</v>
      </c>
      <c r="K3396">
        <v>180561196</v>
      </c>
      <c r="L3396">
        <v>156895052</v>
      </c>
      <c r="M3396">
        <v>178057918</v>
      </c>
      <c r="N3396">
        <v>179818458</v>
      </c>
      <c r="P3396">
        <v>61</v>
      </c>
      <c r="Q3396" t="s">
        <v>7136</v>
      </c>
    </row>
    <row r="3397" spans="1:17" x14ac:dyDescent="0.3">
      <c r="A3397" t="s">
        <v>4664</v>
      </c>
      <c r="B3397" t="str">
        <f>"002716"</f>
        <v>002716</v>
      </c>
      <c r="C3397" t="s">
        <v>7137</v>
      </c>
      <c r="D3397" t="s">
        <v>2072</v>
      </c>
      <c r="F3397">
        <v>1289511606</v>
      </c>
      <c r="G3397">
        <v>1148906403</v>
      </c>
      <c r="H3397">
        <v>6087227883</v>
      </c>
      <c r="I3397">
        <v>8851323638</v>
      </c>
      <c r="J3397">
        <v>8740421336</v>
      </c>
      <c r="K3397">
        <v>6338085063</v>
      </c>
      <c r="L3397">
        <v>4791053830</v>
      </c>
      <c r="M3397">
        <v>3598245109</v>
      </c>
      <c r="N3397">
        <v>3105863926</v>
      </c>
      <c r="O3397">
        <v>2583656265</v>
      </c>
      <c r="P3397">
        <v>129</v>
      </c>
      <c r="Q3397" t="s">
        <v>7138</v>
      </c>
    </row>
    <row r="3398" spans="1:17" x14ac:dyDescent="0.3">
      <c r="A3398" t="s">
        <v>4664</v>
      </c>
      <c r="B3398" t="str">
        <f>"002717"</f>
        <v>002717</v>
      </c>
      <c r="C3398" t="s">
        <v>7139</v>
      </c>
      <c r="D3398" t="s">
        <v>2408</v>
      </c>
      <c r="F3398">
        <v>3923951135</v>
      </c>
      <c r="G3398">
        <v>4584902679</v>
      </c>
      <c r="H3398">
        <v>4602603656</v>
      </c>
      <c r="I3398">
        <v>3312982426</v>
      </c>
      <c r="J3398">
        <v>1722787297</v>
      </c>
      <c r="K3398">
        <v>1271118306</v>
      </c>
      <c r="L3398">
        <v>540909564</v>
      </c>
      <c r="M3398">
        <v>425524178</v>
      </c>
      <c r="N3398">
        <v>359029717</v>
      </c>
      <c r="P3398">
        <v>394</v>
      </c>
      <c r="Q3398" t="s">
        <v>7140</v>
      </c>
    </row>
    <row r="3399" spans="1:17" x14ac:dyDescent="0.3">
      <c r="A3399" t="s">
        <v>4664</v>
      </c>
      <c r="B3399" t="str">
        <f>"002718"</f>
        <v>002718</v>
      </c>
      <c r="C3399" t="s">
        <v>7141</v>
      </c>
      <c r="D3399" t="s">
        <v>722</v>
      </c>
      <c r="F3399">
        <v>698157059</v>
      </c>
      <c r="G3399">
        <v>479188493</v>
      </c>
      <c r="H3399">
        <v>420277389</v>
      </c>
      <c r="I3399">
        <v>486709143</v>
      </c>
      <c r="J3399">
        <v>651566138</v>
      </c>
      <c r="K3399">
        <v>384004488</v>
      </c>
      <c r="L3399">
        <v>325123006</v>
      </c>
      <c r="M3399">
        <v>299912996</v>
      </c>
      <c r="N3399">
        <v>227967678</v>
      </c>
      <c r="P3399">
        <v>170</v>
      </c>
      <c r="Q3399" t="s">
        <v>7142</v>
      </c>
    </row>
    <row r="3400" spans="1:17" x14ac:dyDescent="0.3">
      <c r="A3400" t="s">
        <v>4664</v>
      </c>
      <c r="B3400" t="str">
        <f>"002719"</f>
        <v>002719</v>
      </c>
      <c r="C3400" t="s">
        <v>7143</v>
      </c>
      <c r="D3400" t="s">
        <v>900</v>
      </c>
      <c r="F3400">
        <v>922531880</v>
      </c>
      <c r="G3400">
        <v>703656177</v>
      </c>
      <c r="H3400">
        <v>575912531</v>
      </c>
      <c r="I3400">
        <v>492274196</v>
      </c>
      <c r="J3400">
        <v>433700082</v>
      </c>
      <c r="K3400">
        <v>455360350</v>
      </c>
      <c r="L3400">
        <v>416166257</v>
      </c>
      <c r="M3400">
        <v>292443866</v>
      </c>
      <c r="N3400">
        <v>326300502</v>
      </c>
      <c r="P3400">
        <v>97</v>
      </c>
      <c r="Q3400" t="s">
        <v>7144</v>
      </c>
    </row>
    <row r="3401" spans="1:17" x14ac:dyDescent="0.3">
      <c r="A3401" t="s">
        <v>4664</v>
      </c>
      <c r="B3401" t="str">
        <f>"002720"</f>
        <v>002720</v>
      </c>
      <c r="C3401" t="s">
        <v>7145</v>
      </c>
      <c r="D3401" t="s">
        <v>2929</v>
      </c>
      <c r="P3401">
        <v>11</v>
      </c>
      <c r="Q3401" t="s">
        <v>7146</v>
      </c>
    </row>
    <row r="3402" spans="1:17" x14ac:dyDescent="0.3">
      <c r="A3402" t="s">
        <v>4664</v>
      </c>
      <c r="B3402" t="str">
        <f>"002721"</f>
        <v>002721</v>
      </c>
      <c r="C3402" t="s">
        <v>7147</v>
      </c>
      <c r="D3402" t="s">
        <v>1238</v>
      </c>
      <c r="F3402">
        <v>2840409328</v>
      </c>
      <c r="G3402">
        <v>3411965570</v>
      </c>
      <c r="H3402">
        <v>7824378762</v>
      </c>
      <c r="I3402">
        <v>13874036381</v>
      </c>
      <c r="J3402">
        <v>8552142984</v>
      </c>
      <c r="K3402">
        <v>9419581834</v>
      </c>
      <c r="L3402">
        <v>3969190307</v>
      </c>
      <c r="M3402">
        <v>3735078528</v>
      </c>
      <c r="N3402">
        <v>2632499565</v>
      </c>
      <c r="O3402">
        <v>2214066713</v>
      </c>
      <c r="P3402">
        <v>89</v>
      </c>
      <c r="Q3402" t="s">
        <v>7148</v>
      </c>
    </row>
    <row r="3403" spans="1:17" x14ac:dyDescent="0.3">
      <c r="A3403" t="s">
        <v>4664</v>
      </c>
      <c r="B3403" t="str">
        <f>"002722"</f>
        <v>002722</v>
      </c>
      <c r="C3403" t="s">
        <v>7149</v>
      </c>
      <c r="D3403" t="s">
        <v>366</v>
      </c>
      <c r="F3403">
        <v>2347559369</v>
      </c>
      <c r="G3403">
        <v>1835143580</v>
      </c>
      <c r="H3403">
        <v>2285501860</v>
      </c>
      <c r="I3403">
        <v>2888620771</v>
      </c>
      <c r="J3403">
        <v>2189810897</v>
      </c>
      <c r="K3403">
        <v>1484149916</v>
      </c>
      <c r="L3403">
        <v>341310963</v>
      </c>
      <c r="M3403">
        <v>328414801</v>
      </c>
      <c r="N3403">
        <v>299088659</v>
      </c>
      <c r="O3403">
        <v>270771078</v>
      </c>
      <c r="P3403">
        <v>102</v>
      </c>
      <c r="Q3403" t="s">
        <v>7150</v>
      </c>
    </row>
    <row r="3404" spans="1:17" x14ac:dyDescent="0.3">
      <c r="A3404" t="s">
        <v>4664</v>
      </c>
      <c r="B3404" t="str">
        <f>"002723"</f>
        <v>002723</v>
      </c>
      <c r="C3404" t="s">
        <v>7151</v>
      </c>
      <c r="D3404" t="s">
        <v>598</v>
      </c>
      <c r="F3404">
        <v>845753422</v>
      </c>
      <c r="G3404">
        <v>719392699</v>
      </c>
      <c r="H3404">
        <v>665608268</v>
      </c>
      <c r="I3404">
        <v>675932536</v>
      </c>
      <c r="J3404">
        <v>784889398</v>
      </c>
      <c r="K3404">
        <v>593888859</v>
      </c>
      <c r="L3404">
        <v>627445647</v>
      </c>
      <c r="M3404">
        <v>425055298</v>
      </c>
      <c r="N3404">
        <v>422835648</v>
      </c>
      <c r="O3404">
        <v>432563625</v>
      </c>
      <c r="P3404">
        <v>92</v>
      </c>
      <c r="Q3404" t="s">
        <v>7152</v>
      </c>
    </row>
    <row r="3405" spans="1:17" x14ac:dyDescent="0.3">
      <c r="A3405" t="s">
        <v>4664</v>
      </c>
      <c r="B3405" t="str">
        <f>"002724"</f>
        <v>002724</v>
      </c>
      <c r="C3405" t="s">
        <v>7153</v>
      </c>
      <c r="D3405" t="s">
        <v>651</v>
      </c>
      <c r="F3405">
        <v>1161270412</v>
      </c>
      <c r="G3405">
        <v>996410146</v>
      </c>
      <c r="H3405">
        <v>948965052</v>
      </c>
      <c r="I3405">
        <v>897700581</v>
      </c>
      <c r="J3405">
        <v>804930297</v>
      </c>
      <c r="K3405">
        <v>669762189</v>
      </c>
      <c r="L3405">
        <v>707637828</v>
      </c>
      <c r="M3405">
        <v>851582226</v>
      </c>
      <c r="N3405">
        <v>834453867</v>
      </c>
      <c r="P3405">
        <v>139</v>
      </c>
      <c r="Q3405" t="s">
        <v>7154</v>
      </c>
    </row>
    <row r="3406" spans="1:17" x14ac:dyDescent="0.3">
      <c r="A3406" t="s">
        <v>4664</v>
      </c>
      <c r="B3406" t="str">
        <f>"002725"</f>
        <v>002725</v>
      </c>
      <c r="C3406" t="s">
        <v>7155</v>
      </c>
      <c r="D3406" t="s">
        <v>422</v>
      </c>
      <c r="F3406">
        <v>680522195</v>
      </c>
      <c r="G3406">
        <v>434744203</v>
      </c>
      <c r="H3406">
        <v>544773514</v>
      </c>
      <c r="I3406">
        <v>642263282</v>
      </c>
      <c r="J3406">
        <v>575172897</v>
      </c>
      <c r="K3406">
        <v>451415989</v>
      </c>
      <c r="L3406">
        <v>538366616</v>
      </c>
      <c r="M3406">
        <v>572854061</v>
      </c>
      <c r="N3406">
        <v>617641284</v>
      </c>
      <c r="P3406">
        <v>135</v>
      </c>
      <c r="Q3406" t="s">
        <v>7156</v>
      </c>
    </row>
    <row r="3407" spans="1:17" x14ac:dyDescent="0.3">
      <c r="A3407" t="s">
        <v>4664</v>
      </c>
      <c r="B3407" t="str">
        <f>"002726"</f>
        <v>002726</v>
      </c>
      <c r="C3407" t="s">
        <v>7157</v>
      </c>
      <c r="D3407" t="s">
        <v>170</v>
      </c>
      <c r="F3407">
        <v>16684280142</v>
      </c>
      <c r="G3407">
        <v>20774695145</v>
      </c>
      <c r="H3407">
        <v>12124142970</v>
      </c>
      <c r="I3407">
        <v>6567452243</v>
      </c>
      <c r="J3407">
        <v>5101344342</v>
      </c>
      <c r="K3407">
        <v>4379818443</v>
      </c>
      <c r="L3407">
        <v>3340045805</v>
      </c>
      <c r="M3407">
        <v>2877145273</v>
      </c>
      <c r="N3407">
        <v>2450106808</v>
      </c>
      <c r="P3407">
        <v>1021</v>
      </c>
      <c r="Q3407" t="s">
        <v>7158</v>
      </c>
    </row>
    <row r="3408" spans="1:17" x14ac:dyDescent="0.3">
      <c r="A3408" t="s">
        <v>4664</v>
      </c>
      <c r="B3408" t="str">
        <f>"002727"</f>
        <v>002727</v>
      </c>
      <c r="C3408" t="s">
        <v>7159</v>
      </c>
      <c r="D3408" t="s">
        <v>1684</v>
      </c>
      <c r="F3408">
        <v>10035983930</v>
      </c>
      <c r="G3408">
        <v>9090618493</v>
      </c>
      <c r="H3408">
        <v>7965697913</v>
      </c>
      <c r="I3408">
        <v>7209780957</v>
      </c>
      <c r="J3408">
        <v>6235506734</v>
      </c>
      <c r="K3408">
        <v>5093790992</v>
      </c>
      <c r="L3408">
        <v>4414555235</v>
      </c>
      <c r="M3408">
        <v>3558398341</v>
      </c>
      <c r="N3408">
        <v>2800792641</v>
      </c>
      <c r="P3408">
        <v>1246</v>
      </c>
      <c r="Q3408" t="s">
        <v>7160</v>
      </c>
    </row>
    <row r="3409" spans="1:17" x14ac:dyDescent="0.3">
      <c r="A3409" t="s">
        <v>4664</v>
      </c>
      <c r="B3409" t="str">
        <f>"002728"</f>
        <v>002728</v>
      </c>
      <c r="C3409" t="s">
        <v>7161</v>
      </c>
      <c r="D3409" t="s">
        <v>188</v>
      </c>
      <c r="F3409">
        <v>585408841</v>
      </c>
      <c r="G3409">
        <v>469965037</v>
      </c>
      <c r="H3409">
        <v>702874589</v>
      </c>
      <c r="I3409">
        <v>651024835</v>
      </c>
      <c r="J3409">
        <v>562193267</v>
      </c>
      <c r="K3409">
        <v>545460257</v>
      </c>
      <c r="L3409">
        <v>356369488</v>
      </c>
      <c r="M3409">
        <v>266252061</v>
      </c>
      <c r="N3409">
        <v>259783687</v>
      </c>
      <c r="P3409">
        <v>286</v>
      </c>
      <c r="Q3409" t="s">
        <v>7162</v>
      </c>
    </row>
    <row r="3410" spans="1:17" x14ac:dyDescent="0.3">
      <c r="A3410" t="s">
        <v>4664</v>
      </c>
      <c r="B3410" t="str">
        <f>"002729"</f>
        <v>002729</v>
      </c>
      <c r="C3410" t="s">
        <v>7163</v>
      </c>
      <c r="D3410" t="s">
        <v>651</v>
      </c>
      <c r="F3410">
        <v>130103718</v>
      </c>
      <c r="G3410">
        <v>116179275</v>
      </c>
      <c r="H3410">
        <v>119284041</v>
      </c>
      <c r="I3410">
        <v>108048270</v>
      </c>
      <c r="J3410">
        <v>106125708</v>
      </c>
      <c r="K3410">
        <v>95843531</v>
      </c>
      <c r="L3410">
        <v>103818817</v>
      </c>
      <c r="M3410">
        <v>127752197</v>
      </c>
      <c r="N3410">
        <v>126580002</v>
      </c>
      <c r="P3410">
        <v>71</v>
      </c>
      <c r="Q3410" t="s">
        <v>7164</v>
      </c>
    </row>
    <row r="3411" spans="1:17" x14ac:dyDescent="0.3">
      <c r="A3411" t="s">
        <v>4664</v>
      </c>
      <c r="B3411" t="str">
        <f>"002730"</f>
        <v>002730</v>
      </c>
      <c r="C3411" t="s">
        <v>7165</v>
      </c>
      <c r="D3411" t="s">
        <v>395</v>
      </c>
      <c r="F3411">
        <v>445273875</v>
      </c>
      <c r="G3411">
        <v>447592685</v>
      </c>
      <c r="H3411">
        <v>643517605</v>
      </c>
      <c r="I3411">
        <v>611776123</v>
      </c>
      <c r="J3411">
        <v>621419646</v>
      </c>
      <c r="K3411">
        <v>458385439</v>
      </c>
      <c r="L3411">
        <v>441041853</v>
      </c>
      <c r="M3411">
        <v>478910192</v>
      </c>
      <c r="N3411">
        <v>548754049</v>
      </c>
      <c r="P3411">
        <v>82</v>
      </c>
      <c r="Q3411" t="s">
        <v>7166</v>
      </c>
    </row>
    <row r="3412" spans="1:17" x14ac:dyDescent="0.3">
      <c r="A3412" t="s">
        <v>4664</v>
      </c>
      <c r="B3412" t="str">
        <f>"002731"</f>
        <v>002731</v>
      </c>
      <c r="C3412" t="s">
        <v>7167</v>
      </c>
      <c r="D3412" t="s">
        <v>1238</v>
      </c>
      <c r="F3412">
        <v>3046516036</v>
      </c>
      <c r="G3412">
        <v>1861380915</v>
      </c>
      <c r="H3412">
        <v>1937021656</v>
      </c>
      <c r="I3412">
        <v>2291941969</v>
      </c>
      <c r="J3412">
        <v>2150429754</v>
      </c>
      <c r="K3412">
        <v>1980533502</v>
      </c>
      <c r="L3412">
        <v>2595637093</v>
      </c>
      <c r="M3412">
        <v>2724467719</v>
      </c>
      <c r="N3412">
        <v>3120714144</v>
      </c>
      <c r="P3412">
        <v>81</v>
      </c>
      <c r="Q3412" t="s">
        <v>7168</v>
      </c>
    </row>
    <row r="3413" spans="1:17" x14ac:dyDescent="0.3">
      <c r="A3413" t="s">
        <v>4664</v>
      </c>
      <c r="B3413" t="str">
        <f>"002732"</f>
        <v>002732</v>
      </c>
      <c r="C3413" t="s">
        <v>7169</v>
      </c>
      <c r="D3413" t="s">
        <v>900</v>
      </c>
      <c r="F3413">
        <v>1634729476</v>
      </c>
      <c r="G3413">
        <v>1288642482</v>
      </c>
      <c r="H3413">
        <v>1193854093</v>
      </c>
      <c r="I3413">
        <v>1062823163</v>
      </c>
      <c r="J3413">
        <v>1011276721</v>
      </c>
      <c r="K3413">
        <v>905214821</v>
      </c>
      <c r="L3413">
        <v>828489665</v>
      </c>
      <c r="M3413">
        <v>785020686</v>
      </c>
      <c r="N3413">
        <v>719638131</v>
      </c>
      <c r="P3413">
        <v>349</v>
      </c>
      <c r="Q3413" t="s">
        <v>7170</v>
      </c>
    </row>
    <row r="3414" spans="1:17" x14ac:dyDescent="0.3">
      <c r="A3414" t="s">
        <v>4664</v>
      </c>
      <c r="B3414" t="str">
        <f>"002733"</f>
        <v>002733</v>
      </c>
      <c r="C3414" t="s">
        <v>7171</v>
      </c>
      <c r="D3414" t="s">
        <v>555</v>
      </c>
      <c r="F3414">
        <v>2601986871</v>
      </c>
      <c r="G3414">
        <v>1818879613</v>
      </c>
      <c r="H3414">
        <v>2389420960</v>
      </c>
      <c r="I3414">
        <v>2332558130</v>
      </c>
      <c r="J3414">
        <v>2277460262</v>
      </c>
      <c r="K3414">
        <v>2028713940</v>
      </c>
      <c r="L3414">
        <v>1771232146</v>
      </c>
      <c r="M3414">
        <v>1727982506</v>
      </c>
      <c r="N3414">
        <v>1392831011</v>
      </c>
      <c r="P3414">
        <v>236</v>
      </c>
      <c r="Q3414" t="s">
        <v>7172</v>
      </c>
    </row>
    <row r="3415" spans="1:17" x14ac:dyDescent="0.3">
      <c r="A3415" t="s">
        <v>4664</v>
      </c>
      <c r="B3415" t="str">
        <f>"002734"</f>
        <v>002734</v>
      </c>
      <c r="C3415" t="s">
        <v>7173</v>
      </c>
      <c r="D3415" t="s">
        <v>853</v>
      </c>
      <c r="F3415">
        <v>2399924974</v>
      </c>
      <c r="G3415">
        <v>2577303795</v>
      </c>
      <c r="H3415">
        <v>1525249521</v>
      </c>
      <c r="I3415">
        <v>902436085</v>
      </c>
      <c r="J3415">
        <v>796211641</v>
      </c>
      <c r="K3415">
        <v>637387430</v>
      </c>
      <c r="L3415">
        <v>454010004</v>
      </c>
      <c r="M3415">
        <v>389353419</v>
      </c>
      <c r="P3415">
        <v>261</v>
      </c>
      <c r="Q3415" t="s">
        <v>7174</v>
      </c>
    </row>
    <row r="3416" spans="1:17" x14ac:dyDescent="0.3">
      <c r="A3416" t="s">
        <v>4664</v>
      </c>
      <c r="B3416" t="str">
        <f>"002735"</f>
        <v>002735</v>
      </c>
      <c r="C3416" t="s">
        <v>7175</v>
      </c>
      <c r="D3416" t="s">
        <v>485</v>
      </c>
      <c r="F3416">
        <v>1123241636</v>
      </c>
      <c r="G3416">
        <v>918818279</v>
      </c>
      <c r="H3416">
        <v>805327966</v>
      </c>
      <c r="I3416">
        <v>622381473</v>
      </c>
      <c r="J3416">
        <v>449695291</v>
      </c>
      <c r="K3416">
        <v>359541095</v>
      </c>
      <c r="L3416">
        <v>389064227</v>
      </c>
      <c r="M3416">
        <v>389710650</v>
      </c>
      <c r="P3416">
        <v>71</v>
      </c>
      <c r="Q3416" t="s">
        <v>7176</v>
      </c>
    </row>
    <row r="3417" spans="1:17" x14ac:dyDescent="0.3">
      <c r="A3417" t="s">
        <v>4664</v>
      </c>
      <c r="B3417" t="str">
        <f>"002736"</f>
        <v>002736</v>
      </c>
      <c r="C3417" t="s">
        <v>7177</v>
      </c>
      <c r="D3417" t="s">
        <v>80</v>
      </c>
      <c r="P3417">
        <v>2389</v>
      </c>
      <c r="Q3417" t="s">
        <v>7178</v>
      </c>
    </row>
    <row r="3418" spans="1:17" x14ac:dyDescent="0.3">
      <c r="A3418" t="s">
        <v>4664</v>
      </c>
      <c r="B3418" t="str">
        <f>"002737"</f>
        <v>002737</v>
      </c>
      <c r="C3418" t="s">
        <v>7179</v>
      </c>
      <c r="D3418" t="s">
        <v>188</v>
      </c>
      <c r="F3418">
        <v>3290695719</v>
      </c>
      <c r="G3418">
        <v>2611713573</v>
      </c>
      <c r="H3418">
        <v>3163493201</v>
      </c>
      <c r="I3418">
        <v>3482767282</v>
      </c>
      <c r="J3418">
        <v>2923218720</v>
      </c>
      <c r="K3418">
        <v>2354454616</v>
      </c>
      <c r="L3418">
        <v>2320245643</v>
      </c>
      <c r="M3418">
        <v>0</v>
      </c>
      <c r="N3418">
        <v>0</v>
      </c>
      <c r="P3418">
        <v>1117</v>
      </c>
      <c r="Q3418" t="s">
        <v>7180</v>
      </c>
    </row>
    <row r="3419" spans="1:17" x14ac:dyDescent="0.3">
      <c r="A3419" t="s">
        <v>4664</v>
      </c>
      <c r="B3419" t="str">
        <f>"002738"</f>
        <v>002738</v>
      </c>
      <c r="C3419" t="s">
        <v>7181</v>
      </c>
      <c r="D3419" t="s">
        <v>636</v>
      </c>
      <c r="F3419">
        <v>1412253518</v>
      </c>
      <c r="G3419">
        <v>850795696</v>
      </c>
      <c r="H3419">
        <v>928464661</v>
      </c>
      <c r="I3419">
        <v>422812690</v>
      </c>
      <c r="J3419">
        <v>332855917</v>
      </c>
      <c r="K3419">
        <v>186329326</v>
      </c>
      <c r="L3419">
        <v>158048240</v>
      </c>
      <c r="M3419">
        <v>178125762</v>
      </c>
      <c r="N3419">
        <v>0</v>
      </c>
      <c r="P3419">
        <v>192</v>
      </c>
      <c r="Q3419" t="s">
        <v>7182</v>
      </c>
    </row>
    <row r="3420" spans="1:17" x14ac:dyDescent="0.3">
      <c r="A3420" t="s">
        <v>4664</v>
      </c>
      <c r="B3420" t="str">
        <f>"002739"</f>
        <v>002739</v>
      </c>
      <c r="C3420" t="s">
        <v>7183</v>
      </c>
      <c r="D3420" t="s">
        <v>2558</v>
      </c>
      <c r="F3420">
        <v>10777820426</v>
      </c>
      <c r="G3420">
        <v>4182055750</v>
      </c>
      <c r="H3420">
        <v>13338595028</v>
      </c>
      <c r="I3420">
        <v>11611802586</v>
      </c>
      <c r="J3420">
        <v>10736383133</v>
      </c>
      <c r="K3420">
        <v>8669249377</v>
      </c>
      <c r="L3420">
        <v>5526567016</v>
      </c>
      <c r="M3420">
        <v>4170423493</v>
      </c>
      <c r="P3420">
        <v>911</v>
      </c>
      <c r="Q3420" t="s">
        <v>7184</v>
      </c>
    </row>
    <row r="3421" spans="1:17" x14ac:dyDescent="0.3">
      <c r="A3421" t="s">
        <v>4664</v>
      </c>
      <c r="B3421" t="str">
        <f>"002740"</f>
        <v>002740</v>
      </c>
      <c r="C3421" t="s">
        <v>7185</v>
      </c>
      <c r="D3421" t="s">
        <v>1238</v>
      </c>
      <c r="F3421">
        <v>755444926</v>
      </c>
      <c r="G3421">
        <v>1030057946</v>
      </c>
      <c r="H3421">
        <v>2015025186</v>
      </c>
      <c r="I3421">
        <v>1231831137</v>
      </c>
      <c r="J3421">
        <v>1614409736</v>
      </c>
      <c r="K3421">
        <v>781445774</v>
      </c>
      <c r="L3421">
        <v>522173067</v>
      </c>
      <c r="M3421">
        <v>702754063</v>
      </c>
      <c r="P3421">
        <v>78</v>
      </c>
      <c r="Q3421" t="s">
        <v>7186</v>
      </c>
    </row>
    <row r="3422" spans="1:17" x14ac:dyDescent="0.3">
      <c r="A3422" t="s">
        <v>4664</v>
      </c>
      <c r="B3422" t="str">
        <f>"002741"</f>
        <v>002741</v>
      </c>
      <c r="C3422" t="s">
        <v>7187</v>
      </c>
      <c r="D3422" t="s">
        <v>2399</v>
      </c>
      <c r="F3422">
        <v>1574514264</v>
      </c>
      <c r="G3422">
        <v>1306986446</v>
      </c>
      <c r="H3422">
        <v>1126340620</v>
      </c>
      <c r="I3422">
        <v>1180393229</v>
      </c>
      <c r="J3422">
        <v>846320324</v>
      </c>
      <c r="K3422">
        <v>661651144</v>
      </c>
      <c r="L3422">
        <v>504960817</v>
      </c>
      <c r="M3422">
        <v>506250701</v>
      </c>
      <c r="P3422">
        <v>187</v>
      </c>
      <c r="Q3422" t="s">
        <v>7188</v>
      </c>
    </row>
    <row r="3423" spans="1:17" x14ac:dyDescent="0.3">
      <c r="A3423" t="s">
        <v>4664</v>
      </c>
      <c r="B3423" t="str">
        <f>"002742"</f>
        <v>002742</v>
      </c>
      <c r="C3423" t="s">
        <v>7189</v>
      </c>
      <c r="D3423" t="s">
        <v>3071</v>
      </c>
      <c r="F3423">
        <v>1481304876</v>
      </c>
      <c r="G3423">
        <v>1674913997</v>
      </c>
      <c r="H3423">
        <v>1872315925</v>
      </c>
      <c r="I3423">
        <v>1370185052</v>
      </c>
      <c r="J3423">
        <v>837147870</v>
      </c>
      <c r="K3423">
        <v>565976045</v>
      </c>
      <c r="L3423">
        <v>455938521</v>
      </c>
      <c r="M3423">
        <v>401983461</v>
      </c>
      <c r="P3423">
        <v>67</v>
      </c>
      <c r="Q3423" t="s">
        <v>7190</v>
      </c>
    </row>
    <row r="3424" spans="1:17" x14ac:dyDescent="0.3">
      <c r="A3424" t="s">
        <v>4664</v>
      </c>
      <c r="B3424" t="str">
        <f>"002743"</f>
        <v>002743</v>
      </c>
      <c r="C3424" t="s">
        <v>7191</v>
      </c>
      <c r="D3424" t="s">
        <v>978</v>
      </c>
      <c r="F3424">
        <v>2957455348</v>
      </c>
      <c r="G3424">
        <v>2251860854</v>
      </c>
      <c r="H3424">
        <v>2116843025</v>
      </c>
      <c r="I3424">
        <v>2103059716</v>
      </c>
      <c r="J3424">
        <v>1476973471</v>
      </c>
      <c r="K3424">
        <v>1220159487</v>
      </c>
      <c r="L3424">
        <v>1013572645</v>
      </c>
      <c r="M3424">
        <v>1190456131</v>
      </c>
      <c r="P3424">
        <v>77</v>
      </c>
      <c r="Q3424" t="s">
        <v>7192</v>
      </c>
    </row>
    <row r="3425" spans="1:17" x14ac:dyDescent="0.3">
      <c r="A3425" t="s">
        <v>4664</v>
      </c>
      <c r="B3425" t="str">
        <f>"002745"</f>
        <v>002745</v>
      </c>
      <c r="C3425" t="s">
        <v>7193</v>
      </c>
      <c r="D3425" t="s">
        <v>803</v>
      </c>
      <c r="F3425">
        <v>13913174349</v>
      </c>
      <c r="G3425">
        <v>12661548688</v>
      </c>
      <c r="H3425">
        <v>15235791376</v>
      </c>
      <c r="I3425">
        <v>9127120219</v>
      </c>
      <c r="J3425">
        <v>4545205676</v>
      </c>
      <c r="K3425">
        <v>3277177909</v>
      </c>
      <c r="L3425">
        <v>2801801336</v>
      </c>
      <c r="M3425">
        <v>2819707332</v>
      </c>
      <c r="P3425">
        <v>324</v>
      </c>
      <c r="Q3425" t="s">
        <v>7194</v>
      </c>
    </row>
    <row r="3426" spans="1:17" x14ac:dyDescent="0.3">
      <c r="A3426" t="s">
        <v>4664</v>
      </c>
      <c r="B3426" t="str">
        <f>"002746"</f>
        <v>002746</v>
      </c>
      <c r="C3426" t="s">
        <v>7195</v>
      </c>
      <c r="D3426" t="s">
        <v>6173</v>
      </c>
      <c r="F3426">
        <v>2574267897</v>
      </c>
      <c r="G3426">
        <v>2603484171</v>
      </c>
      <c r="H3426">
        <v>2753171710</v>
      </c>
      <c r="I3426">
        <v>1065684521</v>
      </c>
      <c r="J3426">
        <v>1728614562</v>
      </c>
      <c r="K3426">
        <v>1599333043</v>
      </c>
      <c r="L3426">
        <v>1490019897</v>
      </c>
      <c r="M3426">
        <v>1368773013</v>
      </c>
      <c r="P3426">
        <v>457</v>
      </c>
      <c r="Q3426" t="s">
        <v>7196</v>
      </c>
    </row>
    <row r="3427" spans="1:17" x14ac:dyDescent="0.3">
      <c r="A3427" t="s">
        <v>4664</v>
      </c>
      <c r="B3427" t="str">
        <f>"002747"</f>
        <v>002747</v>
      </c>
      <c r="C3427" t="s">
        <v>7197</v>
      </c>
      <c r="D3427" t="s">
        <v>2911</v>
      </c>
      <c r="F3427">
        <v>2076752816</v>
      </c>
      <c r="G3427">
        <v>1914842441</v>
      </c>
      <c r="H3427">
        <v>1077742253</v>
      </c>
      <c r="I3427">
        <v>948574393</v>
      </c>
      <c r="J3427">
        <v>584325195</v>
      </c>
      <c r="K3427">
        <v>206265244</v>
      </c>
      <c r="L3427">
        <v>203578198</v>
      </c>
      <c r="M3427">
        <v>231376479</v>
      </c>
      <c r="P3427">
        <v>474</v>
      </c>
      <c r="Q3427" t="s">
        <v>7198</v>
      </c>
    </row>
    <row r="3428" spans="1:17" x14ac:dyDescent="0.3">
      <c r="A3428" t="s">
        <v>4664</v>
      </c>
      <c r="B3428" t="str">
        <f>"002748"</f>
        <v>002748</v>
      </c>
      <c r="C3428" t="s">
        <v>7199</v>
      </c>
      <c r="D3428" t="s">
        <v>175</v>
      </c>
      <c r="F3428">
        <v>782593748</v>
      </c>
      <c r="G3428">
        <v>840887169</v>
      </c>
      <c r="H3428">
        <v>1111830824</v>
      </c>
      <c r="I3428">
        <v>568895563</v>
      </c>
      <c r="J3428">
        <v>516738472</v>
      </c>
      <c r="K3428">
        <v>336943272</v>
      </c>
      <c r="L3428">
        <v>314413275</v>
      </c>
      <c r="M3428">
        <v>530987423</v>
      </c>
      <c r="P3428">
        <v>77</v>
      </c>
      <c r="Q3428" t="s">
        <v>7200</v>
      </c>
    </row>
    <row r="3429" spans="1:17" x14ac:dyDescent="0.3">
      <c r="A3429" t="s">
        <v>4664</v>
      </c>
      <c r="B3429" t="str">
        <f>"002749"</f>
        <v>002749</v>
      </c>
      <c r="C3429" t="s">
        <v>7201</v>
      </c>
      <c r="D3429" t="s">
        <v>853</v>
      </c>
      <c r="F3429">
        <v>939354488</v>
      </c>
      <c r="G3429">
        <v>801984632</v>
      </c>
      <c r="H3429">
        <v>787894891</v>
      </c>
      <c r="I3429">
        <v>659537470</v>
      </c>
      <c r="J3429">
        <v>572932530</v>
      </c>
      <c r="K3429">
        <v>508553052</v>
      </c>
      <c r="L3429">
        <v>496771058</v>
      </c>
      <c r="M3429">
        <v>488302373</v>
      </c>
      <c r="P3429">
        <v>9783</v>
      </c>
      <c r="Q3429" t="s">
        <v>7202</v>
      </c>
    </row>
    <row r="3430" spans="1:17" x14ac:dyDescent="0.3">
      <c r="A3430" t="s">
        <v>4664</v>
      </c>
      <c r="B3430" t="str">
        <f>"002750"</f>
        <v>002750</v>
      </c>
      <c r="C3430" t="s">
        <v>7203</v>
      </c>
      <c r="D3430" t="s">
        <v>188</v>
      </c>
      <c r="F3430">
        <v>521600974</v>
      </c>
      <c r="G3430">
        <v>192258280</v>
      </c>
      <c r="H3430">
        <v>223082561</v>
      </c>
      <c r="I3430">
        <v>300563303</v>
      </c>
      <c r="J3430">
        <v>216414729</v>
      </c>
      <c r="K3430">
        <v>177415848</v>
      </c>
      <c r="L3430">
        <v>139960440</v>
      </c>
      <c r="M3430">
        <v>154684347</v>
      </c>
      <c r="P3430">
        <v>142</v>
      </c>
      <c r="Q3430" t="s">
        <v>7204</v>
      </c>
    </row>
    <row r="3431" spans="1:17" x14ac:dyDescent="0.3">
      <c r="A3431" t="s">
        <v>4664</v>
      </c>
      <c r="B3431" t="str">
        <f>"002751"</f>
        <v>002751</v>
      </c>
      <c r="C3431" t="s">
        <v>7205</v>
      </c>
      <c r="D3431" t="s">
        <v>1671</v>
      </c>
      <c r="F3431">
        <v>575889581</v>
      </c>
      <c r="G3431">
        <v>635948725</v>
      </c>
      <c r="H3431">
        <v>800824771</v>
      </c>
      <c r="I3431">
        <v>686028072</v>
      </c>
      <c r="J3431">
        <v>504084726</v>
      </c>
      <c r="K3431">
        <v>443719366</v>
      </c>
      <c r="L3431">
        <v>460908954</v>
      </c>
      <c r="M3431">
        <v>315812769</v>
      </c>
      <c r="P3431">
        <v>145</v>
      </c>
      <c r="Q3431" t="s">
        <v>7206</v>
      </c>
    </row>
    <row r="3432" spans="1:17" x14ac:dyDescent="0.3">
      <c r="A3432" t="s">
        <v>4664</v>
      </c>
      <c r="B3432" t="str">
        <f>"002752"</f>
        <v>002752</v>
      </c>
      <c r="C3432" t="s">
        <v>7207</v>
      </c>
      <c r="D3432" t="s">
        <v>2364</v>
      </c>
      <c r="F3432">
        <v>3210590657</v>
      </c>
      <c r="G3432">
        <v>1959766332</v>
      </c>
      <c r="H3432">
        <v>2319356141</v>
      </c>
      <c r="I3432">
        <v>1715118738</v>
      </c>
      <c r="J3432">
        <v>1868502145</v>
      </c>
      <c r="K3432">
        <v>1995042993</v>
      </c>
      <c r="L3432">
        <v>1693062689</v>
      </c>
      <c r="M3432">
        <v>1600679600</v>
      </c>
      <c r="P3432">
        <v>79</v>
      </c>
      <c r="Q3432" t="s">
        <v>7208</v>
      </c>
    </row>
    <row r="3433" spans="1:17" x14ac:dyDescent="0.3">
      <c r="A3433" t="s">
        <v>4664</v>
      </c>
      <c r="B3433" t="str">
        <f>"002753"</f>
        <v>002753</v>
      </c>
      <c r="C3433" t="s">
        <v>7209</v>
      </c>
      <c r="D3433" t="s">
        <v>3619</v>
      </c>
      <c r="F3433">
        <v>1212866312</v>
      </c>
      <c r="G3433">
        <v>995331950</v>
      </c>
      <c r="H3433">
        <v>1001998306</v>
      </c>
      <c r="I3433">
        <v>785664889</v>
      </c>
      <c r="J3433">
        <v>576410532</v>
      </c>
      <c r="K3433">
        <v>426264615</v>
      </c>
      <c r="L3433">
        <v>270435835</v>
      </c>
      <c r="M3433">
        <v>235163325</v>
      </c>
      <c r="P3433">
        <v>170</v>
      </c>
      <c r="Q3433" t="s">
        <v>7210</v>
      </c>
    </row>
    <row r="3434" spans="1:17" x14ac:dyDescent="0.3">
      <c r="A3434" t="s">
        <v>4664</v>
      </c>
      <c r="B3434" t="str">
        <f>"002755"</f>
        <v>002755</v>
      </c>
      <c r="C3434" t="s">
        <v>7211</v>
      </c>
      <c r="D3434" t="s">
        <v>143</v>
      </c>
      <c r="F3434">
        <v>2935786818</v>
      </c>
      <c r="G3434">
        <v>3160723265</v>
      </c>
      <c r="H3434">
        <v>3524087219</v>
      </c>
      <c r="I3434">
        <v>312406152</v>
      </c>
      <c r="J3434">
        <v>133930113</v>
      </c>
      <c r="K3434">
        <v>143697615</v>
      </c>
      <c r="L3434">
        <v>179196638</v>
      </c>
      <c r="M3434">
        <v>272761338</v>
      </c>
      <c r="P3434">
        <v>307</v>
      </c>
      <c r="Q3434" t="s">
        <v>7212</v>
      </c>
    </row>
    <row r="3435" spans="1:17" x14ac:dyDescent="0.3">
      <c r="A3435" t="s">
        <v>4664</v>
      </c>
      <c r="B3435" t="str">
        <f>"002756"</f>
        <v>002756</v>
      </c>
      <c r="C3435" t="s">
        <v>7213</v>
      </c>
      <c r="D3435" t="s">
        <v>281</v>
      </c>
      <c r="F3435">
        <v>4855220509</v>
      </c>
      <c r="G3435">
        <v>3067450919</v>
      </c>
      <c r="H3435">
        <v>4308287500</v>
      </c>
      <c r="I3435">
        <v>4060689967</v>
      </c>
      <c r="J3435">
        <v>3240570342</v>
      </c>
      <c r="K3435">
        <v>2763046289</v>
      </c>
      <c r="L3435">
        <v>2797537011</v>
      </c>
      <c r="M3435">
        <v>3557628834</v>
      </c>
      <c r="P3435">
        <v>307</v>
      </c>
      <c r="Q3435" t="s">
        <v>7214</v>
      </c>
    </row>
    <row r="3436" spans="1:17" x14ac:dyDescent="0.3">
      <c r="A3436" t="s">
        <v>4664</v>
      </c>
      <c r="B3436" t="str">
        <f>"002757"</f>
        <v>002757</v>
      </c>
      <c r="C3436" t="s">
        <v>7215</v>
      </c>
      <c r="D3436" t="s">
        <v>741</v>
      </c>
      <c r="F3436">
        <v>2233248159</v>
      </c>
      <c r="G3436">
        <v>1614712066</v>
      </c>
      <c r="H3436">
        <v>1157309127</v>
      </c>
      <c r="I3436">
        <v>854918226</v>
      </c>
      <c r="J3436">
        <v>663061180</v>
      </c>
      <c r="K3436">
        <v>398861932</v>
      </c>
      <c r="L3436">
        <v>328321780</v>
      </c>
      <c r="M3436">
        <v>466064053</v>
      </c>
      <c r="P3436">
        <v>267</v>
      </c>
      <c r="Q3436" t="s">
        <v>7216</v>
      </c>
    </row>
    <row r="3437" spans="1:17" x14ac:dyDescent="0.3">
      <c r="A3437" t="s">
        <v>4664</v>
      </c>
      <c r="B3437" t="str">
        <f>"002758"</f>
        <v>002758</v>
      </c>
      <c r="C3437" t="s">
        <v>7217</v>
      </c>
      <c r="D3437" t="s">
        <v>125</v>
      </c>
      <c r="F3437">
        <v>29978633552</v>
      </c>
      <c r="G3437">
        <v>1284183615</v>
      </c>
      <c r="H3437">
        <v>1353412564</v>
      </c>
      <c r="I3437">
        <v>1335374104</v>
      </c>
      <c r="J3437">
        <v>1127266543</v>
      </c>
      <c r="K3437">
        <v>1023079610</v>
      </c>
      <c r="L3437">
        <v>986676914</v>
      </c>
      <c r="M3437">
        <v>933883844</v>
      </c>
      <c r="P3437">
        <v>180</v>
      </c>
      <c r="Q3437" t="s">
        <v>7218</v>
      </c>
    </row>
    <row r="3438" spans="1:17" x14ac:dyDescent="0.3">
      <c r="A3438" t="s">
        <v>4664</v>
      </c>
      <c r="B3438" t="str">
        <f>"002759"</f>
        <v>002759</v>
      </c>
      <c r="C3438" t="s">
        <v>7219</v>
      </c>
      <c r="D3438" t="s">
        <v>1786</v>
      </c>
      <c r="F3438">
        <v>973591073</v>
      </c>
      <c r="G3438">
        <v>378790572</v>
      </c>
      <c r="H3438">
        <v>455609200</v>
      </c>
      <c r="I3438">
        <v>661047519</v>
      </c>
      <c r="J3438">
        <v>487836908</v>
      </c>
      <c r="K3438">
        <v>270950026</v>
      </c>
      <c r="L3438">
        <v>231475793</v>
      </c>
      <c r="M3438">
        <v>216716577</v>
      </c>
      <c r="P3438">
        <v>251</v>
      </c>
      <c r="Q3438" t="s">
        <v>7220</v>
      </c>
    </row>
    <row r="3439" spans="1:17" x14ac:dyDescent="0.3">
      <c r="A3439" t="s">
        <v>4664</v>
      </c>
      <c r="B3439" t="str">
        <f>"002760"</f>
        <v>002760</v>
      </c>
      <c r="C3439" t="s">
        <v>7221</v>
      </c>
      <c r="D3439" t="s">
        <v>404</v>
      </c>
      <c r="F3439">
        <v>650208356</v>
      </c>
      <c r="G3439">
        <v>492770752</v>
      </c>
      <c r="H3439">
        <v>430428061</v>
      </c>
      <c r="I3439">
        <v>412689509</v>
      </c>
      <c r="J3439">
        <v>352939365</v>
      </c>
      <c r="K3439">
        <v>224301276</v>
      </c>
      <c r="L3439">
        <v>269698544</v>
      </c>
      <c r="M3439">
        <v>396718215</v>
      </c>
      <c r="P3439">
        <v>72</v>
      </c>
      <c r="Q3439" t="s">
        <v>7222</v>
      </c>
    </row>
    <row r="3440" spans="1:17" x14ac:dyDescent="0.3">
      <c r="A3440" t="s">
        <v>4664</v>
      </c>
      <c r="B3440" t="str">
        <f>"002761"</f>
        <v>002761</v>
      </c>
      <c r="C3440" t="s">
        <v>7223</v>
      </c>
      <c r="D3440" t="s">
        <v>398</v>
      </c>
      <c r="F3440">
        <v>61692843870</v>
      </c>
      <c r="G3440">
        <v>57830144295</v>
      </c>
      <c r="H3440">
        <v>637027884</v>
      </c>
      <c r="I3440">
        <v>690794087</v>
      </c>
      <c r="J3440">
        <v>512676731</v>
      </c>
      <c r="K3440">
        <v>511137010</v>
      </c>
      <c r="L3440">
        <v>447795667</v>
      </c>
      <c r="M3440">
        <v>528782434</v>
      </c>
      <c r="P3440">
        <v>195</v>
      </c>
      <c r="Q3440" t="s">
        <v>7224</v>
      </c>
    </row>
    <row r="3441" spans="1:17" x14ac:dyDescent="0.3">
      <c r="A3441" t="s">
        <v>4664</v>
      </c>
      <c r="B3441" t="str">
        <f>"002762"</f>
        <v>002762</v>
      </c>
      <c r="C3441" t="s">
        <v>7225</v>
      </c>
      <c r="D3441" t="s">
        <v>255</v>
      </c>
      <c r="F3441">
        <v>211534596</v>
      </c>
      <c r="G3441">
        <v>225541813</v>
      </c>
      <c r="H3441">
        <v>346086054</v>
      </c>
      <c r="I3441">
        <v>378086392</v>
      </c>
      <c r="J3441">
        <v>331240517</v>
      </c>
      <c r="K3441">
        <v>289349518</v>
      </c>
      <c r="L3441">
        <v>301278343</v>
      </c>
      <c r="M3441">
        <v>326069464</v>
      </c>
      <c r="P3441">
        <v>128</v>
      </c>
      <c r="Q3441" t="s">
        <v>7226</v>
      </c>
    </row>
    <row r="3442" spans="1:17" x14ac:dyDescent="0.3">
      <c r="A3442" t="s">
        <v>4664</v>
      </c>
      <c r="B3442" t="str">
        <f>"002763"</f>
        <v>002763</v>
      </c>
      <c r="C3442" t="s">
        <v>7227</v>
      </c>
      <c r="D3442" t="s">
        <v>330</v>
      </c>
      <c r="F3442">
        <v>2128917962</v>
      </c>
      <c r="G3442">
        <v>1744660823</v>
      </c>
      <c r="H3442">
        <v>2010390511</v>
      </c>
      <c r="I3442">
        <v>1869034422</v>
      </c>
      <c r="J3442">
        <v>1724471209</v>
      </c>
      <c r="K3442">
        <v>1640151019</v>
      </c>
      <c r="L3442">
        <v>1536349753</v>
      </c>
      <c r="M3442">
        <v>1344618908</v>
      </c>
      <c r="P3442">
        <v>293</v>
      </c>
      <c r="Q3442" t="s">
        <v>7228</v>
      </c>
    </row>
    <row r="3443" spans="1:17" x14ac:dyDescent="0.3">
      <c r="A3443" t="s">
        <v>4664</v>
      </c>
      <c r="B3443" t="str">
        <f>"002765"</f>
        <v>002765</v>
      </c>
      <c r="C3443" t="s">
        <v>7229</v>
      </c>
      <c r="D3443" t="s">
        <v>1117</v>
      </c>
      <c r="F3443">
        <v>2105593469</v>
      </c>
      <c r="G3443">
        <v>1199300445</v>
      </c>
      <c r="H3443">
        <v>658027431</v>
      </c>
      <c r="I3443">
        <v>658267087</v>
      </c>
      <c r="J3443">
        <v>637160121</v>
      </c>
      <c r="K3443">
        <v>311359205</v>
      </c>
      <c r="L3443">
        <v>318988064</v>
      </c>
      <c r="M3443">
        <v>240937791</v>
      </c>
      <c r="P3443">
        <v>118</v>
      </c>
      <c r="Q3443" t="s">
        <v>7230</v>
      </c>
    </row>
    <row r="3444" spans="1:17" x14ac:dyDescent="0.3">
      <c r="A3444" t="s">
        <v>4664</v>
      </c>
      <c r="B3444" t="str">
        <f>"002766"</f>
        <v>002766</v>
      </c>
      <c r="C3444" t="s">
        <v>7231</v>
      </c>
      <c r="D3444" t="s">
        <v>1415</v>
      </c>
      <c r="F3444">
        <v>794669804</v>
      </c>
      <c r="G3444">
        <v>811170022</v>
      </c>
      <c r="H3444">
        <v>664197076</v>
      </c>
      <c r="I3444">
        <v>991699022</v>
      </c>
      <c r="J3444">
        <v>942538052</v>
      </c>
      <c r="K3444">
        <v>568321103</v>
      </c>
      <c r="L3444">
        <v>698942658</v>
      </c>
      <c r="M3444">
        <v>633291207</v>
      </c>
      <c r="P3444">
        <v>85</v>
      </c>
      <c r="Q3444" t="s">
        <v>7232</v>
      </c>
    </row>
    <row r="3445" spans="1:17" x14ac:dyDescent="0.3">
      <c r="A3445" t="s">
        <v>4664</v>
      </c>
      <c r="B3445" t="str">
        <f>"002767"</f>
        <v>002767</v>
      </c>
      <c r="C3445" t="s">
        <v>7233</v>
      </c>
      <c r="D3445" t="s">
        <v>2551</v>
      </c>
      <c r="F3445">
        <v>226704488</v>
      </c>
      <c r="G3445">
        <v>200342759</v>
      </c>
      <c r="H3445">
        <v>176306578</v>
      </c>
      <c r="I3445">
        <v>180671470</v>
      </c>
      <c r="J3445">
        <v>178185494</v>
      </c>
      <c r="K3445">
        <v>159712689</v>
      </c>
      <c r="L3445">
        <v>152497547</v>
      </c>
      <c r="M3445">
        <v>192470802</v>
      </c>
      <c r="P3445">
        <v>73</v>
      </c>
      <c r="Q3445" t="s">
        <v>7234</v>
      </c>
    </row>
    <row r="3446" spans="1:17" x14ac:dyDescent="0.3">
      <c r="A3446" t="s">
        <v>4664</v>
      </c>
      <c r="B3446" t="str">
        <f>"002768"</f>
        <v>002768</v>
      </c>
      <c r="C3446" t="s">
        <v>7235</v>
      </c>
      <c r="D3446" t="s">
        <v>341</v>
      </c>
      <c r="F3446">
        <v>5733156693</v>
      </c>
      <c r="G3446">
        <v>5684645966</v>
      </c>
      <c r="H3446">
        <v>1928849819</v>
      </c>
      <c r="I3446">
        <v>1688945957</v>
      </c>
      <c r="J3446">
        <v>796738141</v>
      </c>
      <c r="K3446">
        <v>660151545</v>
      </c>
      <c r="L3446">
        <v>362180013</v>
      </c>
      <c r="M3446">
        <v>437310213</v>
      </c>
      <c r="P3446">
        <v>595</v>
      </c>
      <c r="Q3446" t="s">
        <v>7236</v>
      </c>
    </row>
    <row r="3447" spans="1:17" x14ac:dyDescent="0.3">
      <c r="A3447" t="s">
        <v>4664</v>
      </c>
      <c r="B3447" t="str">
        <f>"002769"</f>
        <v>002769</v>
      </c>
      <c r="C3447" t="s">
        <v>7237</v>
      </c>
      <c r="D3447" t="s">
        <v>3098</v>
      </c>
      <c r="F3447">
        <v>2835632832</v>
      </c>
      <c r="G3447">
        <v>4971825873</v>
      </c>
      <c r="H3447">
        <v>5617114280</v>
      </c>
      <c r="I3447">
        <v>4342444342</v>
      </c>
      <c r="J3447">
        <v>4224408248</v>
      </c>
      <c r="K3447">
        <v>3040193748</v>
      </c>
      <c r="L3447">
        <v>2520371848</v>
      </c>
      <c r="M3447">
        <v>2707344034</v>
      </c>
      <c r="P3447">
        <v>96</v>
      </c>
      <c r="Q3447" t="s">
        <v>7238</v>
      </c>
    </row>
    <row r="3448" spans="1:17" x14ac:dyDescent="0.3">
      <c r="A3448" t="s">
        <v>4664</v>
      </c>
      <c r="B3448" t="str">
        <f>"002770"</f>
        <v>002770</v>
      </c>
      <c r="C3448" t="s">
        <v>7239</v>
      </c>
      <c r="D3448" t="s">
        <v>900</v>
      </c>
      <c r="F3448">
        <v>497540596</v>
      </c>
      <c r="G3448">
        <v>364558603</v>
      </c>
      <c r="H3448">
        <v>786274443</v>
      </c>
      <c r="I3448">
        <v>1154342376</v>
      </c>
      <c r="J3448">
        <v>1064653459</v>
      </c>
      <c r="K3448">
        <v>662905347</v>
      </c>
      <c r="L3448">
        <v>564587589</v>
      </c>
      <c r="M3448">
        <v>550624891</v>
      </c>
      <c r="P3448">
        <v>163</v>
      </c>
      <c r="Q3448" t="s">
        <v>7240</v>
      </c>
    </row>
    <row r="3449" spans="1:17" x14ac:dyDescent="0.3">
      <c r="A3449" t="s">
        <v>4664</v>
      </c>
      <c r="B3449" t="str">
        <f>"002771"</f>
        <v>002771</v>
      </c>
      <c r="C3449" t="s">
        <v>7241</v>
      </c>
      <c r="D3449" t="s">
        <v>316</v>
      </c>
      <c r="F3449">
        <v>619902828</v>
      </c>
      <c r="G3449">
        <v>440221346</v>
      </c>
      <c r="H3449">
        <v>438693418</v>
      </c>
      <c r="I3449">
        <v>366826165</v>
      </c>
      <c r="J3449">
        <v>331219581</v>
      </c>
      <c r="K3449">
        <v>362825592</v>
      </c>
      <c r="L3449">
        <v>351759618</v>
      </c>
      <c r="M3449">
        <v>410403747</v>
      </c>
      <c r="P3449">
        <v>95</v>
      </c>
      <c r="Q3449" t="s">
        <v>7242</v>
      </c>
    </row>
    <row r="3450" spans="1:17" x14ac:dyDescent="0.3">
      <c r="A3450" t="s">
        <v>4664</v>
      </c>
      <c r="B3450" t="str">
        <f>"002772"</f>
        <v>002772</v>
      </c>
      <c r="C3450" t="s">
        <v>7243</v>
      </c>
      <c r="D3450" t="s">
        <v>7244</v>
      </c>
      <c r="F3450">
        <v>1053966860</v>
      </c>
      <c r="G3450">
        <v>1041665259</v>
      </c>
      <c r="H3450">
        <v>770336413</v>
      </c>
      <c r="I3450">
        <v>699401951</v>
      </c>
      <c r="J3450">
        <v>521096880</v>
      </c>
      <c r="K3450">
        <v>422383183</v>
      </c>
      <c r="L3450">
        <v>324780307</v>
      </c>
      <c r="M3450">
        <v>266750540</v>
      </c>
      <c r="P3450">
        <v>202</v>
      </c>
      <c r="Q3450" t="s">
        <v>7245</v>
      </c>
    </row>
    <row r="3451" spans="1:17" x14ac:dyDescent="0.3">
      <c r="A3451" t="s">
        <v>4664</v>
      </c>
      <c r="B3451" t="str">
        <f>"002773"</f>
        <v>002773</v>
      </c>
      <c r="C3451" t="s">
        <v>7246</v>
      </c>
      <c r="D3451" t="s">
        <v>143</v>
      </c>
      <c r="F3451">
        <v>2974021673</v>
      </c>
      <c r="G3451">
        <v>2573390123</v>
      </c>
      <c r="H3451">
        <v>2577965940</v>
      </c>
      <c r="I3451">
        <v>2134775115</v>
      </c>
      <c r="J3451">
        <v>2160492462</v>
      </c>
      <c r="K3451">
        <v>1922405312</v>
      </c>
      <c r="L3451">
        <v>1529072471</v>
      </c>
      <c r="M3451">
        <v>1176070297</v>
      </c>
      <c r="P3451">
        <v>5281</v>
      </c>
      <c r="Q3451" t="s">
        <v>7247</v>
      </c>
    </row>
    <row r="3452" spans="1:17" x14ac:dyDescent="0.3">
      <c r="A3452" t="s">
        <v>4664</v>
      </c>
      <c r="B3452" t="str">
        <f>"002774"</f>
        <v>002774</v>
      </c>
      <c r="C3452" t="s">
        <v>7248</v>
      </c>
      <c r="D3452" t="s">
        <v>1689</v>
      </c>
      <c r="F3452">
        <v>1449763243</v>
      </c>
      <c r="G3452">
        <v>697009118</v>
      </c>
      <c r="H3452">
        <v>714255057</v>
      </c>
      <c r="I3452">
        <v>561857967</v>
      </c>
      <c r="J3452">
        <v>576407001</v>
      </c>
      <c r="K3452">
        <v>643416104</v>
      </c>
      <c r="P3452">
        <v>77</v>
      </c>
      <c r="Q3452" t="s">
        <v>7249</v>
      </c>
    </row>
    <row r="3453" spans="1:17" x14ac:dyDescent="0.3">
      <c r="A3453" t="s">
        <v>4664</v>
      </c>
      <c r="B3453" t="str">
        <f>"002775"</f>
        <v>002775</v>
      </c>
      <c r="C3453" t="s">
        <v>7250</v>
      </c>
      <c r="D3453" t="s">
        <v>2408</v>
      </c>
      <c r="F3453">
        <v>705927112</v>
      </c>
      <c r="G3453">
        <v>1653680922</v>
      </c>
      <c r="H3453">
        <v>1906764010</v>
      </c>
      <c r="I3453">
        <v>951903985</v>
      </c>
      <c r="J3453">
        <v>1253208365</v>
      </c>
      <c r="K3453">
        <v>793600651</v>
      </c>
      <c r="L3453">
        <v>511966680</v>
      </c>
      <c r="M3453">
        <v>457929686</v>
      </c>
      <c r="P3453">
        <v>218</v>
      </c>
      <c r="Q3453" t="s">
        <v>7251</v>
      </c>
    </row>
    <row r="3454" spans="1:17" x14ac:dyDescent="0.3">
      <c r="A3454" t="s">
        <v>4664</v>
      </c>
      <c r="B3454" t="str">
        <f>"002776"</f>
        <v>002776</v>
      </c>
      <c r="C3454" t="s">
        <v>7252</v>
      </c>
      <c r="D3454" t="s">
        <v>255</v>
      </c>
      <c r="F3454">
        <v>79124908</v>
      </c>
      <c r="G3454">
        <v>674794242</v>
      </c>
      <c r="H3454">
        <v>722330189</v>
      </c>
      <c r="I3454">
        <v>760675442</v>
      </c>
      <c r="J3454">
        <v>575284185</v>
      </c>
      <c r="K3454">
        <v>476609257</v>
      </c>
      <c r="L3454">
        <v>434523707</v>
      </c>
      <c r="M3454">
        <v>376490940</v>
      </c>
      <c r="P3454">
        <v>125</v>
      </c>
      <c r="Q3454" t="s">
        <v>7253</v>
      </c>
    </row>
    <row r="3455" spans="1:17" x14ac:dyDescent="0.3">
      <c r="A3455" t="s">
        <v>4664</v>
      </c>
      <c r="B3455" t="str">
        <f>"002777"</f>
        <v>002777</v>
      </c>
      <c r="C3455" t="s">
        <v>7254</v>
      </c>
      <c r="D3455" t="s">
        <v>316</v>
      </c>
      <c r="F3455">
        <v>649537415</v>
      </c>
      <c r="G3455">
        <v>537659379</v>
      </c>
      <c r="H3455">
        <v>460971382</v>
      </c>
      <c r="I3455">
        <v>476904661</v>
      </c>
      <c r="J3455">
        <v>316707616</v>
      </c>
      <c r="K3455">
        <v>298542614</v>
      </c>
      <c r="L3455">
        <v>254112029</v>
      </c>
      <c r="M3455">
        <v>228301487</v>
      </c>
      <c r="P3455">
        <v>372</v>
      </c>
      <c r="Q3455" t="s">
        <v>7255</v>
      </c>
    </row>
    <row r="3456" spans="1:17" x14ac:dyDescent="0.3">
      <c r="A3456" t="s">
        <v>4664</v>
      </c>
      <c r="B3456" t="str">
        <f>"002778"</f>
        <v>002778</v>
      </c>
      <c r="C3456" t="s">
        <v>7256</v>
      </c>
      <c r="D3456" t="s">
        <v>1615</v>
      </c>
      <c r="F3456">
        <v>742323448</v>
      </c>
      <c r="G3456">
        <v>588155585</v>
      </c>
      <c r="H3456">
        <v>529080911</v>
      </c>
      <c r="I3456">
        <v>492226887</v>
      </c>
      <c r="J3456">
        <v>420946145</v>
      </c>
      <c r="K3456">
        <v>353140625</v>
      </c>
      <c r="L3456">
        <v>399253239</v>
      </c>
      <c r="M3456">
        <v>598810176</v>
      </c>
      <c r="P3456">
        <v>75</v>
      </c>
      <c r="Q3456" t="s">
        <v>7257</v>
      </c>
    </row>
    <row r="3457" spans="1:17" x14ac:dyDescent="0.3">
      <c r="A3457" t="s">
        <v>4664</v>
      </c>
      <c r="B3457" t="str">
        <f>"002779"</f>
        <v>002779</v>
      </c>
      <c r="C3457" t="s">
        <v>7258</v>
      </c>
      <c r="D3457" t="s">
        <v>741</v>
      </c>
      <c r="F3457">
        <v>348617204</v>
      </c>
      <c r="G3457">
        <v>276670031</v>
      </c>
      <c r="H3457">
        <v>316747418</v>
      </c>
      <c r="I3457">
        <v>297750302</v>
      </c>
      <c r="J3457">
        <v>337934185</v>
      </c>
      <c r="K3457">
        <v>335142959</v>
      </c>
      <c r="L3457">
        <v>360254212</v>
      </c>
      <c r="M3457">
        <v>364851943</v>
      </c>
      <c r="P3457">
        <v>54</v>
      </c>
      <c r="Q3457" t="s">
        <v>7259</v>
      </c>
    </row>
    <row r="3458" spans="1:17" x14ac:dyDescent="0.3">
      <c r="A3458" t="s">
        <v>4664</v>
      </c>
      <c r="B3458" t="str">
        <f>"002780"</f>
        <v>002780</v>
      </c>
      <c r="C3458" t="s">
        <v>7260</v>
      </c>
      <c r="D3458" t="s">
        <v>2990</v>
      </c>
      <c r="F3458">
        <v>406004764</v>
      </c>
      <c r="G3458">
        <v>320340024</v>
      </c>
      <c r="H3458">
        <v>332574839</v>
      </c>
      <c r="I3458">
        <v>357039469</v>
      </c>
      <c r="J3458">
        <v>298395862</v>
      </c>
      <c r="K3458">
        <v>240053430</v>
      </c>
      <c r="L3458">
        <v>0</v>
      </c>
      <c r="M3458">
        <v>0</v>
      </c>
      <c r="P3458">
        <v>85</v>
      </c>
      <c r="Q3458" t="s">
        <v>7261</v>
      </c>
    </row>
    <row r="3459" spans="1:17" x14ac:dyDescent="0.3">
      <c r="A3459" t="s">
        <v>4664</v>
      </c>
      <c r="B3459" t="str">
        <f>"002781"</f>
        <v>002781</v>
      </c>
      <c r="C3459" t="s">
        <v>7262</v>
      </c>
      <c r="D3459" t="s">
        <v>450</v>
      </c>
      <c r="F3459">
        <v>1379441837</v>
      </c>
      <c r="G3459">
        <v>1989321112</v>
      </c>
      <c r="H3459">
        <v>2910819101</v>
      </c>
      <c r="I3459">
        <v>3207704226</v>
      </c>
      <c r="J3459">
        <v>2754741117</v>
      </c>
      <c r="K3459">
        <v>2144288385</v>
      </c>
      <c r="L3459">
        <v>0</v>
      </c>
      <c r="M3459">
        <v>0</v>
      </c>
      <c r="P3459">
        <v>68</v>
      </c>
      <c r="Q3459" t="s">
        <v>7263</v>
      </c>
    </row>
    <row r="3460" spans="1:17" x14ac:dyDescent="0.3">
      <c r="A3460" t="s">
        <v>4664</v>
      </c>
      <c r="B3460" t="str">
        <f>"002782"</f>
        <v>002782</v>
      </c>
      <c r="C3460" t="s">
        <v>7264</v>
      </c>
      <c r="D3460" t="s">
        <v>313</v>
      </c>
      <c r="F3460">
        <v>1127605159</v>
      </c>
      <c r="G3460">
        <v>961861475</v>
      </c>
      <c r="H3460">
        <v>776637577</v>
      </c>
      <c r="I3460">
        <v>828574045</v>
      </c>
      <c r="J3460">
        <v>701957987</v>
      </c>
      <c r="K3460">
        <v>626966351</v>
      </c>
      <c r="P3460">
        <v>167</v>
      </c>
      <c r="Q3460" t="s">
        <v>7265</v>
      </c>
    </row>
    <row r="3461" spans="1:17" x14ac:dyDescent="0.3">
      <c r="A3461" t="s">
        <v>4664</v>
      </c>
      <c r="B3461" t="str">
        <f>"002783"</f>
        <v>002783</v>
      </c>
      <c r="C3461" t="s">
        <v>7266</v>
      </c>
      <c r="D3461" t="s">
        <v>2713</v>
      </c>
      <c r="F3461">
        <v>1778227048</v>
      </c>
      <c r="G3461">
        <v>1087943809</v>
      </c>
      <c r="H3461">
        <v>1175627745</v>
      </c>
      <c r="I3461">
        <v>1113979535</v>
      </c>
      <c r="J3461">
        <v>833717751</v>
      </c>
      <c r="K3461">
        <v>553827720</v>
      </c>
      <c r="L3461">
        <v>0</v>
      </c>
      <c r="M3461">
        <v>0</v>
      </c>
      <c r="P3461">
        <v>112</v>
      </c>
      <c r="Q3461" t="s">
        <v>7267</v>
      </c>
    </row>
    <row r="3462" spans="1:17" x14ac:dyDescent="0.3">
      <c r="A3462" t="s">
        <v>4664</v>
      </c>
      <c r="B3462" t="str">
        <f>"002785"</f>
        <v>002785</v>
      </c>
      <c r="C3462" t="s">
        <v>7268</v>
      </c>
      <c r="D3462" t="s">
        <v>722</v>
      </c>
      <c r="F3462">
        <v>862747291</v>
      </c>
      <c r="G3462">
        <v>673043428</v>
      </c>
      <c r="H3462">
        <v>721661014</v>
      </c>
      <c r="I3462">
        <v>743248339</v>
      </c>
      <c r="J3462">
        <v>647101167</v>
      </c>
      <c r="K3462">
        <v>543806122</v>
      </c>
      <c r="L3462">
        <v>439089987</v>
      </c>
      <c r="M3462">
        <v>495567551</v>
      </c>
      <c r="P3462">
        <v>57</v>
      </c>
      <c r="Q3462" t="s">
        <v>7269</v>
      </c>
    </row>
    <row r="3463" spans="1:17" x14ac:dyDescent="0.3">
      <c r="A3463" t="s">
        <v>4664</v>
      </c>
      <c r="B3463" t="str">
        <f>"002786"</f>
        <v>002786</v>
      </c>
      <c r="C3463" t="s">
        <v>7270</v>
      </c>
      <c r="D3463" t="s">
        <v>741</v>
      </c>
      <c r="F3463">
        <v>1782442125</v>
      </c>
      <c r="G3463">
        <v>2413389071</v>
      </c>
      <c r="H3463">
        <v>2304000219</v>
      </c>
      <c r="I3463">
        <v>2388125935</v>
      </c>
      <c r="J3463">
        <v>2246876649</v>
      </c>
      <c r="K3463">
        <v>2190905664</v>
      </c>
      <c r="L3463">
        <v>1587346492</v>
      </c>
      <c r="M3463">
        <v>1249272936</v>
      </c>
      <c r="P3463">
        <v>176</v>
      </c>
      <c r="Q3463" t="s">
        <v>7271</v>
      </c>
    </row>
    <row r="3464" spans="1:17" x14ac:dyDescent="0.3">
      <c r="A3464" t="s">
        <v>4664</v>
      </c>
      <c r="B3464" t="str">
        <f>"002787"</f>
        <v>002787</v>
      </c>
      <c r="C3464" t="s">
        <v>7272</v>
      </c>
      <c r="D3464" t="s">
        <v>2364</v>
      </c>
      <c r="F3464">
        <v>1583840500</v>
      </c>
      <c r="G3464">
        <v>1232759082</v>
      </c>
      <c r="H3464">
        <v>1096658655</v>
      </c>
      <c r="I3464">
        <v>891095855</v>
      </c>
      <c r="J3464">
        <v>849544410</v>
      </c>
      <c r="K3464">
        <v>609098813</v>
      </c>
      <c r="L3464">
        <v>660935223</v>
      </c>
      <c r="M3464">
        <v>626962417</v>
      </c>
      <c r="P3464">
        <v>102</v>
      </c>
      <c r="Q3464" t="s">
        <v>7273</v>
      </c>
    </row>
    <row r="3465" spans="1:17" x14ac:dyDescent="0.3">
      <c r="A3465" t="s">
        <v>4664</v>
      </c>
      <c r="B3465" t="str">
        <f>"002788"</f>
        <v>002788</v>
      </c>
      <c r="C3465" t="s">
        <v>7274</v>
      </c>
      <c r="D3465" t="s">
        <v>125</v>
      </c>
      <c r="F3465">
        <v>13634889790</v>
      </c>
      <c r="G3465">
        <v>11905927829</v>
      </c>
      <c r="H3465">
        <v>11562184927</v>
      </c>
      <c r="I3465">
        <v>9169219290</v>
      </c>
      <c r="J3465">
        <v>6362510442</v>
      </c>
      <c r="K3465">
        <v>5884078973</v>
      </c>
      <c r="L3465">
        <v>5106552870</v>
      </c>
      <c r="P3465">
        <v>162</v>
      </c>
      <c r="Q3465" t="s">
        <v>7275</v>
      </c>
    </row>
    <row r="3466" spans="1:17" x14ac:dyDescent="0.3">
      <c r="A3466" t="s">
        <v>4664</v>
      </c>
      <c r="B3466" t="str">
        <f>"002789"</f>
        <v>002789</v>
      </c>
      <c r="C3466" t="s">
        <v>7276</v>
      </c>
      <c r="D3466" t="s">
        <v>450</v>
      </c>
      <c r="F3466">
        <v>1571586900</v>
      </c>
      <c r="G3466">
        <v>1222444989</v>
      </c>
      <c r="H3466">
        <v>2088476672</v>
      </c>
      <c r="I3466">
        <v>2198904293</v>
      </c>
      <c r="J3466">
        <v>1772754141</v>
      </c>
      <c r="K3466">
        <v>966941831</v>
      </c>
      <c r="L3466">
        <v>786751664</v>
      </c>
      <c r="P3466">
        <v>57</v>
      </c>
      <c r="Q3466" t="s">
        <v>7277</v>
      </c>
    </row>
    <row r="3467" spans="1:17" x14ac:dyDescent="0.3">
      <c r="A3467" t="s">
        <v>4664</v>
      </c>
      <c r="B3467" t="str">
        <f>"002790"</f>
        <v>002790</v>
      </c>
      <c r="C3467" t="s">
        <v>7278</v>
      </c>
      <c r="D3467" t="s">
        <v>2885</v>
      </c>
      <c r="F3467">
        <v>1167610867</v>
      </c>
      <c r="G3467">
        <v>767969594</v>
      </c>
      <c r="H3467">
        <v>820032174</v>
      </c>
      <c r="I3467">
        <v>699300107</v>
      </c>
      <c r="J3467">
        <v>706079463</v>
      </c>
      <c r="K3467">
        <v>626343528</v>
      </c>
      <c r="L3467">
        <v>545079998</v>
      </c>
      <c r="P3467">
        <v>138</v>
      </c>
      <c r="Q3467" t="s">
        <v>7279</v>
      </c>
    </row>
    <row r="3468" spans="1:17" x14ac:dyDescent="0.3">
      <c r="A3468" t="s">
        <v>4664</v>
      </c>
      <c r="B3468" t="str">
        <f>"002791"</f>
        <v>002791</v>
      </c>
      <c r="C3468" t="s">
        <v>7280</v>
      </c>
      <c r="D3468" t="s">
        <v>722</v>
      </c>
      <c r="F3468">
        <v>4608164427</v>
      </c>
      <c r="G3468">
        <v>3624837401</v>
      </c>
      <c r="H3468">
        <v>3106233240</v>
      </c>
      <c r="I3468">
        <v>1985705415</v>
      </c>
      <c r="J3468">
        <v>1831510177</v>
      </c>
      <c r="K3468">
        <v>1591085670</v>
      </c>
      <c r="L3468">
        <v>1274210255</v>
      </c>
      <c r="P3468">
        <v>552</v>
      </c>
      <c r="Q3468" t="s">
        <v>7281</v>
      </c>
    </row>
    <row r="3469" spans="1:17" x14ac:dyDescent="0.3">
      <c r="A3469" t="s">
        <v>4664</v>
      </c>
      <c r="B3469" t="str">
        <f>"002792"</f>
        <v>002792</v>
      </c>
      <c r="C3469" t="s">
        <v>7282</v>
      </c>
      <c r="D3469" t="s">
        <v>1019</v>
      </c>
      <c r="F3469">
        <v>1318351053</v>
      </c>
      <c r="G3469">
        <v>1042206884</v>
      </c>
      <c r="H3469">
        <v>1185497705</v>
      </c>
      <c r="I3469">
        <v>998972227</v>
      </c>
      <c r="J3469">
        <v>1116965770</v>
      </c>
      <c r="K3469">
        <v>1057834084</v>
      </c>
      <c r="L3469">
        <v>1001429189</v>
      </c>
      <c r="P3469">
        <v>343</v>
      </c>
      <c r="Q3469" t="s">
        <v>7283</v>
      </c>
    </row>
    <row r="3470" spans="1:17" x14ac:dyDescent="0.3">
      <c r="A3470" t="s">
        <v>4664</v>
      </c>
      <c r="B3470" t="str">
        <f>"002793"</f>
        <v>002793</v>
      </c>
      <c r="C3470" t="s">
        <v>7284</v>
      </c>
      <c r="D3470" t="s">
        <v>143</v>
      </c>
      <c r="F3470">
        <v>4983921245</v>
      </c>
      <c r="G3470">
        <v>4053325782</v>
      </c>
      <c r="H3470">
        <v>893877771</v>
      </c>
      <c r="I3470">
        <v>665843269</v>
      </c>
      <c r="J3470">
        <v>573312486</v>
      </c>
      <c r="K3470">
        <v>498267852</v>
      </c>
      <c r="L3470">
        <v>401341398</v>
      </c>
      <c r="P3470">
        <v>213</v>
      </c>
      <c r="Q3470" t="s">
        <v>7285</v>
      </c>
    </row>
    <row r="3471" spans="1:17" x14ac:dyDescent="0.3">
      <c r="A3471" t="s">
        <v>4664</v>
      </c>
      <c r="B3471" t="str">
        <f>"002795"</f>
        <v>002795</v>
      </c>
      <c r="C3471" t="s">
        <v>7286</v>
      </c>
      <c r="D3471" t="s">
        <v>274</v>
      </c>
      <c r="F3471">
        <v>679868720</v>
      </c>
      <c r="G3471">
        <v>465013769</v>
      </c>
      <c r="H3471">
        <v>487780462</v>
      </c>
      <c r="I3471">
        <v>513251195</v>
      </c>
      <c r="J3471">
        <v>378209757</v>
      </c>
      <c r="K3471">
        <v>370605891</v>
      </c>
      <c r="L3471">
        <v>345322627</v>
      </c>
      <c r="P3471">
        <v>73</v>
      </c>
      <c r="Q3471" t="s">
        <v>7287</v>
      </c>
    </row>
    <row r="3472" spans="1:17" x14ac:dyDescent="0.3">
      <c r="A3472" t="s">
        <v>4664</v>
      </c>
      <c r="B3472" t="str">
        <f>"002796"</f>
        <v>002796</v>
      </c>
      <c r="C3472" t="s">
        <v>7288</v>
      </c>
      <c r="D3472" t="s">
        <v>1689</v>
      </c>
      <c r="F3472">
        <v>1094121735</v>
      </c>
      <c r="G3472">
        <v>1043393988</v>
      </c>
      <c r="H3472">
        <v>1193915406</v>
      </c>
      <c r="I3472">
        <v>1110367720</v>
      </c>
      <c r="J3472">
        <v>473889633</v>
      </c>
      <c r="K3472">
        <v>396323905</v>
      </c>
      <c r="L3472">
        <v>377830083</v>
      </c>
      <c r="P3472">
        <v>248</v>
      </c>
      <c r="Q3472" t="s">
        <v>7289</v>
      </c>
    </row>
    <row r="3473" spans="1:17" x14ac:dyDescent="0.3">
      <c r="A3473" t="s">
        <v>4664</v>
      </c>
      <c r="B3473" t="str">
        <f>"002797"</f>
        <v>002797</v>
      </c>
      <c r="C3473" t="s">
        <v>7290</v>
      </c>
      <c r="D3473" t="s">
        <v>80</v>
      </c>
      <c r="P3473">
        <v>838</v>
      </c>
      <c r="Q3473" t="s">
        <v>7291</v>
      </c>
    </row>
    <row r="3474" spans="1:17" x14ac:dyDescent="0.3">
      <c r="A3474" t="s">
        <v>4664</v>
      </c>
      <c r="B3474" t="str">
        <f>"002798"</f>
        <v>002798</v>
      </c>
      <c r="C3474" t="s">
        <v>7292</v>
      </c>
      <c r="D3474" t="s">
        <v>178</v>
      </c>
      <c r="F3474">
        <v>4662155186</v>
      </c>
      <c r="G3474">
        <v>3741050372</v>
      </c>
      <c r="H3474">
        <v>4172696128</v>
      </c>
      <c r="I3474">
        <v>3219922791</v>
      </c>
      <c r="J3474">
        <v>434798315</v>
      </c>
      <c r="K3474">
        <v>292645807</v>
      </c>
      <c r="L3474">
        <v>303834858</v>
      </c>
      <c r="P3474">
        <v>374</v>
      </c>
      <c r="Q3474" t="s">
        <v>7293</v>
      </c>
    </row>
    <row r="3475" spans="1:17" x14ac:dyDescent="0.3">
      <c r="A3475" t="s">
        <v>4664</v>
      </c>
      <c r="B3475" t="str">
        <f>"002799"</f>
        <v>002799</v>
      </c>
      <c r="C3475" t="s">
        <v>7294</v>
      </c>
      <c r="D3475" t="s">
        <v>2156</v>
      </c>
      <c r="F3475">
        <v>2639408582</v>
      </c>
      <c r="G3475">
        <v>1398408056</v>
      </c>
      <c r="H3475">
        <v>875109691</v>
      </c>
      <c r="I3475">
        <v>435405272</v>
      </c>
      <c r="J3475">
        <v>358351343</v>
      </c>
      <c r="K3475">
        <v>304185714</v>
      </c>
      <c r="L3475">
        <v>313665957</v>
      </c>
      <c r="P3475">
        <v>109</v>
      </c>
      <c r="Q3475" t="s">
        <v>7295</v>
      </c>
    </row>
    <row r="3476" spans="1:17" x14ac:dyDescent="0.3">
      <c r="A3476" t="s">
        <v>4664</v>
      </c>
      <c r="B3476" t="str">
        <f>"002800"</f>
        <v>002800</v>
      </c>
      <c r="C3476" t="s">
        <v>7296</v>
      </c>
      <c r="D3476" t="s">
        <v>2492</v>
      </c>
      <c r="F3476">
        <v>1324742439</v>
      </c>
      <c r="G3476">
        <v>1254281916</v>
      </c>
      <c r="H3476">
        <v>991409363</v>
      </c>
      <c r="I3476">
        <v>678079615</v>
      </c>
      <c r="J3476">
        <v>602529465</v>
      </c>
      <c r="K3476">
        <v>277062872</v>
      </c>
      <c r="L3476">
        <v>370164967</v>
      </c>
      <c r="P3476">
        <v>86</v>
      </c>
      <c r="Q3476" t="s">
        <v>7297</v>
      </c>
    </row>
    <row r="3477" spans="1:17" x14ac:dyDescent="0.3">
      <c r="A3477" t="s">
        <v>4664</v>
      </c>
      <c r="B3477" t="str">
        <f>"002801"</f>
        <v>002801</v>
      </c>
      <c r="C3477" t="s">
        <v>7298</v>
      </c>
      <c r="D3477" t="s">
        <v>1171</v>
      </c>
      <c r="F3477">
        <v>631162948</v>
      </c>
      <c r="G3477">
        <v>488173167</v>
      </c>
      <c r="H3477">
        <v>476787562</v>
      </c>
      <c r="I3477">
        <v>372979031</v>
      </c>
      <c r="J3477">
        <v>345277172</v>
      </c>
      <c r="K3477">
        <v>343837468</v>
      </c>
      <c r="L3477">
        <v>307953927</v>
      </c>
      <c r="P3477">
        <v>201</v>
      </c>
      <c r="Q3477" t="s">
        <v>7299</v>
      </c>
    </row>
    <row r="3478" spans="1:17" x14ac:dyDescent="0.3">
      <c r="A3478" t="s">
        <v>4664</v>
      </c>
      <c r="B3478" t="str">
        <f>"002802"</f>
        <v>002802</v>
      </c>
      <c r="C3478" t="s">
        <v>7300</v>
      </c>
      <c r="D3478" t="s">
        <v>386</v>
      </c>
      <c r="F3478">
        <v>361711619</v>
      </c>
      <c r="G3478">
        <v>269861304</v>
      </c>
      <c r="H3478">
        <v>281702452</v>
      </c>
      <c r="I3478">
        <v>281905275</v>
      </c>
      <c r="J3478">
        <v>198065865</v>
      </c>
      <c r="K3478">
        <v>192963894</v>
      </c>
      <c r="L3478">
        <v>165873064</v>
      </c>
      <c r="P3478">
        <v>102</v>
      </c>
      <c r="Q3478" t="s">
        <v>7301</v>
      </c>
    </row>
    <row r="3479" spans="1:17" x14ac:dyDescent="0.3">
      <c r="A3479" t="s">
        <v>4664</v>
      </c>
      <c r="B3479" t="str">
        <f>"002803"</f>
        <v>002803</v>
      </c>
      <c r="C3479" t="s">
        <v>7302</v>
      </c>
      <c r="D3479" t="s">
        <v>2014</v>
      </c>
      <c r="F3479">
        <v>3611670602</v>
      </c>
      <c r="G3479">
        <v>3148769481</v>
      </c>
      <c r="H3479">
        <v>2322727429</v>
      </c>
      <c r="I3479">
        <v>1475470354</v>
      </c>
      <c r="J3479">
        <v>581987760</v>
      </c>
      <c r="K3479">
        <v>332763116</v>
      </c>
      <c r="L3479">
        <v>267278537</v>
      </c>
      <c r="P3479">
        <v>601</v>
      </c>
      <c r="Q3479" t="s">
        <v>7303</v>
      </c>
    </row>
    <row r="3480" spans="1:17" x14ac:dyDescent="0.3">
      <c r="A3480" t="s">
        <v>4664</v>
      </c>
      <c r="B3480" t="str">
        <f>"002805"</f>
        <v>002805</v>
      </c>
      <c r="C3480" t="s">
        <v>7304</v>
      </c>
      <c r="D3480" t="s">
        <v>1233</v>
      </c>
      <c r="F3480">
        <v>513361464</v>
      </c>
      <c r="G3480">
        <v>298388486</v>
      </c>
      <c r="H3480">
        <v>295138148</v>
      </c>
      <c r="I3480">
        <v>254809536</v>
      </c>
      <c r="J3480">
        <v>235441482</v>
      </c>
      <c r="K3480">
        <v>217824816</v>
      </c>
      <c r="L3480">
        <v>265664190</v>
      </c>
      <c r="P3480">
        <v>113</v>
      </c>
      <c r="Q3480" t="s">
        <v>7305</v>
      </c>
    </row>
    <row r="3481" spans="1:17" x14ac:dyDescent="0.3">
      <c r="A3481" t="s">
        <v>4664</v>
      </c>
      <c r="B3481" t="str">
        <f>"002806"</f>
        <v>002806</v>
      </c>
      <c r="C3481" t="s">
        <v>7306</v>
      </c>
      <c r="D3481" t="s">
        <v>504</v>
      </c>
      <c r="F3481">
        <v>258181400</v>
      </c>
      <c r="G3481">
        <v>207595069</v>
      </c>
      <c r="H3481">
        <v>371738863</v>
      </c>
      <c r="I3481">
        <v>253762949</v>
      </c>
      <c r="J3481">
        <v>224586688</v>
      </c>
      <c r="K3481">
        <v>305856203</v>
      </c>
      <c r="L3481">
        <v>235840581</v>
      </c>
      <c r="P3481">
        <v>100</v>
      </c>
      <c r="Q3481" t="s">
        <v>7307</v>
      </c>
    </row>
    <row r="3482" spans="1:17" x14ac:dyDescent="0.3">
      <c r="A3482" t="s">
        <v>4664</v>
      </c>
      <c r="B3482" t="str">
        <f>"002807"</f>
        <v>002807</v>
      </c>
      <c r="C3482" t="s">
        <v>7308</v>
      </c>
      <c r="D3482" t="s">
        <v>1827</v>
      </c>
      <c r="P3482">
        <v>571</v>
      </c>
      <c r="Q3482" t="s">
        <v>7309</v>
      </c>
    </row>
    <row r="3483" spans="1:17" x14ac:dyDescent="0.3">
      <c r="A3483" t="s">
        <v>4664</v>
      </c>
      <c r="B3483" t="str">
        <f>"002808"</f>
        <v>002808</v>
      </c>
      <c r="C3483" t="s">
        <v>7310</v>
      </c>
      <c r="D3483" t="s">
        <v>164</v>
      </c>
      <c r="F3483">
        <v>214565050</v>
      </c>
      <c r="G3483">
        <v>290401870</v>
      </c>
      <c r="H3483">
        <v>221554583</v>
      </c>
      <c r="I3483">
        <v>214037520</v>
      </c>
      <c r="J3483">
        <v>222213416</v>
      </c>
      <c r="K3483">
        <v>203837357</v>
      </c>
      <c r="L3483">
        <v>176650210</v>
      </c>
      <c r="P3483">
        <v>73</v>
      </c>
      <c r="Q3483" t="s">
        <v>7311</v>
      </c>
    </row>
    <row r="3484" spans="1:17" x14ac:dyDescent="0.3">
      <c r="A3484" t="s">
        <v>4664</v>
      </c>
      <c r="B3484" t="str">
        <f>"002809"</f>
        <v>002809</v>
      </c>
      <c r="C3484" t="s">
        <v>7312</v>
      </c>
      <c r="D3484" t="s">
        <v>386</v>
      </c>
      <c r="F3484">
        <v>1037724134</v>
      </c>
      <c r="G3484">
        <v>692510496</v>
      </c>
      <c r="H3484">
        <v>605066079</v>
      </c>
      <c r="I3484">
        <v>468298610</v>
      </c>
      <c r="J3484">
        <v>214787337</v>
      </c>
      <c r="K3484">
        <v>202401365</v>
      </c>
      <c r="L3484">
        <v>175167051</v>
      </c>
      <c r="P3484">
        <v>99</v>
      </c>
      <c r="Q3484" t="s">
        <v>7313</v>
      </c>
    </row>
    <row r="3485" spans="1:17" x14ac:dyDescent="0.3">
      <c r="A3485" t="s">
        <v>4664</v>
      </c>
      <c r="B3485" t="str">
        <f>"002810"</f>
        <v>002810</v>
      </c>
      <c r="C3485" t="s">
        <v>7314</v>
      </c>
      <c r="D3485" t="s">
        <v>386</v>
      </c>
      <c r="F3485">
        <v>1057167482</v>
      </c>
      <c r="G3485">
        <v>826024316</v>
      </c>
      <c r="H3485">
        <v>694572840</v>
      </c>
      <c r="I3485">
        <v>767537671</v>
      </c>
      <c r="J3485">
        <v>532500279</v>
      </c>
      <c r="K3485">
        <v>363696748</v>
      </c>
      <c r="L3485">
        <v>325202659</v>
      </c>
      <c r="P3485">
        <v>419</v>
      </c>
      <c r="Q3485" t="s">
        <v>7315</v>
      </c>
    </row>
    <row r="3486" spans="1:17" x14ac:dyDescent="0.3">
      <c r="A3486" t="s">
        <v>4664</v>
      </c>
      <c r="B3486" t="str">
        <f>"002811"</f>
        <v>002811</v>
      </c>
      <c r="C3486" t="s">
        <v>7316</v>
      </c>
      <c r="D3486" t="s">
        <v>450</v>
      </c>
      <c r="F3486">
        <v>1560152168</v>
      </c>
      <c r="G3486">
        <v>1482205892</v>
      </c>
      <c r="H3486">
        <v>1692196400</v>
      </c>
      <c r="I3486">
        <v>1522733556</v>
      </c>
      <c r="J3486">
        <v>1092277860</v>
      </c>
      <c r="K3486">
        <v>912936663</v>
      </c>
      <c r="L3486">
        <v>1001476162</v>
      </c>
      <c r="P3486">
        <v>95</v>
      </c>
      <c r="Q3486" t="s">
        <v>7317</v>
      </c>
    </row>
    <row r="3487" spans="1:17" x14ac:dyDescent="0.3">
      <c r="A3487" t="s">
        <v>4664</v>
      </c>
      <c r="B3487" t="str">
        <f>"002812"</f>
        <v>002812</v>
      </c>
      <c r="C3487" t="s">
        <v>7318</v>
      </c>
      <c r="D3487" t="s">
        <v>1786</v>
      </c>
      <c r="F3487">
        <v>3449564096</v>
      </c>
      <c r="G3487">
        <v>1560760219</v>
      </c>
      <c r="H3487">
        <v>1420431058</v>
      </c>
      <c r="I3487">
        <v>1003283488</v>
      </c>
      <c r="J3487">
        <v>764763011</v>
      </c>
      <c r="K3487">
        <v>618764489</v>
      </c>
      <c r="L3487">
        <v>625802118</v>
      </c>
      <c r="P3487">
        <v>1583</v>
      </c>
      <c r="Q3487" t="s">
        <v>7319</v>
      </c>
    </row>
    <row r="3488" spans="1:17" x14ac:dyDescent="0.3">
      <c r="A3488" t="s">
        <v>4664</v>
      </c>
      <c r="B3488" t="str">
        <f>"002813"</f>
        <v>002813</v>
      </c>
      <c r="C3488" t="s">
        <v>7320</v>
      </c>
      <c r="D3488" t="s">
        <v>1415</v>
      </c>
      <c r="F3488">
        <v>216107230</v>
      </c>
      <c r="G3488">
        <v>386485032</v>
      </c>
      <c r="H3488">
        <v>606114658</v>
      </c>
      <c r="I3488">
        <v>586081231</v>
      </c>
      <c r="J3488">
        <v>403890878</v>
      </c>
      <c r="K3488">
        <v>399630353</v>
      </c>
      <c r="L3488">
        <v>464470990</v>
      </c>
      <c r="P3488">
        <v>113</v>
      </c>
      <c r="Q3488" t="s">
        <v>7321</v>
      </c>
    </row>
    <row r="3489" spans="1:17" x14ac:dyDescent="0.3">
      <c r="A3489" t="s">
        <v>4664</v>
      </c>
      <c r="B3489" t="str">
        <f>"002815"</f>
        <v>002815</v>
      </c>
      <c r="C3489" t="s">
        <v>7322</v>
      </c>
      <c r="D3489" t="s">
        <v>425</v>
      </c>
      <c r="F3489">
        <v>3462850020</v>
      </c>
      <c r="G3489">
        <v>2601582255</v>
      </c>
      <c r="H3489">
        <v>2710691375</v>
      </c>
      <c r="I3489">
        <v>2604135921</v>
      </c>
      <c r="J3489">
        <v>2149514058</v>
      </c>
      <c r="K3489">
        <v>1530731504</v>
      </c>
      <c r="L3489">
        <v>1285043266</v>
      </c>
      <c r="P3489">
        <v>919</v>
      </c>
      <c r="Q3489" t="s">
        <v>7323</v>
      </c>
    </row>
    <row r="3490" spans="1:17" x14ac:dyDescent="0.3">
      <c r="A3490" t="s">
        <v>4664</v>
      </c>
      <c r="B3490" t="str">
        <f>"002816"</f>
        <v>002816</v>
      </c>
      <c r="C3490" t="s">
        <v>7324</v>
      </c>
      <c r="D3490" t="s">
        <v>741</v>
      </c>
      <c r="F3490">
        <v>131487128</v>
      </c>
      <c r="G3490">
        <v>112215700</v>
      </c>
      <c r="H3490">
        <v>158096603</v>
      </c>
      <c r="I3490">
        <v>252275682</v>
      </c>
      <c r="J3490">
        <v>245942986</v>
      </c>
      <c r="K3490">
        <v>228817794</v>
      </c>
      <c r="L3490">
        <v>277204689</v>
      </c>
      <c r="P3490">
        <v>46</v>
      </c>
      <c r="Q3490" t="s">
        <v>7325</v>
      </c>
    </row>
    <row r="3491" spans="1:17" x14ac:dyDescent="0.3">
      <c r="A3491" t="s">
        <v>4664</v>
      </c>
      <c r="B3491" t="str">
        <f>"002817"</f>
        <v>002817</v>
      </c>
      <c r="C3491" t="s">
        <v>7326</v>
      </c>
      <c r="D3491" t="s">
        <v>1077</v>
      </c>
      <c r="F3491">
        <v>224392586</v>
      </c>
      <c r="G3491">
        <v>165137751</v>
      </c>
      <c r="H3491">
        <v>159041651</v>
      </c>
      <c r="I3491">
        <v>157558498</v>
      </c>
      <c r="J3491">
        <v>165258437</v>
      </c>
      <c r="K3491">
        <v>144602545</v>
      </c>
      <c r="P3491">
        <v>126</v>
      </c>
      <c r="Q3491" t="s">
        <v>7327</v>
      </c>
    </row>
    <row r="3492" spans="1:17" x14ac:dyDescent="0.3">
      <c r="A3492" t="s">
        <v>4664</v>
      </c>
      <c r="B3492" t="str">
        <f>"002818"</f>
        <v>002818</v>
      </c>
      <c r="C3492" t="s">
        <v>7328</v>
      </c>
      <c r="D3492" t="s">
        <v>271</v>
      </c>
      <c r="F3492">
        <v>1201195578</v>
      </c>
      <c r="G3492">
        <v>972155968</v>
      </c>
      <c r="H3492">
        <v>1122265917</v>
      </c>
      <c r="I3492">
        <v>1215553329</v>
      </c>
      <c r="J3492">
        <v>1012767429</v>
      </c>
      <c r="K3492">
        <v>892935744</v>
      </c>
      <c r="L3492">
        <v>670214190</v>
      </c>
      <c r="P3492">
        <v>868</v>
      </c>
      <c r="Q3492" t="s">
        <v>7329</v>
      </c>
    </row>
    <row r="3493" spans="1:17" x14ac:dyDescent="0.3">
      <c r="A3493" t="s">
        <v>4664</v>
      </c>
      <c r="B3493" t="str">
        <f>"002819"</f>
        <v>002819</v>
      </c>
      <c r="C3493" t="s">
        <v>7330</v>
      </c>
      <c r="D3493" t="s">
        <v>2551</v>
      </c>
      <c r="F3493">
        <v>1087457178</v>
      </c>
      <c r="G3493">
        <v>815766856</v>
      </c>
      <c r="H3493">
        <v>833122005</v>
      </c>
      <c r="I3493">
        <v>665089525</v>
      </c>
      <c r="J3493">
        <v>601340775</v>
      </c>
      <c r="K3493">
        <v>478311744</v>
      </c>
      <c r="L3493">
        <v>465438258</v>
      </c>
      <c r="P3493">
        <v>139</v>
      </c>
      <c r="Q3493" t="s">
        <v>7331</v>
      </c>
    </row>
    <row r="3494" spans="1:17" x14ac:dyDescent="0.3">
      <c r="A3494" t="s">
        <v>4664</v>
      </c>
      <c r="B3494" t="str">
        <f>"002820"</f>
        <v>002820</v>
      </c>
      <c r="C3494" t="s">
        <v>7332</v>
      </c>
      <c r="D3494" t="s">
        <v>2479</v>
      </c>
      <c r="F3494">
        <v>363931838</v>
      </c>
      <c r="G3494">
        <v>294224009</v>
      </c>
      <c r="H3494">
        <v>450798253</v>
      </c>
      <c r="I3494">
        <v>436409585</v>
      </c>
      <c r="J3494">
        <v>453863079</v>
      </c>
      <c r="K3494">
        <v>419576826</v>
      </c>
      <c r="L3494">
        <v>418141897</v>
      </c>
      <c r="P3494">
        <v>146</v>
      </c>
      <c r="Q3494" t="s">
        <v>7333</v>
      </c>
    </row>
    <row r="3495" spans="1:17" x14ac:dyDescent="0.3">
      <c r="A3495" t="s">
        <v>4664</v>
      </c>
      <c r="B3495" t="str">
        <f>"002821"</f>
        <v>002821</v>
      </c>
      <c r="C3495" t="s">
        <v>7334</v>
      </c>
      <c r="D3495" t="s">
        <v>1461</v>
      </c>
      <c r="F3495">
        <v>2898470430</v>
      </c>
      <c r="G3495">
        <v>1957196782</v>
      </c>
      <c r="H3495">
        <v>1659061881</v>
      </c>
      <c r="I3495">
        <v>1240541966</v>
      </c>
      <c r="J3495">
        <v>900114769</v>
      </c>
      <c r="K3495">
        <v>895949472</v>
      </c>
      <c r="L3495">
        <v>650387274</v>
      </c>
      <c r="P3495">
        <v>2412</v>
      </c>
      <c r="Q3495" t="s">
        <v>7335</v>
      </c>
    </row>
    <row r="3496" spans="1:17" x14ac:dyDescent="0.3">
      <c r="A3496" t="s">
        <v>4664</v>
      </c>
      <c r="B3496" t="str">
        <f>"002822"</f>
        <v>002822</v>
      </c>
      <c r="C3496" t="s">
        <v>7336</v>
      </c>
      <c r="D3496" t="s">
        <v>450</v>
      </c>
      <c r="F3496">
        <v>4592504140</v>
      </c>
      <c r="G3496">
        <v>3410484403</v>
      </c>
      <c r="H3496">
        <v>2951636763</v>
      </c>
      <c r="I3496">
        <v>2558634366</v>
      </c>
      <c r="J3496">
        <v>1781134330</v>
      </c>
      <c r="K3496">
        <v>1636239821</v>
      </c>
      <c r="L3496">
        <v>1532255340</v>
      </c>
      <c r="P3496">
        <v>134</v>
      </c>
      <c r="Q3496" t="s">
        <v>7337</v>
      </c>
    </row>
    <row r="3497" spans="1:17" x14ac:dyDescent="0.3">
      <c r="A3497" t="s">
        <v>4664</v>
      </c>
      <c r="B3497" t="str">
        <f>"002823"</f>
        <v>002823</v>
      </c>
      <c r="C3497" t="s">
        <v>7338</v>
      </c>
      <c r="D3497" t="s">
        <v>1171</v>
      </c>
      <c r="F3497">
        <v>2020896287</v>
      </c>
      <c r="G3497">
        <v>1408744210</v>
      </c>
      <c r="H3497">
        <v>1579925444</v>
      </c>
      <c r="I3497">
        <v>1177290382</v>
      </c>
      <c r="J3497">
        <v>1104593676</v>
      </c>
      <c r="K3497">
        <v>849951912</v>
      </c>
      <c r="L3497">
        <v>0</v>
      </c>
      <c r="P3497">
        <v>158</v>
      </c>
      <c r="Q3497" t="s">
        <v>7339</v>
      </c>
    </row>
    <row r="3498" spans="1:17" x14ac:dyDescent="0.3">
      <c r="A3498" t="s">
        <v>4664</v>
      </c>
      <c r="B3498" t="str">
        <f>"002824"</f>
        <v>002824</v>
      </c>
      <c r="C3498" t="s">
        <v>7340</v>
      </c>
      <c r="D3498" t="s">
        <v>504</v>
      </c>
      <c r="F3498">
        <v>1544822439</v>
      </c>
      <c r="G3498">
        <v>955948040</v>
      </c>
      <c r="H3498">
        <v>1020750785</v>
      </c>
      <c r="I3498">
        <v>784949025</v>
      </c>
      <c r="J3498">
        <v>647902103</v>
      </c>
      <c r="K3498">
        <v>589358206</v>
      </c>
      <c r="L3498">
        <v>571970394</v>
      </c>
      <c r="P3498">
        <v>167</v>
      </c>
      <c r="Q3498" t="s">
        <v>7341</v>
      </c>
    </row>
    <row r="3499" spans="1:17" x14ac:dyDescent="0.3">
      <c r="A3499" t="s">
        <v>4664</v>
      </c>
      <c r="B3499" t="str">
        <f>"002825"</f>
        <v>002825</v>
      </c>
      <c r="C3499" t="s">
        <v>7342</v>
      </c>
      <c r="D3499" t="s">
        <v>1192</v>
      </c>
      <c r="F3499">
        <v>1304733306</v>
      </c>
      <c r="G3499">
        <v>976219066</v>
      </c>
      <c r="H3499">
        <v>711594751</v>
      </c>
      <c r="I3499">
        <v>636992702</v>
      </c>
      <c r="J3499">
        <v>503947310</v>
      </c>
      <c r="K3499">
        <v>441410770</v>
      </c>
      <c r="L3499">
        <v>428644445</v>
      </c>
      <c r="P3499">
        <v>100</v>
      </c>
      <c r="Q3499" t="s">
        <v>7343</v>
      </c>
    </row>
    <row r="3500" spans="1:17" x14ac:dyDescent="0.3">
      <c r="A3500" t="s">
        <v>4664</v>
      </c>
      <c r="B3500" t="str">
        <f>"002826"</f>
        <v>002826</v>
      </c>
      <c r="C3500" t="s">
        <v>7344</v>
      </c>
      <c r="D3500" t="s">
        <v>143</v>
      </c>
      <c r="F3500">
        <v>594792858</v>
      </c>
      <c r="G3500">
        <v>486794130</v>
      </c>
      <c r="H3500">
        <v>408163553</v>
      </c>
      <c r="I3500">
        <v>388071347</v>
      </c>
      <c r="J3500">
        <v>409599422</v>
      </c>
      <c r="K3500">
        <v>406219890</v>
      </c>
      <c r="L3500">
        <v>0</v>
      </c>
      <c r="P3500">
        <v>127</v>
      </c>
      <c r="Q3500" t="s">
        <v>7345</v>
      </c>
    </row>
    <row r="3501" spans="1:17" x14ac:dyDescent="0.3">
      <c r="A3501" t="s">
        <v>4664</v>
      </c>
      <c r="B3501" t="str">
        <f>"002827"</f>
        <v>002827</v>
      </c>
      <c r="C3501" t="s">
        <v>7346</v>
      </c>
      <c r="D3501" t="s">
        <v>2713</v>
      </c>
      <c r="F3501">
        <v>494565558</v>
      </c>
      <c r="G3501">
        <v>398718487</v>
      </c>
      <c r="H3501">
        <v>247303448</v>
      </c>
      <c r="I3501">
        <v>284636750</v>
      </c>
      <c r="J3501">
        <v>404162276</v>
      </c>
      <c r="K3501">
        <v>311151438</v>
      </c>
      <c r="L3501">
        <v>183881184</v>
      </c>
      <c r="P3501">
        <v>89</v>
      </c>
      <c r="Q3501" t="s">
        <v>7347</v>
      </c>
    </row>
    <row r="3502" spans="1:17" x14ac:dyDescent="0.3">
      <c r="A3502" t="s">
        <v>4664</v>
      </c>
      <c r="B3502" t="str">
        <f>"002828"</f>
        <v>002828</v>
      </c>
      <c r="C3502" t="s">
        <v>7348</v>
      </c>
      <c r="D3502" t="s">
        <v>1758</v>
      </c>
      <c r="F3502">
        <v>605867601</v>
      </c>
      <c r="G3502">
        <v>603689403</v>
      </c>
      <c r="H3502">
        <v>981165537</v>
      </c>
      <c r="I3502">
        <v>510366592</v>
      </c>
      <c r="J3502">
        <v>204569244</v>
      </c>
      <c r="K3502">
        <v>235673110</v>
      </c>
      <c r="L3502">
        <v>277119453</v>
      </c>
      <c r="P3502">
        <v>73</v>
      </c>
      <c r="Q3502" t="s">
        <v>7349</v>
      </c>
    </row>
    <row r="3503" spans="1:17" x14ac:dyDescent="0.3">
      <c r="A3503" t="s">
        <v>4664</v>
      </c>
      <c r="B3503" t="str">
        <f>"002829"</f>
        <v>002829</v>
      </c>
      <c r="C3503" t="s">
        <v>7350</v>
      </c>
      <c r="D3503" t="s">
        <v>284</v>
      </c>
      <c r="F3503">
        <v>342041620</v>
      </c>
      <c r="G3503">
        <v>345641758</v>
      </c>
      <c r="H3503">
        <v>209156534</v>
      </c>
      <c r="I3503">
        <v>239980831</v>
      </c>
      <c r="J3503">
        <v>116925180</v>
      </c>
      <c r="K3503">
        <v>151193246</v>
      </c>
      <c r="L3503">
        <v>108649474</v>
      </c>
      <c r="P3503">
        <v>132</v>
      </c>
      <c r="Q3503" t="s">
        <v>7351</v>
      </c>
    </row>
    <row r="3504" spans="1:17" x14ac:dyDescent="0.3">
      <c r="A3504" t="s">
        <v>4664</v>
      </c>
      <c r="B3504" t="str">
        <f>"002830"</f>
        <v>002830</v>
      </c>
      <c r="C3504" t="s">
        <v>7352</v>
      </c>
      <c r="D3504" t="s">
        <v>450</v>
      </c>
      <c r="F3504">
        <v>708041391</v>
      </c>
      <c r="G3504">
        <v>720619161</v>
      </c>
      <c r="H3504">
        <v>694265783</v>
      </c>
      <c r="I3504">
        <v>601398333</v>
      </c>
      <c r="J3504">
        <v>624595323</v>
      </c>
      <c r="K3504">
        <v>538662221</v>
      </c>
      <c r="L3504">
        <v>508501715</v>
      </c>
      <c r="P3504">
        <v>78</v>
      </c>
      <c r="Q3504" t="s">
        <v>7353</v>
      </c>
    </row>
    <row r="3505" spans="1:17" x14ac:dyDescent="0.3">
      <c r="A3505" t="s">
        <v>4664</v>
      </c>
      <c r="B3505" t="str">
        <f>"002831"</f>
        <v>002831</v>
      </c>
      <c r="C3505" t="s">
        <v>7354</v>
      </c>
      <c r="D3505" t="s">
        <v>2156</v>
      </c>
      <c r="F3505">
        <v>10859735278</v>
      </c>
      <c r="G3505">
        <v>7628864452</v>
      </c>
      <c r="H3505">
        <v>7092814634</v>
      </c>
      <c r="I3505">
        <v>5930354415</v>
      </c>
      <c r="J3505">
        <v>5013698398</v>
      </c>
      <c r="K3505">
        <v>3428616628</v>
      </c>
      <c r="L3505">
        <v>2978239897</v>
      </c>
      <c r="P3505">
        <v>663</v>
      </c>
      <c r="Q3505" t="s">
        <v>7355</v>
      </c>
    </row>
    <row r="3506" spans="1:17" x14ac:dyDescent="0.3">
      <c r="A3506" t="s">
        <v>4664</v>
      </c>
      <c r="B3506" t="str">
        <f>"002832"</f>
        <v>002832</v>
      </c>
      <c r="C3506" t="s">
        <v>7356</v>
      </c>
      <c r="D3506" t="s">
        <v>255</v>
      </c>
      <c r="F3506">
        <v>1948465586</v>
      </c>
      <c r="G3506">
        <v>1402445333</v>
      </c>
      <c r="H3506">
        <v>1446781147</v>
      </c>
      <c r="I3506">
        <v>1214226816</v>
      </c>
      <c r="J3506">
        <v>909929541</v>
      </c>
      <c r="K3506">
        <v>716814823</v>
      </c>
      <c r="P3506">
        <v>636</v>
      </c>
      <c r="Q3506" t="s">
        <v>7357</v>
      </c>
    </row>
    <row r="3507" spans="1:17" x14ac:dyDescent="0.3">
      <c r="A3507" t="s">
        <v>4664</v>
      </c>
      <c r="B3507" t="str">
        <f>"002833"</f>
        <v>002833</v>
      </c>
      <c r="C3507" t="s">
        <v>7358</v>
      </c>
      <c r="D3507" t="s">
        <v>741</v>
      </c>
      <c r="F3507">
        <v>2004027699</v>
      </c>
      <c r="G3507">
        <v>1233425204</v>
      </c>
      <c r="H3507">
        <v>1078870151</v>
      </c>
      <c r="I3507">
        <v>1050954218</v>
      </c>
      <c r="J3507">
        <v>696182621</v>
      </c>
      <c r="K3507">
        <v>458326734</v>
      </c>
      <c r="L3507">
        <v>315981317</v>
      </c>
      <c r="P3507">
        <v>2869</v>
      </c>
      <c r="Q3507" t="s">
        <v>7359</v>
      </c>
    </row>
    <row r="3508" spans="1:17" x14ac:dyDescent="0.3">
      <c r="A3508" t="s">
        <v>4664</v>
      </c>
      <c r="B3508" t="str">
        <f>"002835"</f>
        <v>002835</v>
      </c>
      <c r="C3508" t="s">
        <v>7360</v>
      </c>
      <c r="D3508" t="s">
        <v>2953</v>
      </c>
      <c r="F3508">
        <v>662675511</v>
      </c>
      <c r="G3508">
        <v>508213170</v>
      </c>
      <c r="H3508">
        <v>475919355</v>
      </c>
      <c r="I3508">
        <v>393299461</v>
      </c>
      <c r="J3508">
        <v>368791250</v>
      </c>
      <c r="K3508">
        <v>370879169</v>
      </c>
      <c r="L3508">
        <v>0</v>
      </c>
      <c r="P3508">
        <v>94</v>
      </c>
      <c r="Q3508" t="s">
        <v>7361</v>
      </c>
    </row>
    <row r="3509" spans="1:17" x14ac:dyDescent="0.3">
      <c r="A3509" t="s">
        <v>4664</v>
      </c>
      <c r="B3509" t="str">
        <f>"002836"</f>
        <v>002836</v>
      </c>
      <c r="C3509" t="s">
        <v>7362</v>
      </c>
      <c r="D3509" t="s">
        <v>2156</v>
      </c>
      <c r="F3509">
        <v>124330589</v>
      </c>
      <c r="G3509">
        <v>187774831</v>
      </c>
      <c r="H3509">
        <v>347802367</v>
      </c>
      <c r="I3509">
        <v>203363626</v>
      </c>
      <c r="J3509">
        <v>209461546</v>
      </c>
      <c r="K3509">
        <v>180299117</v>
      </c>
      <c r="P3509">
        <v>63</v>
      </c>
      <c r="Q3509" t="s">
        <v>7363</v>
      </c>
    </row>
    <row r="3510" spans="1:17" x14ac:dyDescent="0.3">
      <c r="A3510" t="s">
        <v>4664</v>
      </c>
      <c r="B3510" t="str">
        <f>"002837"</f>
        <v>002837</v>
      </c>
      <c r="C3510" t="s">
        <v>7364</v>
      </c>
      <c r="D3510" t="s">
        <v>741</v>
      </c>
      <c r="F3510">
        <v>1392090019</v>
      </c>
      <c r="G3510">
        <v>942349648</v>
      </c>
      <c r="H3510">
        <v>897179999</v>
      </c>
      <c r="I3510">
        <v>640559633</v>
      </c>
      <c r="J3510">
        <v>314660788</v>
      </c>
      <c r="K3510">
        <v>318344306</v>
      </c>
      <c r="L3510">
        <v>0</v>
      </c>
      <c r="P3510">
        <v>396</v>
      </c>
      <c r="Q3510" t="s">
        <v>7365</v>
      </c>
    </row>
    <row r="3511" spans="1:17" x14ac:dyDescent="0.3">
      <c r="A3511" t="s">
        <v>4664</v>
      </c>
      <c r="B3511" t="str">
        <f>"002838"</f>
        <v>002838</v>
      </c>
      <c r="C3511" t="s">
        <v>7366</v>
      </c>
      <c r="D3511" t="s">
        <v>341</v>
      </c>
      <c r="F3511">
        <v>1973649611</v>
      </c>
      <c r="G3511">
        <v>3125328191</v>
      </c>
      <c r="H3511">
        <v>1337895993</v>
      </c>
      <c r="I3511">
        <v>420282959</v>
      </c>
      <c r="J3511">
        <v>722846624</v>
      </c>
      <c r="K3511">
        <v>621657897</v>
      </c>
      <c r="L3511">
        <v>496695349</v>
      </c>
      <c r="P3511">
        <v>614</v>
      </c>
      <c r="Q3511" t="s">
        <v>7367</v>
      </c>
    </row>
    <row r="3512" spans="1:17" x14ac:dyDescent="0.3">
      <c r="A3512" t="s">
        <v>4664</v>
      </c>
      <c r="B3512" t="str">
        <f>"002839"</f>
        <v>002839</v>
      </c>
      <c r="C3512" t="s">
        <v>7368</v>
      </c>
      <c r="D3512" t="s">
        <v>1827</v>
      </c>
      <c r="P3512">
        <v>474</v>
      </c>
      <c r="Q3512" t="s">
        <v>7369</v>
      </c>
    </row>
    <row r="3513" spans="1:17" x14ac:dyDescent="0.3">
      <c r="A3513" t="s">
        <v>4664</v>
      </c>
      <c r="B3513" t="str">
        <f>"002840"</f>
        <v>002840</v>
      </c>
      <c r="C3513" t="s">
        <v>7370</v>
      </c>
      <c r="D3513" t="s">
        <v>170</v>
      </c>
      <c r="F3513">
        <v>6623811841</v>
      </c>
      <c r="G3513">
        <v>6558305000</v>
      </c>
      <c r="H3513">
        <v>5816104228</v>
      </c>
      <c r="I3513">
        <v>4033709630</v>
      </c>
      <c r="J3513">
        <v>3689946045</v>
      </c>
      <c r="K3513">
        <v>3044320730</v>
      </c>
      <c r="L3513">
        <v>1439795601</v>
      </c>
      <c r="P3513">
        <v>600</v>
      </c>
      <c r="Q3513" t="s">
        <v>7371</v>
      </c>
    </row>
    <row r="3514" spans="1:17" x14ac:dyDescent="0.3">
      <c r="A3514" t="s">
        <v>4664</v>
      </c>
      <c r="B3514" t="str">
        <f>"002841"</f>
        <v>002841</v>
      </c>
      <c r="C3514" t="s">
        <v>7372</v>
      </c>
      <c r="D3514" t="s">
        <v>1285</v>
      </c>
      <c r="F3514">
        <v>17523588454</v>
      </c>
      <c r="G3514">
        <v>13145426181</v>
      </c>
      <c r="H3514">
        <v>14148331860</v>
      </c>
      <c r="I3514">
        <v>12710566483</v>
      </c>
      <c r="J3514">
        <v>7887999969</v>
      </c>
      <c r="K3514">
        <v>6513438136</v>
      </c>
      <c r="L3514">
        <v>4509351841</v>
      </c>
      <c r="P3514">
        <v>3102</v>
      </c>
      <c r="Q3514" t="s">
        <v>7373</v>
      </c>
    </row>
    <row r="3515" spans="1:17" x14ac:dyDescent="0.3">
      <c r="A3515" t="s">
        <v>4664</v>
      </c>
      <c r="B3515" t="str">
        <f>"002842"</f>
        <v>002842</v>
      </c>
      <c r="C3515" t="s">
        <v>7374</v>
      </c>
      <c r="D3515" t="s">
        <v>1110</v>
      </c>
      <c r="F3515">
        <v>997593051</v>
      </c>
      <c r="G3515">
        <v>981051054</v>
      </c>
      <c r="H3515">
        <v>845500761</v>
      </c>
      <c r="I3515">
        <v>998853000</v>
      </c>
      <c r="J3515">
        <v>587208686</v>
      </c>
      <c r="K3515">
        <v>511523371</v>
      </c>
      <c r="L3515">
        <v>0</v>
      </c>
      <c r="P3515">
        <v>99</v>
      </c>
      <c r="Q3515" t="s">
        <v>7375</v>
      </c>
    </row>
    <row r="3516" spans="1:17" x14ac:dyDescent="0.3">
      <c r="A3516" t="s">
        <v>4664</v>
      </c>
      <c r="B3516" t="str">
        <f>"002843"</f>
        <v>002843</v>
      </c>
      <c r="C3516" t="s">
        <v>7376</v>
      </c>
      <c r="D3516" t="s">
        <v>274</v>
      </c>
      <c r="F3516">
        <v>352036500</v>
      </c>
      <c r="G3516">
        <v>293857549</v>
      </c>
      <c r="H3516">
        <v>256887621</v>
      </c>
      <c r="I3516">
        <v>278768312</v>
      </c>
      <c r="J3516">
        <v>231674101</v>
      </c>
      <c r="K3516">
        <v>196201314</v>
      </c>
      <c r="L3516">
        <v>205593725</v>
      </c>
      <c r="P3516">
        <v>74</v>
      </c>
      <c r="Q3516" t="s">
        <v>7377</v>
      </c>
    </row>
    <row r="3517" spans="1:17" x14ac:dyDescent="0.3">
      <c r="A3517" t="s">
        <v>4664</v>
      </c>
      <c r="B3517" t="str">
        <f>"002845"</f>
        <v>002845</v>
      </c>
      <c r="C3517" t="s">
        <v>7378</v>
      </c>
      <c r="D3517" t="s">
        <v>1117</v>
      </c>
      <c r="F3517">
        <v>10170775155</v>
      </c>
      <c r="G3517">
        <v>8031794068</v>
      </c>
      <c r="H3517">
        <v>4003464757</v>
      </c>
      <c r="I3517">
        <v>2815016088</v>
      </c>
      <c r="J3517">
        <v>1576085435</v>
      </c>
      <c r="K3517">
        <v>1050667008</v>
      </c>
      <c r="L3517">
        <v>1163793518</v>
      </c>
      <c r="P3517">
        <v>222</v>
      </c>
      <c r="Q3517" t="s">
        <v>7379</v>
      </c>
    </row>
    <row r="3518" spans="1:17" x14ac:dyDescent="0.3">
      <c r="A3518" t="s">
        <v>4664</v>
      </c>
      <c r="B3518" t="str">
        <f>"002846"</f>
        <v>002846</v>
      </c>
      <c r="C3518" t="s">
        <v>7380</v>
      </c>
      <c r="D3518" t="s">
        <v>2364</v>
      </c>
      <c r="F3518">
        <v>1093040951</v>
      </c>
      <c r="G3518">
        <v>776395688</v>
      </c>
      <c r="H3518">
        <v>696414310</v>
      </c>
      <c r="I3518">
        <v>457458896</v>
      </c>
      <c r="J3518">
        <v>296859455</v>
      </c>
      <c r="K3518">
        <v>222658496</v>
      </c>
      <c r="L3518">
        <v>206613247</v>
      </c>
      <c r="P3518">
        <v>109</v>
      </c>
      <c r="Q3518" t="s">
        <v>7381</v>
      </c>
    </row>
    <row r="3519" spans="1:17" x14ac:dyDescent="0.3">
      <c r="A3519" t="s">
        <v>4664</v>
      </c>
      <c r="B3519" t="str">
        <f>"002847"</f>
        <v>002847</v>
      </c>
      <c r="C3519" t="s">
        <v>7382</v>
      </c>
      <c r="D3519" t="s">
        <v>3167</v>
      </c>
      <c r="F3519">
        <v>1807018820</v>
      </c>
      <c r="G3519">
        <v>1648188053</v>
      </c>
      <c r="H3519">
        <v>1023378651</v>
      </c>
      <c r="I3519">
        <v>855134864</v>
      </c>
      <c r="J3519">
        <v>627168823</v>
      </c>
      <c r="K3519">
        <v>571074813</v>
      </c>
      <c r="L3519">
        <v>483573411</v>
      </c>
      <c r="P3519">
        <v>742</v>
      </c>
      <c r="Q3519" t="s">
        <v>7383</v>
      </c>
    </row>
    <row r="3520" spans="1:17" x14ac:dyDescent="0.3">
      <c r="A3520" t="s">
        <v>4664</v>
      </c>
      <c r="B3520" t="str">
        <f>"002848"</f>
        <v>002848</v>
      </c>
      <c r="C3520" t="s">
        <v>7384</v>
      </c>
      <c r="D3520" t="s">
        <v>4404</v>
      </c>
      <c r="F3520">
        <v>460758349</v>
      </c>
      <c r="G3520">
        <v>378111091</v>
      </c>
      <c r="H3520">
        <v>420428112</v>
      </c>
      <c r="I3520">
        <v>795041375</v>
      </c>
      <c r="J3520">
        <v>760181444</v>
      </c>
      <c r="K3520">
        <v>667186033</v>
      </c>
      <c r="L3520">
        <v>678277454</v>
      </c>
      <c r="P3520">
        <v>189</v>
      </c>
      <c r="Q3520" t="s">
        <v>7385</v>
      </c>
    </row>
    <row r="3521" spans="1:17" x14ac:dyDescent="0.3">
      <c r="A3521" t="s">
        <v>4664</v>
      </c>
      <c r="B3521" t="str">
        <f>"002849"</f>
        <v>002849</v>
      </c>
      <c r="C3521" t="s">
        <v>7386</v>
      </c>
      <c r="D3521" t="s">
        <v>2551</v>
      </c>
      <c r="F3521">
        <v>945353661</v>
      </c>
      <c r="G3521">
        <v>800882933</v>
      </c>
      <c r="H3521">
        <v>605788185</v>
      </c>
      <c r="I3521">
        <v>425396229</v>
      </c>
      <c r="J3521">
        <v>277670349</v>
      </c>
      <c r="K3521">
        <v>257544730</v>
      </c>
      <c r="P3521">
        <v>177</v>
      </c>
      <c r="Q3521" t="s">
        <v>7387</v>
      </c>
    </row>
    <row r="3522" spans="1:17" x14ac:dyDescent="0.3">
      <c r="A3522" t="s">
        <v>4664</v>
      </c>
      <c r="B3522" t="str">
        <f>"002850"</f>
        <v>002850</v>
      </c>
      <c r="C3522" t="s">
        <v>7388</v>
      </c>
      <c r="D3522" t="s">
        <v>359</v>
      </c>
      <c r="F3522">
        <v>2153716154</v>
      </c>
      <c r="G3522">
        <v>1456417904</v>
      </c>
      <c r="H3522">
        <v>1412074881</v>
      </c>
      <c r="I3522">
        <v>917122090</v>
      </c>
      <c r="J3522">
        <v>478899244</v>
      </c>
      <c r="K3522">
        <v>872792770</v>
      </c>
      <c r="P3522">
        <v>379</v>
      </c>
      <c r="Q3522" t="s">
        <v>7389</v>
      </c>
    </row>
    <row r="3523" spans="1:17" x14ac:dyDescent="0.3">
      <c r="A3523" t="s">
        <v>4664</v>
      </c>
      <c r="B3523" t="str">
        <f>"002851"</f>
        <v>002851</v>
      </c>
      <c r="C3523" t="s">
        <v>7390</v>
      </c>
      <c r="D3523" t="s">
        <v>880</v>
      </c>
      <c r="F3523">
        <v>2592938803</v>
      </c>
      <c r="G3523">
        <v>2470608381</v>
      </c>
      <c r="H3523">
        <v>1880400586</v>
      </c>
      <c r="I3523">
        <v>1124479027</v>
      </c>
      <c r="J3523">
        <v>822950372</v>
      </c>
      <c r="K3523">
        <v>710488533</v>
      </c>
      <c r="P3523">
        <v>565</v>
      </c>
      <c r="Q3523" t="s">
        <v>7391</v>
      </c>
    </row>
    <row r="3524" spans="1:17" x14ac:dyDescent="0.3">
      <c r="A3524" t="s">
        <v>4664</v>
      </c>
      <c r="B3524" t="str">
        <f>"002852"</f>
        <v>002852</v>
      </c>
      <c r="C3524" t="s">
        <v>7392</v>
      </c>
      <c r="D3524" t="s">
        <v>306</v>
      </c>
      <c r="F3524">
        <v>3949402703</v>
      </c>
      <c r="G3524">
        <v>4324711176</v>
      </c>
      <c r="H3524">
        <v>2981459466</v>
      </c>
      <c r="I3524">
        <v>2542443965</v>
      </c>
      <c r="J3524">
        <v>2567430947</v>
      </c>
      <c r="K3524">
        <v>2350615807</v>
      </c>
      <c r="P3524">
        <v>141</v>
      </c>
      <c r="Q3524" t="s">
        <v>7393</v>
      </c>
    </row>
    <row r="3525" spans="1:17" x14ac:dyDescent="0.3">
      <c r="A3525" t="s">
        <v>4664</v>
      </c>
      <c r="B3525" t="str">
        <f>"002853"</f>
        <v>002853</v>
      </c>
      <c r="C3525" t="s">
        <v>7394</v>
      </c>
      <c r="D3525" t="s">
        <v>2647</v>
      </c>
      <c r="F3525">
        <v>1064724010</v>
      </c>
      <c r="G3525">
        <v>1051022477</v>
      </c>
      <c r="H3525">
        <v>738456665</v>
      </c>
      <c r="I3525">
        <v>701588272</v>
      </c>
      <c r="J3525">
        <v>606989084</v>
      </c>
      <c r="K3525">
        <v>468876905</v>
      </c>
      <c r="P3525">
        <v>379</v>
      </c>
      <c r="Q3525" t="s">
        <v>7395</v>
      </c>
    </row>
    <row r="3526" spans="1:17" x14ac:dyDescent="0.3">
      <c r="A3526" t="s">
        <v>4664</v>
      </c>
      <c r="B3526" t="str">
        <f>"002855"</f>
        <v>002855</v>
      </c>
      <c r="C3526" t="s">
        <v>7396</v>
      </c>
      <c r="D3526" t="s">
        <v>313</v>
      </c>
      <c r="F3526">
        <v>2412435683</v>
      </c>
      <c r="G3526">
        <v>1794011408</v>
      </c>
      <c r="H3526">
        <v>1893792271</v>
      </c>
      <c r="I3526">
        <v>1528788541</v>
      </c>
      <c r="J3526">
        <v>1258122358</v>
      </c>
      <c r="K3526">
        <v>1718588338</v>
      </c>
      <c r="P3526">
        <v>138</v>
      </c>
      <c r="Q3526" t="s">
        <v>7397</v>
      </c>
    </row>
    <row r="3527" spans="1:17" x14ac:dyDescent="0.3">
      <c r="A3527" t="s">
        <v>4664</v>
      </c>
      <c r="B3527" t="str">
        <f>"002856"</f>
        <v>002856</v>
      </c>
      <c r="C3527" t="s">
        <v>7398</v>
      </c>
      <c r="D3527" t="s">
        <v>450</v>
      </c>
      <c r="F3527">
        <v>507044909</v>
      </c>
      <c r="G3527">
        <v>737399419</v>
      </c>
      <c r="H3527">
        <v>627206584</v>
      </c>
      <c r="I3527">
        <v>580484348</v>
      </c>
      <c r="J3527">
        <v>496878837</v>
      </c>
      <c r="K3527">
        <v>665840593</v>
      </c>
      <c r="P3527">
        <v>51</v>
      </c>
      <c r="Q3527" t="s">
        <v>7399</v>
      </c>
    </row>
    <row r="3528" spans="1:17" x14ac:dyDescent="0.3">
      <c r="A3528" t="s">
        <v>4664</v>
      </c>
      <c r="B3528" t="str">
        <f>"002857"</f>
        <v>002857</v>
      </c>
      <c r="C3528" t="s">
        <v>7400</v>
      </c>
      <c r="D3528" t="s">
        <v>2171</v>
      </c>
      <c r="F3528">
        <v>144254806</v>
      </c>
      <c r="G3528">
        <v>147884682</v>
      </c>
      <c r="H3528">
        <v>139978251</v>
      </c>
      <c r="I3528">
        <v>147811605</v>
      </c>
      <c r="J3528">
        <v>104914459</v>
      </c>
      <c r="K3528">
        <v>89312424</v>
      </c>
      <c r="P3528">
        <v>45</v>
      </c>
      <c r="Q3528" t="s">
        <v>7401</v>
      </c>
    </row>
    <row r="3529" spans="1:17" x14ac:dyDescent="0.3">
      <c r="A3529" t="s">
        <v>4664</v>
      </c>
      <c r="B3529" t="str">
        <f>"002858"</f>
        <v>002858</v>
      </c>
      <c r="C3529" t="s">
        <v>7402</v>
      </c>
      <c r="D3529" t="s">
        <v>327</v>
      </c>
      <c r="F3529">
        <v>238281664</v>
      </c>
      <c r="G3529">
        <v>233543473</v>
      </c>
      <c r="H3529">
        <v>290357514</v>
      </c>
      <c r="I3529">
        <v>206334894</v>
      </c>
      <c r="J3529">
        <v>161943593</v>
      </c>
      <c r="K3529">
        <v>183761502</v>
      </c>
      <c r="P3529">
        <v>75</v>
      </c>
      <c r="Q3529" t="s">
        <v>7403</v>
      </c>
    </row>
    <row r="3530" spans="1:17" x14ac:dyDescent="0.3">
      <c r="A3530" t="s">
        <v>4664</v>
      </c>
      <c r="B3530" t="str">
        <f>"002859"</f>
        <v>002859</v>
      </c>
      <c r="C3530" t="s">
        <v>7404</v>
      </c>
      <c r="D3530" t="s">
        <v>651</v>
      </c>
      <c r="F3530">
        <v>1367086634</v>
      </c>
      <c r="G3530">
        <v>869737879</v>
      </c>
      <c r="H3530">
        <v>781664207</v>
      </c>
      <c r="I3530">
        <v>876099323</v>
      </c>
      <c r="J3530">
        <v>653885695</v>
      </c>
      <c r="K3530">
        <v>457337287</v>
      </c>
      <c r="P3530">
        <v>2969</v>
      </c>
      <c r="Q3530" t="s">
        <v>7405</v>
      </c>
    </row>
    <row r="3531" spans="1:17" x14ac:dyDescent="0.3">
      <c r="A3531" t="s">
        <v>4664</v>
      </c>
      <c r="B3531" t="str">
        <f>"002860"</f>
        <v>002860</v>
      </c>
      <c r="C3531" t="s">
        <v>7406</v>
      </c>
      <c r="D3531" t="s">
        <v>1253</v>
      </c>
      <c r="F3531">
        <v>1174354077</v>
      </c>
      <c r="G3531">
        <v>487935528</v>
      </c>
      <c r="H3531">
        <v>571341626</v>
      </c>
      <c r="I3531">
        <v>312807049</v>
      </c>
      <c r="J3531">
        <v>223598508</v>
      </c>
      <c r="K3531">
        <v>232006558</v>
      </c>
      <c r="P3531">
        <v>249</v>
      </c>
      <c r="Q3531" t="s">
        <v>7407</v>
      </c>
    </row>
    <row r="3532" spans="1:17" x14ac:dyDescent="0.3">
      <c r="A3532" t="s">
        <v>4664</v>
      </c>
      <c r="B3532" t="str">
        <f>"002861"</f>
        <v>002861</v>
      </c>
      <c r="C3532" t="s">
        <v>7408</v>
      </c>
      <c r="D3532" t="s">
        <v>313</v>
      </c>
      <c r="F3532">
        <v>868117534</v>
      </c>
      <c r="G3532">
        <v>877293782</v>
      </c>
      <c r="H3532">
        <v>927965918</v>
      </c>
      <c r="I3532">
        <v>656659335</v>
      </c>
      <c r="J3532">
        <v>591860204</v>
      </c>
      <c r="K3532">
        <v>415135543</v>
      </c>
      <c r="P3532">
        <v>155</v>
      </c>
      <c r="Q3532" t="s">
        <v>7409</v>
      </c>
    </row>
    <row r="3533" spans="1:17" x14ac:dyDescent="0.3">
      <c r="A3533" t="s">
        <v>4664</v>
      </c>
      <c r="B3533" t="str">
        <f>"002862"</f>
        <v>002862</v>
      </c>
      <c r="C3533" t="s">
        <v>7410</v>
      </c>
      <c r="D3533" t="s">
        <v>2904</v>
      </c>
      <c r="F3533">
        <v>229367501</v>
      </c>
      <c r="G3533">
        <v>188757835</v>
      </c>
      <c r="H3533">
        <v>287944390</v>
      </c>
      <c r="I3533">
        <v>263263422</v>
      </c>
      <c r="J3533">
        <v>287524728</v>
      </c>
      <c r="K3533">
        <v>236524382</v>
      </c>
      <c r="P3533">
        <v>66</v>
      </c>
      <c r="Q3533" t="s">
        <v>7411</v>
      </c>
    </row>
    <row r="3534" spans="1:17" x14ac:dyDescent="0.3">
      <c r="A3534" t="s">
        <v>4664</v>
      </c>
      <c r="B3534" t="str">
        <f>"002863"</f>
        <v>002863</v>
      </c>
      <c r="C3534" t="s">
        <v>7412</v>
      </c>
      <c r="D3534" t="s">
        <v>422</v>
      </c>
      <c r="F3534">
        <v>2811217661</v>
      </c>
      <c r="G3534">
        <v>1988688111</v>
      </c>
      <c r="H3534">
        <v>2222617373</v>
      </c>
      <c r="I3534">
        <v>1814222255</v>
      </c>
      <c r="J3534">
        <v>1431945799</v>
      </c>
      <c r="K3534">
        <v>1339386976</v>
      </c>
      <c r="P3534">
        <v>104</v>
      </c>
      <c r="Q3534" t="s">
        <v>7413</v>
      </c>
    </row>
    <row r="3535" spans="1:17" x14ac:dyDescent="0.3">
      <c r="A3535" t="s">
        <v>4664</v>
      </c>
      <c r="B3535" t="str">
        <f>"002864"</f>
        <v>002864</v>
      </c>
      <c r="C3535" t="s">
        <v>7414</v>
      </c>
      <c r="D3535" t="s">
        <v>188</v>
      </c>
      <c r="F3535">
        <v>654507921</v>
      </c>
      <c r="G3535">
        <v>450194975</v>
      </c>
      <c r="H3535">
        <v>441378119</v>
      </c>
      <c r="I3535">
        <v>328229637</v>
      </c>
      <c r="J3535">
        <v>277268926</v>
      </c>
      <c r="K3535">
        <v>216534803</v>
      </c>
      <c r="P3535">
        <v>184</v>
      </c>
      <c r="Q3535" t="s">
        <v>7415</v>
      </c>
    </row>
    <row r="3536" spans="1:17" x14ac:dyDescent="0.3">
      <c r="A3536" t="s">
        <v>4664</v>
      </c>
      <c r="B3536" t="str">
        <f>"002865"</f>
        <v>002865</v>
      </c>
      <c r="C3536" t="s">
        <v>7416</v>
      </c>
      <c r="D3536" t="s">
        <v>191</v>
      </c>
      <c r="F3536">
        <v>614426579</v>
      </c>
      <c r="G3536">
        <v>388795030</v>
      </c>
      <c r="H3536">
        <v>414665897</v>
      </c>
      <c r="I3536">
        <v>651370684</v>
      </c>
      <c r="J3536">
        <v>374361560</v>
      </c>
      <c r="K3536">
        <v>709964696</v>
      </c>
      <c r="P3536">
        <v>111</v>
      </c>
      <c r="Q3536" t="s">
        <v>7417</v>
      </c>
    </row>
    <row r="3537" spans="1:17" x14ac:dyDescent="0.3">
      <c r="A3537" t="s">
        <v>4664</v>
      </c>
      <c r="B3537" t="str">
        <f>"002866"</f>
        <v>002866</v>
      </c>
      <c r="C3537" t="s">
        <v>7418</v>
      </c>
      <c r="D3537" t="s">
        <v>313</v>
      </c>
      <c r="F3537">
        <v>1575593778</v>
      </c>
      <c r="G3537">
        <v>1237944185</v>
      </c>
      <c r="H3537">
        <v>1122895844</v>
      </c>
      <c r="I3537">
        <v>715245374</v>
      </c>
      <c r="J3537">
        <v>461538281</v>
      </c>
      <c r="K3537">
        <v>411681870</v>
      </c>
      <c r="P3537">
        <v>161</v>
      </c>
      <c r="Q3537" t="s">
        <v>7419</v>
      </c>
    </row>
    <row r="3538" spans="1:17" x14ac:dyDescent="0.3">
      <c r="A3538" t="s">
        <v>4664</v>
      </c>
      <c r="B3538" t="str">
        <f>"002867"</f>
        <v>002867</v>
      </c>
      <c r="C3538" t="s">
        <v>7420</v>
      </c>
      <c r="D3538" t="s">
        <v>1238</v>
      </c>
      <c r="F3538">
        <v>5539756210</v>
      </c>
      <c r="G3538">
        <v>3514792920</v>
      </c>
      <c r="H3538">
        <v>4174697327</v>
      </c>
      <c r="I3538">
        <v>3940041943</v>
      </c>
      <c r="J3538">
        <v>3030342448</v>
      </c>
      <c r="K3538">
        <v>2329003742</v>
      </c>
      <c r="P3538">
        <v>1635</v>
      </c>
      <c r="Q3538" t="s">
        <v>7421</v>
      </c>
    </row>
    <row r="3539" spans="1:17" x14ac:dyDescent="0.3">
      <c r="A3539" t="s">
        <v>4664</v>
      </c>
      <c r="B3539" t="str">
        <f>"002868"</f>
        <v>002868</v>
      </c>
      <c r="C3539" t="s">
        <v>7422</v>
      </c>
      <c r="D3539" t="s">
        <v>453</v>
      </c>
      <c r="F3539">
        <v>258641733</v>
      </c>
      <c r="G3539">
        <v>269575116</v>
      </c>
      <c r="H3539">
        <v>237942383</v>
      </c>
      <c r="I3539">
        <v>259458423</v>
      </c>
      <c r="J3539">
        <v>298438913</v>
      </c>
      <c r="K3539">
        <v>338873741</v>
      </c>
      <c r="P3539">
        <v>88</v>
      </c>
      <c r="Q3539" t="s">
        <v>7423</v>
      </c>
    </row>
    <row r="3540" spans="1:17" x14ac:dyDescent="0.3">
      <c r="A3540" t="s">
        <v>4664</v>
      </c>
      <c r="B3540" t="str">
        <f>"002869"</f>
        <v>002869</v>
      </c>
      <c r="C3540" t="s">
        <v>7424</v>
      </c>
      <c r="D3540" t="s">
        <v>651</v>
      </c>
      <c r="F3540">
        <v>371951801</v>
      </c>
      <c r="G3540">
        <v>950540027</v>
      </c>
      <c r="H3540">
        <v>1872180710</v>
      </c>
      <c r="I3540">
        <v>302409045</v>
      </c>
      <c r="J3540">
        <v>357721065</v>
      </c>
      <c r="K3540">
        <v>385670176</v>
      </c>
      <c r="P3540">
        <v>600</v>
      </c>
      <c r="Q3540" t="s">
        <v>7425</v>
      </c>
    </row>
    <row r="3541" spans="1:17" x14ac:dyDescent="0.3">
      <c r="A3541" t="s">
        <v>4664</v>
      </c>
      <c r="B3541" t="str">
        <f>"002870"</f>
        <v>002870</v>
      </c>
      <c r="C3541" t="s">
        <v>7426</v>
      </c>
      <c r="D3541" t="s">
        <v>2551</v>
      </c>
      <c r="F3541">
        <v>3858626234</v>
      </c>
      <c r="G3541">
        <v>700370018</v>
      </c>
      <c r="H3541">
        <v>631309292</v>
      </c>
      <c r="I3541">
        <v>702975722</v>
      </c>
      <c r="J3541">
        <v>715408698</v>
      </c>
      <c r="K3541">
        <v>632952248</v>
      </c>
      <c r="P3541">
        <v>91</v>
      </c>
      <c r="Q3541" t="s">
        <v>7427</v>
      </c>
    </row>
    <row r="3542" spans="1:17" x14ac:dyDescent="0.3">
      <c r="A3542" t="s">
        <v>4664</v>
      </c>
      <c r="B3542" t="str">
        <f>"002871"</f>
        <v>002871</v>
      </c>
      <c r="C3542" t="s">
        <v>7428</v>
      </c>
      <c r="D3542" t="s">
        <v>274</v>
      </c>
      <c r="F3542">
        <v>272870898</v>
      </c>
      <c r="G3542">
        <v>270378921</v>
      </c>
      <c r="H3542">
        <v>274999453</v>
      </c>
      <c r="I3542">
        <v>254717759</v>
      </c>
      <c r="J3542">
        <v>226044989</v>
      </c>
      <c r="K3542">
        <v>203101779</v>
      </c>
      <c r="P3542">
        <v>66</v>
      </c>
      <c r="Q3542" t="s">
        <v>7429</v>
      </c>
    </row>
    <row r="3543" spans="1:17" x14ac:dyDescent="0.3">
      <c r="A3543" t="s">
        <v>4664</v>
      </c>
      <c r="B3543" t="str">
        <f>"002872"</f>
        <v>002872</v>
      </c>
      <c r="C3543" t="s">
        <v>7430</v>
      </c>
      <c r="D3543" t="s">
        <v>125</v>
      </c>
      <c r="F3543">
        <v>627510652</v>
      </c>
      <c r="G3543">
        <v>1181516753</v>
      </c>
      <c r="H3543">
        <v>1495360316</v>
      </c>
      <c r="I3543">
        <v>1857284396</v>
      </c>
      <c r="J3543">
        <v>1563166889</v>
      </c>
      <c r="K3543">
        <v>1576177492</v>
      </c>
      <c r="P3543">
        <v>69</v>
      </c>
      <c r="Q3543" t="s">
        <v>7431</v>
      </c>
    </row>
    <row r="3544" spans="1:17" x14ac:dyDescent="0.3">
      <c r="A3544" t="s">
        <v>4664</v>
      </c>
      <c r="B3544" t="str">
        <f>"002873"</f>
        <v>002873</v>
      </c>
      <c r="C3544" t="s">
        <v>7432</v>
      </c>
      <c r="D3544" t="s">
        <v>188</v>
      </c>
      <c r="F3544">
        <v>730647547</v>
      </c>
      <c r="G3544">
        <v>562219123</v>
      </c>
      <c r="H3544">
        <v>584514488</v>
      </c>
      <c r="I3544">
        <v>519555684</v>
      </c>
      <c r="J3544">
        <v>510571540</v>
      </c>
      <c r="K3544">
        <v>466542986</v>
      </c>
      <c r="P3544">
        <v>166</v>
      </c>
      <c r="Q3544" t="s">
        <v>7433</v>
      </c>
    </row>
    <row r="3545" spans="1:17" x14ac:dyDescent="0.3">
      <c r="A3545" t="s">
        <v>4664</v>
      </c>
      <c r="B3545" t="str">
        <f>"002875"</f>
        <v>002875</v>
      </c>
      <c r="C3545" t="s">
        <v>7434</v>
      </c>
      <c r="D3545" t="s">
        <v>255</v>
      </c>
      <c r="F3545">
        <v>859126417</v>
      </c>
      <c r="G3545">
        <v>837978147</v>
      </c>
      <c r="H3545">
        <v>999281320</v>
      </c>
      <c r="I3545">
        <v>923040865</v>
      </c>
      <c r="J3545">
        <v>781554112</v>
      </c>
      <c r="K3545">
        <v>709749783</v>
      </c>
      <c r="P3545">
        <v>92</v>
      </c>
      <c r="Q3545" t="s">
        <v>7435</v>
      </c>
    </row>
    <row r="3546" spans="1:17" x14ac:dyDescent="0.3">
      <c r="A3546" t="s">
        <v>4664</v>
      </c>
      <c r="B3546" t="str">
        <f>"002876"</f>
        <v>002876</v>
      </c>
      <c r="C3546" t="s">
        <v>7436</v>
      </c>
      <c r="D3546" t="s">
        <v>1117</v>
      </c>
      <c r="F3546">
        <v>1656341620</v>
      </c>
      <c r="G3546">
        <v>1194852399</v>
      </c>
      <c r="H3546">
        <v>881994701</v>
      </c>
      <c r="I3546">
        <v>522309349</v>
      </c>
      <c r="J3546">
        <v>529973733</v>
      </c>
      <c r="K3546">
        <v>526062290</v>
      </c>
      <c r="P3546">
        <v>212</v>
      </c>
      <c r="Q3546" t="s">
        <v>7437</v>
      </c>
    </row>
    <row r="3547" spans="1:17" x14ac:dyDescent="0.3">
      <c r="A3547" t="s">
        <v>4664</v>
      </c>
      <c r="B3547" t="str">
        <f>"002877"</f>
        <v>002877</v>
      </c>
      <c r="C3547" t="s">
        <v>7438</v>
      </c>
      <c r="D3547" t="s">
        <v>274</v>
      </c>
      <c r="F3547">
        <v>397310507</v>
      </c>
      <c r="G3547">
        <v>247753174</v>
      </c>
      <c r="H3547">
        <v>332177218</v>
      </c>
      <c r="I3547">
        <v>256040612</v>
      </c>
      <c r="J3547">
        <v>113674690</v>
      </c>
      <c r="K3547">
        <v>147935194</v>
      </c>
      <c r="P3547">
        <v>100</v>
      </c>
      <c r="Q3547" t="s">
        <v>7439</v>
      </c>
    </row>
    <row r="3548" spans="1:17" x14ac:dyDescent="0.3">
      <c r="A3548" t="s">
        <v>4664</v>
      </c>
      <c r="B3548" t="str">
        <f>"002878"</f>
        <v>002878</v>
      </c>
      <c r="C3548" t="s">
        <v>7440</v>
      </c>
      <c r="D3548" t="s">
        <v>1671</v>
      </c>
      <c r="F3548">
        <v>1786128824</v>
      </c>
      <c r="G3548">
        <v>1793418994</v>
      </c>
      <c r="H3548">
        <v>1418044829</v>
      </c>
      <c r="I3548">
        <v>887949689</v>
      </c>
      <c r="J3548">
        <v>771962091</v>
      </c>
      <c r="K3548">
        <v>722394606</v>
      </c>
      <c r="P3548">
        <v>345</v>
      </c>
      <c r="Q3548" t="s">
        <v>7441</v>
      </c>
    </row>
    <row r="3549" spans="1:17" x14ac:dyDescent="0.3">
      <c r="A3549" t="s">
        <v>4664</v>
      </c>
      <c r="B3549" t="str">
        <f>"002879"</f>
        <v>002879</v>
      </c>
      <c r="C3549" t="s">
        <v>7442</v>
      </c>
      <c r="D3549" t="s">
        <v>1164</v>
      </c>
      <c r="F3549">
        <v>569159229</v>
      </c>
      <c r="G3549">
        <v>472698869</v>
      </c>
      <c r="H3549">
        <v>459596601</v>
      </c>
      <c r="I3549">
        <v>402577897</v>
      </c>
      <c r="J3549">
        <v>361895742</v>
      </c>
      <c r="K3549">
        <v>344962191</v>
      </c>
      <c r="P3549">
        <v>266</v>
      </c>
      <c r="Q3549" t="s">
        <v>7443</v>
      </c>
    </row>
    <row r="3550" spans="1:17" x14ac:dyDescent="0.3">
      <c r="A3550" t="s">
        <v>4664</v>
      </c>
      <c r="B3550" t="str">
        <f>"002880"</f>
        <v>002880</v>
      </c>
      <c r="C3550" t="s">
        <v>7444</v>
      </c>
      <c r="D3550" t="s">
        <v>378</v>
      </c>
      <c r="F3550">
        <v>621578265</v>
      </c>
      <c r="G3550">
        <v>655599812</v>
      </c>
      <c r="H3550">
        <v>576186933</v>
      </c>
      <c r="I3550">
        <v>458240227</v>
      </c>
      <c r="J3550">
        <v>416646471</v>
      </c>
      <c r="K3550">
        <v>444626995</v>
      </c>
      <c r="P3550">
        <v>214</v>
      </c>
      <c r="Q3550" t="s">
        <v>7445</v>
      </c>
    </row>
    <row r="3551" spans="1:17" x14ac:dyDescent="0.3">
      <c r="A3551" t="s">
        <v>4664</v>
      </c>
      <c r="B3551" t="str">
        <f>"002881"</f>
        <v>002881</v>
      </c>
      <c r="C3551" t="s">
        <v>7446</v>
      </c>
      <c r="D3551" t="s">
        <v>313</v>
      </c>
      <c r="F3551">
        <v>1443104604</v>
      </c>
      <c r="G3551">
        <v>692537722</v>
      </c>
      <c r="H3551">
        <v>710285435</v>
      </c>
      <c r="I3551">
        <v>686079352</v>
      </c>
      <c r="J3551">
        <v>321910586</v>
      </c>
      <c r="K3551">
        <v>311822141</v>
      </c>
      <c r="P3551">
        <v>240</v>
      </c>
      <c r="Q3551" t="s">
        <v>7447</v>
      </c>
    </row>
    <row r="3552" spans="1:17" x14ac:dyDescent="0.3">
      <c r="A3552" t="s">
        <v>4664</v>
      </c>
      <c r="B3552" t="str">
        <f>"002882"</f>
        <v>002882</v>
      </c>
      <c r="C3552" t="s">
        <v>7448</v>
      </c>
      <c r="D3552" t="s">
        <v>1164</v>
      </c>
      <c r="F3552">
        <v>2691434347</v>
      </c>
      <c r="G3552">
        <v>2272710592</v>
      </c>
      <c r="H3552">
        <v>2773767591</v>
      </c>
      <c r="I3552">
        <v>2455466605</v>
      </c>
      <c r="J3552">
        <v>1740225391</v>
      </c>
      <c r="K3552">
        <v>1406880492</v>
      </c>
      <c r="P3552">
        <v>118</v>
      </c>
      <c r="Q3552" t="s">
        <v>7449</v>
      </c>
    </row>
    <row r="3553" spans="1:17" x14ac:dyDescent="0.3">
      <c r="A3553" t="s">
        <v>4664</v>
      </c>
      <c r="B3553" t="str">
        <f>"002883"</f>
        <v>002883</v>
      </c>
      <c r="C3553" t="s">
        <v>7450</v>
      </c>
      <c r="D3553" t="s">
        <v>1272</v>
      </c>
      <c r="F3553">
        <v>318151838</v>
      </c>
      <c r="G3553">
        <v>176033791</v>
      </c>
      <c r="H3553">
        <v>178390982</v>
      </c>
      <c r="I3553">
        <v>149688938</v>
      </c>
      <c r="J3553">
        <v>160686872</v>
      </c>
      <c r="K3553">
        <v>94174499</v>
      </c>
      <c r="P3553">
        <v>102</v>
      </c>
      <c r="Q3553" t="s">
        <v>7451</v>
      </c>
    </row>
    <row r="3554" spans="1:17" x14ac:dyDescent="0.3">
      <c r="A3554" t="s">
        <v>4664</v>
      </c>
      <c r="B3554" t="str">
        <f>"002884"</f>
        <v>002884</v>
      </c>
      <c r="C3554" t="s">
        <v>7452</v>
      </c>
      <c r="D3554" t="s">
        <v>560</v>
      </c>
      <c r="F3554">
        <v>1462089418</v>
      </c>
      <c r="G3554">
        <v>967895389</v>
      </c>
      <c r="H3554">
        <v>849927353</v>
      </c>
      <c r="I3554">
        <v>835073317</v>
      </c>
      <c r="J3554">
        <v>728640293</v>
      </c>
      <c r="K3554">
        <v>621338111</v>
      </c>
      <c r="P3554">
        <v>995</v>
      </c>
      <c r="Q3554" t="s">
        <v>7453</v>
      </c>
    </row>
    <row r="3555" spans="1:17" x14ac:dyDescent="0.3">
      <c r="A3555" t="s">
        <v>4664</v>
      </c>
      <c r="B3555" t="str">
        <f>"002885"</f>
        <v>002885</v>
      </c>
      <c r="C3555" t="s">
        <v>7454</v>
      </c>
      <c r="D3555" t="s">
        <v>313</v>
      </c>
      <c r="F3555">
        <v>1112601008</v>
      </c>
      <c r="G3555">
        <v>1009294054</v>
      </c>
      <c r="H3555">
        <v>996413168</v>
      </c>
      <c r="I3555">
        <v>831137109</v>
      </c>
      <c r="J3555">
        <v>684661675</v>
      </c>
      <c r="K3555">
        <v>608369483</v>
      </c>
      <c r="P3555">
        <v>199</v>
      </c>
      <c r="Q3555" t="s">
        <v>7455</v>
      </c>
    </row>
    <row r="3556" spans="1:17" x14ac:dyDescent="0.3">
      <c r="A3556" t="s">
        <v>4664</v>
      </c>
      <c r="B3556" t="str">
        <f>"002886"</f>
        <v>002886</v>
      </c>
      <c r="C3556" t="s">
        <v>7456</v>
      </c>
      <c r="D3556" t="s">
        <v>341</v>
      </c>
      <c r="F3556">
        <v>1193269205</v>
      </c>
      <c r="G3556">
        <v>889233773</v>
      </c>
      <c r="H3556">
        <v>643122686</v>
      </c>
      <c r="I3556">
        <v>477646586</v>
      </c>
      <c r="J3556">
        <v>584705428</v>
      </c>
      <c r="K3556">
        <v>428943213</v>
      </c>
      <c r="P3556">
        <v>190</v>
      </c>
      <c r="Q3556" t="s">
        <v>7457</v>
      </c>
    </row>
    <row r="3557" spans="1:17" x14ac:dyDescent="0.3">
      <c r="A3557" t="s">
        <v>4664</v>
      </c>
      <c r="B3557" t="str">
        <f>"002887"</f>
        <v>002887</v>
      </c>
      <c r="C3557" t="s">
        <v>7458</v>
      </c>
      <c r="D3557" t="s">
        <v>3548</v>
      </c>
      <c r="F3557">
        <v>528717181</v>
      </c>
      <c r="G3557">
        <v>630214323</v>
      </c>
      <c r="H3557">
        <v>240271809</v>
      </c>
      <c r="I3557">
        <v>292641422</v>
      </c>
      <c r="J3557">
        <v>359427677</v>
      </c>
      <c r="K3557">
        <v>354219776</v>
      </c>
      <c r="P3557">
        <v>167</v>
      </c>
      <c r="Q3557" t="s">
        <v>7459</v>
      </c>
    </row>
    <row r="3558" spans="1:17" x14ac:dyDescent="0.3">
      <c r="A3558" t="s">
        <v>4664</v>
      </c>
      <c r="B3558" t="str">
        <f>"002888"</f>
        <v>002888</v>
      </c>
      <c r="C3558" t="s">
        <v>7460</v>
      </c>
      <c r="D3558" t="s">
        <v>3499</v>
      </c>
      <c r="F3558">
        <v>238031364</v>
      </c>
      <c r="G3558">
        <v>203342234</v>
      </c>
      <c r="H3558">
        <v>217083401</v>
      </c>
      <c r="I3558">
        <v>210734279</v>
      </c>
      <c r="J3558">
        <v>211196862</v>
      </c>
      <c r="K3558">
        <v>185547196</v>
      </c>
      <c r="P3558">
        <v>80</v>
      </c>
      <c r="Q3558" t="s">
        <v>7461</v>
      </c>
    </row>
    <row r="3559" spans="1:17" x14ac:dyDescent="0.3">
      <c r="A3559" t="s">
        <v>4664</v>
      </c>
      <c r="B3559" t="str">
        <f>"002889"</f>
        <v>002889</v>
      </c>
      <c r="C3559" t="s">
        <v>7462</v>
      </c>
      <c r="D3559" t="s">
        <v>3098</v>
      </c>
      <c r="F3559">
        <v>2435579541</v>
      </c>
      <c r="G3559">
        <v>7993975688</v>
      </c>
      <c r="H3559">
        <v>11678640275</v>
      </c>
      <c r="I3559">
        <v>9552702527</v>
      </c>
      <c r="J3559">
        <v>7351545610</v>
      </c>
      <c r="K3559">
        <v>4529695044</v>
      </c>
      <c r="P3559">
        <v>123</v>
      </c>
      <c r="Q3559" t="s">
        <v>7463</v>
      </c>
    </row>
    <row r="3560" spans="1:17" x14ac:dyDescent="0.3">
      <c r="A3560" t="s">
        <v>4664</v>
      </c>
      <c r="B3560" t="str">
        <f>"002890"</f>
        <v>002890</v>
      </c>
      <c r="C3560" t="s">
        <v>7464</v>
      </c>
      <c r="D3560" t="s">
        <v>1979</v>
      </c>
      <c r="F3560">
        <v>201948632</v>
      </c>
      <c r="G3560">
        <v>200692446</v>
      </c>
      <c r="H3560">
        <v>153310887</v>
      </c>
      <c r="I3560">
        <v>74191863</v>
      </c>
      <c r="J3560">
        <v>96820379</v>
      </c>
      <c r="K3560">
        <v>109507661</v>
      </c>
      <c r="P3560">
        <v>70</v>
      </c>
      <c r="Q3560" t="s">
        <v>7465</v>
      </c>
    </row>
    <row r="3561" spans="1:17" x14ac:dyDescent="0.3">
      <c r="A3561" t="s">
        <v>4664</v>
      </c>
      <c r="B3561" t="str">
        <f>"002891"</f>
        <v>002891</v>
      </c>
      <c r="C3561" t="s">
        <v>7466</v>
      </c>
      <c r="D3561" t="s">
        <v>7467</v>
      </c>
      <c r="F3561">
        <v>1881944138</v>
      </c>
      <c r="G3561">
        <v>1504853579</v>
      </c>
      <c r="H3561">
        <v>1133003810</v>
      </c>
      <c r="I3561">
        <v>921626359</v>
      </c>
      <c r="J3561">
        <v>687387314</v>
      </c>
      <c r="K3561">
        <v>590277360</v>
      </c>
      <c r="P3561">
        <v>649</v>
      </c>
      <c r="Q3561" t="s">
        <v>7468</v>
      </c>
    </row>
    <row r="3562" spans="1:17" x14ac:dyDescent="0.3">
      <c r="A3562" t="s">
        <v>4664</v>
      </c>
      <c r="B3562" t="str">
        <f>"002892"</f>
        <v>002892</v>
      </c>
      <c r="C3562" t="s">
        <v>7469</v>
      </c>
      <c r="D3562" t="s">
        <v>1171</v>
      </c>
      <c r="F3562">
        <v>836836824</v>
      </c>
      <c r="G3562">
        <v>523571917</v>
      </c>
      <c r="H3562">
        <v>534353596</v>
      </c>
      <c r="I3562">
        <v>449898324</v>
      </c>
      <c r="J3562">
        <v>385991213</v>
      </c>
      <c r="K3562">
        <v>333360841</v>
      </c>
      <c r="P3562">
        <v>145</v>
      </c>
      <c r="Q3562" t="s">
        <v>7470</v>
      </c>
    </row>
    <row r="3563" spans="1:17" x14ac:dyDescent="0.3">
      <c r="A3563" t="s">
        <v>4664</v>
      </c>
      <c r="B3563" t="str">
        <f>"002893"</f>
        <v>002893</v>
      </c>
      <c r="C3563" t="s">
        <v>7471</v>
      </c>
      <c r="D3563" t="s">
        <v>351</v>
      </c>
      <c r="F3563">
        <v>465952996</v>
      </c>
      <c r="G3563">
        <v>438690766</v>
      </c>
      <c r="H3563">
        <v>440067722</v>
      </c>
      <c r="I3563">
        <v>435915846</v>
      </c>
      <c r="J3563">
        <v>421703265</v>
      </c>
      <c r="K3563">
        <v>427886439</v>
      </c>
      <c r="P3563">
        <v>92</v>
      </c>
      <c r="Q3563" t="s">
        <v>7472</v>
      </c>
    </row>
    <row r="3564" spans="1:17" x14ac:dyDescent="0.3">
      <c r="A3564" t="s">
        <v>4664</v>
      </c>
      <c r="B3564" t="str">
        <f>"002895"</f>
        <v>002895</v>
      </c>
      <c r="C3564" t="s">
        <v>7473</v>
      </c>
      <c r="D3564" t="s">
        <v>183</v>
      </c>
      <c r="F3564">
        <v>1256790973</v>
      </c>
      <c r="G3564">
        <v>836589564</v>
      </c>
      <c r="H3564">
        <v>1213742766</v>
      </c>
      <c r="I3564">
        <v>862184145</v>
      </c>
      <c r="J3564">
        <v>799891435</v>
      </c>
      <c r="K3564">
        <v>819535997</v>
      </c>
      <c r="P3564">
        <v>148</v>
      </c>
      <c r="Q3564" t="s">
        <v>7474</v>
      </c>
    </row>
    <row r="3565" spans="1:17" x14ac:dyDescent="0.3">
      <c r="A3565" t="s">
        <v>4664</v>
      </c>
      <c r="B3565" t="str">
        <f>"002896"</f>
        <v>002896</v>
      </c>
      <c r="C3565" t="s">
        <v>7475</v>
      </c>
      <c r="D3565" t="s">
        <v>274</v>
      </c>
      <c r="F3565">
        <v>795428903</v>
      </c>
      <c r="G3565">
        <v>575345846</v>
      </c>
      <c r="H3565">
        <v>477688893</v>
      </c>
      <c r="I3565">
        <v>467262546</v>
      </c>
      <c r="J3565">
        <v>370670380</v>
      </c>
      <c r="K3565">
        <v>308893616</v>
      </c>
      <c r="P3565">
        <v>137</v>
      </c>
      <c r="Q3565" t="s">
        <v>7476</v>
      </c>
    </row>
    <row r="3566" spans="1:17" x14ac:dyDescent="0.3">
      <c r="A3566" t="s">
        <v>4664</v>
      </c>
      <c r="B3566" t="str">
        <f>"002897"</f>
        <v>002897</v>
      </c>
      <c r="C3566" t="s">
        <v>7477</v>
      </c>
      <c r="D3566" t="s">
        <v>1019</v>
      </c>
      <c r="F3566">
        <v>2362673367</v>
      </c>
      <c r="G3566">
        <v>2609688747</v>
      </c>
      <c r="H3566">
        <v>895534081</v>
      </c>
      <c r="I3566">
        <v>915931250</v>
      </c>
      <c r="J3566">
        <v>800281717</v>
      </c>
      <c r="K3566">
        <v>717556305</v>
      </c>
      <c r="P3566">
        <v>234</v>
      </c>
      <c r="Q3566" t="s">
        <v>7478</v>
      </c>
    </row>
    <row r="3567" spans="1:17" x14ac:dyDescent="0.3">
      <c r="A3567" t="s">
        <v>4664</v>
      </c>
      <c r="B3567" t="str">
        <f>"002898"</f>
        <v>002898</v>
      </c>
      <c r="C3567" t="s">
        <v>7479</v>
      </c>
      <c r="D3567" t="s">
        <v>143</v>
      </c>
      <c r="F3567">
        <v>169997320</v>
      </c>
      <c r="G3567">
        <v>129128107</v>
      </c>
      <c r="H3567">
        <v>178182986</v>
      </c>
      <c r="I3567">
        <v>286475639</v>
      </c>
      <c r="J3567">
        <v>228974367</v>
      </c>
      <c r="K3567">
        <v>210921041</v>
      </c>
      <c r="P3567">
        <v>90</v>
      </c>
      <c r="Q3567" t="s">
        <v>7480</v>
      </c>
    </row>
    <row r="3568" spans="1:17" x14ac:dyDescent="0.3">
      <c r="A3568" t="s">
        <v>4664</v>
      </c>
      <c r="B3568" t="str">
        <f>"002899"</f>
        <v>002899</v>
      </c>
      <c r="C3568" t="s">
        <v>7481</v>
      </c>
      <c r="D3568" t="s">
        <v>2904</v>
      </c>
      <c r="F3568">
        <v>644355706</v>
      </c>
      <c r="G3568">
        <v>599060834</v>
      </c>
      <c r="H3568">
        <v>560379381</v>
      </c>
      <c r="I3568">
        <v>582883839</v>
      </c>
      <c r="J3568">
        <v>552165585</v>
      </c>
      <c r="K3568">
        <v>519349581</v>
      </c>
      <c r="P3568">
        <v>65</v>
      </c>
      <c r="Q3568" t="s">
        <v>7482</v>
      </c>
    </row>
    <row r="3569" spans="1:17" x14ac:dyDescent="0.3">
      <c r="A3569" t="s">
        <v>4664</v>
      </c>
      <c r="B3569" t="str">
        <f>"002900"</f>
        <v>002900</v>
      </c>
      <c r="C3569" t="s">
        <v>7483</v>
      </c>
      <c r="D3569" t="s">
        <v>143</v>
      </c>
      <c r="F3569">
        <v>771394734</v>
      </c>
      <c r="G3569">
        <v>1081138209</v>
      </c>
      <c r="H3569">
        <v>1773082667</v>
      </c>
      <c r="I3569">
        <v>1760961472</v>
      </c>
      <c r="J3569">
        <v>711780254</v>
      </c>
      <c r="K3569">
        <v>559603688</v>
      </c>
      <c r="P3569">
        <v>196</v>
      </c>
      <c r="Q3569" t="s">
        <v>7484</v>
      </c>
    </row>
    <row r="3570" spans="1:17" x14ac:dyDescent="0.3">
      <c r="A3570" t="s">
        <v>4664</v>
      </c>
      <c r="B3570" t="str">
        <f>"002901"</f>
        <v>002901</v>
      </c>
      <c r="C3570" t="s">
        <v>7485</v>
      </c>
      <c r="D3570" t="s">
        <v>1077</v>
      </c>
      <c r="F3570">
        <v>1367795438</v>
      </c>
      <c r="G3570">
        <v>1106841814</v>
      </c>
      <c r="H3570">
        <v>793266747</v>
      </c>
      <c r="I3570">
        <v>577671192</v>
      </c>
      <c r="J3570">
        <v>464663577</v>
      </c>
      <c r="K3570">
        <v>366848169</v>
      </c>
      <c r="P3570">
        <v>1702</v>
      </c>
      <c r="Q3570" t="s">
        <v>7486</v>
      </c>
    </row>
    <row r="3571" spans="1:17" x14ac:dyDescent="0.3">
      <c r="A3571" t="s">
        <v>4664</v>
      </c>
      <c r="B3571" t="str">
        <f>"002902"</f>
        <v>002902</v>
      </c>
      <c r="C3571" t="s">
        <v>7487</v>
      </c>
      <c r="D3571" t="s">
        <v>1019</v>
      </c>
      <c r="F3571">
        <v>1399474962</v>
      </c>
      <c r="G3571">
        <v>1109985967</v>
      </c>
      <c r="H3571">
        <v>1030751907</v>
      </c>
      <c r="I3571">
        <v>952130423</v>
      </c>
      <c r="J3571">
        <v>857351792</v>
      </c>
      <c r="K3571">
        <v>868221933</v>
      </c>
      <c r="P3571">
        <v>216</v>
      </c>
      <c r="Q3571" t="s">
        <v>7488</v>
      </c>
    </row>
    <row r="3572" spans="1:17" x14ac:dyDescent="0.3">
      <c r="A3572" t="s">
        <v>4664</v>
      </c>
      <c r="B3572" t="str">
        <f>"002903"</f>
        <v>002903</v>
      </c>
      <c r="C3572" t="s">
        <v>7489</v>
      </c>
      <c r="D3572" t="s">
        <v>2312</v>
      </c>
      <c r="F3572">
        <v>300807019</v>
      </c>
      <c r="G3572">
        <v>282069421</v>
      </c>
      <c r="H3572">
        <v>117950082</v>
      </c>
      <c r="I3572">
        <v>108517323</v>
      </c>
      <c r="J3572">
        <v>200242016</v>
      </c>
      <c r="K3572">
        <v>156533142</v>
      </c>
      <c r="P3572">
        <v>143</v>
      </c>
      <c r="Q3572" t="s">
        <v>7490</v>
      </c>
    </row>
    <row r="3573" spans="1:17" x14ac:dyDescent="0.3">
      <c r="A3573" t="s">
        <v>4664</v>
      </c>
      <c r="B3573" t="str">
        <f>"002905"</f>
        <v>002905</v>
      </c>
      <c r="C3573" t="s">
        <v>7491</v>
      </c>
      <c r="D3573" t="s">
        <v>2558</v>
      </c>
      <c r="F3573">
        <v>1291385447</v>
      </c>
      <c r="G3573">
        <v>356643820</v>
      </c>
      <c r="H3573">
        <v>2052028260</v>
      </c>
      <c r="I3573">
        <v>2062337540</v>
      </c>
      <c r="J3573">
        <v>1736199954</v>
      </c>
      <c r="K3573">
        <v>1753544489</v>
      </c>
      <c r="P3573">
        <v>133</v>
      </c>
      <c r="Q3573" t="s">
        <v>7492</v>
      </c>
    </row>
    <row r="3574" spans="1:17" x14ac:dyDescent="0.3">
      <c r="A3574" t="s">
        <v>4664</v>
      </c>
      <c r="B3574" t="str">
        <f>"002906"</f>
        <v>002906</v>
      </c>
      <c r="C3574" t="s">
        <v>7493</v>
      </c>
      <c r="D3574" t="s">
        <v>1415</v>
      </c>
      <c r="F3574">
        <v>3182631390</v>
      </c>
      <c r="G3574">
        <v>2231285659</v>
      </c>
      <c r="H3574">
        <v>2143330332</v>
      </c>
      <c r="I3574">
        <v>2513582734</v>
      </c>
      <c r="J3574">
        <v>2982395686</v>
      </c>
      <c r="K3574">
        <v>2738976482</v>
      </c>
      <c r="P3574">
        <v>228</v>
      </c>
      <c r="Q3574" t="s">
        <v>7494</v>
      </c>
    </row>
    <row r="3575" spans="1:17" x14ac:dyDescent="0.3">
      <c r="A3575" t="s">
        <v>4664</v>
      </c>
      <c r="B3575" t="str">
        <f>"002907"</f>
        <v>002907</v>
      </c>
      <c r="C3575" t="s">
        <v>7495</v>
      </c>
      <c r="D3575" t="s">
        <v>188</v>
      </c>
      <c r="F3575">
        <v>521599935</v>
      </c>
      <c r="G3575">
        <v>506250831</v>
      </c>
      <c r="H3575">
        <v>419076874</v>
      </c>
      <c r="I3575">
        <v>444778627</v>
      </c>
      <c r="J3575">
        <v>425947006</v>
      </c>
      <c r="K3575">
        <v>393368425</v>
      </c>
      <c r="P3575">
        <v>286</v>
      </c>
      <c r="Q3575" t="s">
        <v>7496</v>
      </c>
    </row>
    <row r="3576" spans="1:17" x14ac:dyDescent="0.3">
      <c r="A3576" t="s">
        <v>4664</v>
      </c>
      <c r="B3576" t="str">
        <f>"002908"</f>
        <v>002908</v>
      </c>
      <c r="C3576" t="s">
        <v>7497</v>
      </c>
      <c r="D3576" t="s">
        <v>786</v>
      </c>
      <c r="F3576">
        <v>288925540</v>
      </c>
      <c r="G3576">
        <v>296576952</v>
      </c>
      <c r="H3576">
        <v>244528468</v>
      </c>
      <c r="I3576">
        <v>194047450</v>
      </c>
      <c r="J3576">
        <v>217870294</v>
      </c>
      <c r="K3576">
        <v>159810745</v>
      </c>
      <c r="P3576">
        <v>126</v>
      </c>
      <c r="Q3576" t="s">
        <v>7498</v>
      </c>
    </row>
    <row r="3577" spans="1:17" x14ac:dyDescent="0.3">
      <c r="A3577" t="s">
        <v>4664</v>
      </c>
      <c r="B3577" t="str">
        <f>"002909"</f>
        <v>002909</v>
      </c>
      <c r="C3577" t="s">
        <v>7499</v>
      </c>
      <c r="D3577" t="s">
        <v>1205</v>
      </c>
      <c r="F3577">
        <v>818144742</v>
      </c>
      <c r="G3577">
        <v>560061090</v>
      </c>
      <c r="H3577">
        <v>520540884</v>
      </c>
      <c r="I3577">
        <v>520258411</v>
      </c>
      <c r="J3577">
        <v>460501626</v>
      </c>
      <c r="K3577">
        <v>297519681</v>
      </c>
      <c r="P3577">
        <v>87</v>
      </c>
      <c r="Q3577" t="s">
        <v>7500</v>
      </c>
    </row>
    <row r="3578" spans="1:17" x14ac:dyDescent="0.3">
      <c r="A3578" t="s">
        <v>4664</v>
      </c>
      <c r="B3578" t="str">
        <f>"002910"</f>
        <v>002910</v>
      </c>
      <c r="C3578" t="s">
        <v>7501</v>
      </c>
      <c r="D3578" t="s">
        <v>900</v>
      </c>
      <c r="F3578">
        <v>815570115</v>
      </c>
      <c r="G3578">
        <v>562850605</v>
      </c>
      <c r="H3578">
        <v>659528332</v>
      </c>
      <c r="I3578">
        <v>488111443</v>
      </c>
      <c r="J3578">
        <v>503947816</v>
      </c>
      <c r="K3578">
        <v>555837868</v>
      </c>
      <c r="P3578">
        <v>147</v>
      </c>
      <c r="Q3578" t="s">
        <v>7502</v>
      </c>
    </row>
    <row r="3579" spans="1:17" x14ac:dyDescent="0.3">
      <c r="A3579" t="s">
        <v>4664</v>
      </c>
      <c r="B3579" t="str">
        <f>"002911"</f>
        <v>002911</v>
      </c>
      <c r="C3579" t="s">
        <v>7503</v>
      </c>
      <c r="D3579" t="s">
        <v>749</v>
      </c>
      <c r="F3579">
        <v>10237446594</v>
      </c>
      <c r="G3579">
        <v>5716875071</v>
      </c>
      <c r="H3579">
        <v>5166709768</v>
      </c>
      <c r="I3579">
        <v>4111534193</v>
      </c>
      <c r="J3579">
        <v>3480267980</v>
      </c>
      <c r="K3579">
        <v>3106670182</v>
      </c>
      <c r="P3579">
        <v>183</v>
      </c>
      <c r="Q3579" t="s">
        <v>7504</v>
      </c>
    </row>
    <row r="3580" spans="1:17" x14ac:dyDescent="0.3">
      <c r="A3580" t="s">
        <v>4664</v>
      </c>
      <c r="B3580" t="str">
        <f>"002912"</f>
        <v>002912</v>
      </c>
      <c r="C3580" t="s">
        <v>7505</v>
      </c>
      <c r="D3580" t="s">
        <v>236</v>
      </c>
      <c r="F3580">
        <v>407593120</v>
      </c>
      <c r="G3580">
        <v>355487629</v>
      </c>
      <c r="H3580">
        <v>612241292</v>
      </c>
      <c r="I3580">
        <v>448772342</v>
      </c>
      <c r="J3580">
        <v>476408971</v>
      </c>
      <c r="K3580">
        <v>0</v>
      </c>
      <c r="P3580">
        <v>586</v>
      </c>
      <c r="Q3580" t="s">
        <v>7506</v>
      </c>
    </row>
    <row r="3581" spans="1:17" x14ac:dyDescent="0.3">
      <c r="A3581" t="s">
        <v>4664</v>
      </c>
      <c r="B3581" t="str">
        <f>"002913"</f>
        <v>002913</v>
      </c>
      <c r="C3581" t="s">
        <v>7507</v>
      </c>
      <c r="D3581" t="s">
        <v>425</v>
      </c>
      <c r="F3581">
        <v>2644475809</v>
      </c>
      <c r="G3581">
        <v>1856238296</v>
      </c>
      <c r="H3581">
        <v>1625943604</v>
      </c>
      <c r="I3581">
        <v>1407795198</v>
      </c>
      <c r="J3581">
        <v>1008556917</v>
      </c>
      <c r="K3581">
        <v>840661451</v>
      </c>
      <c r="P3581">
        <v>205</v>
      </c>
      <c r="Q3581" t="s">
        <v>7508</v>
      </c>
    </row>
    <row r="3582" spans="1:17" x14ac:dyDescent="0.3">
      <c r="A3582" t="s">
        <v>4664</v>
      </c>
      <c r="B3582" t="str">
        <f>"002915"</f>
        <v>002915</v>
      </c>
      <c r="C3582" t="s">
        <v>7509</v>
      </c>
      <c r="D3582" t="s">
        <v>375</v>
      </c>
      <c r="F3582">
        <v>610609858</v>
      </c>
      <c r="G3582">
        <v>451742750</v>
      </c>
      <c r="H3582">
        <v>177776989</v>
      </c>
      <c r="I3582">
        <v>120829645</v>
      </c>
      <c r="J3582">
        <v>127473094</v>
      </c>
      <c r="K3582">
        <v>193523146</v>
      </c>
      <c r="P3582">
        <v>90</v>
      </c>
      <c r="Q3582" t="s">
        <v>7510</v>
      </c>
    </row>
    <row r="3583" spans="1:17" x14ac:dyDescent="0.3">
      <c r="A3583" t="s">
        <v>4664</v>
      </c>
      <c r="B3583" t="str">
        <f>"002916"</f>
        <v>002916</v>
      </c>
      <c r="C3583" t="s">
        <v>7511</v>
      </c>
      <c r="D3583" t="s">
        <v>425</v>
      </c>
      <c r="F3583">
        <v>8460355465</v>
      </c>
      <c r="G3583">
        <v>8161284027</v>
      </c>
      <c r="H3583">
        <v>6887605630</v>
      </c>
      <c r="I3583">
        <v>4746030513</v>
      </c>
      <c r="J3583">
        <v>3692299617</v>
      </c>
      <c r="K3583">
        <v>3146176799</v>
      </c>
      <c r="P3583">
        <v>2552</v>
      </c>
      <c r="Q3583" t="s">
        <v>7512</v>
      </c>
    </row>
    <row r="3584" spans="1:17" x14ac:dyDescent="0.3">
      <c r="A3584" t="s">
        <v>4664</v>
      </c>
      <c r="B3584" t="str">
        <f>"002917"</f>
        <v>002917</v>
      </c>
      <c r="C3584" t="s">
        <v>7513</v>
      </c>
      <c r="D3584" t="s">
        <v>2713</v>
      </c>
      <c r="F3584">
        <v>336289633</v>
      </c>
      <c r="G3584">
        <v>254424287</v>
      </c>
      <c r="H3584">
        <v>178399844</v>
      </c>
      <c r="I3584">
        <v>247161064</v>
      </c>
      <c r="J3584">
        <v>217819707</v>
      </c>
      <c r="K3584">
        <v>289892371</v>
      </c>
      <c r="P3584">
        <v>67</v>
      </c>
      <c r="Q3584" t="s">
        <v>7514</v>
      </c>
    </row>
    <row r="3585" spans="1:17" x14ac:dyDescent="0.3">
      <c r="A3585" t="s">
        <v>4664</v>
      </c>
      <c r="B3585" t="str">
        <f>"002918"</f>
        <v>002918</v>
      </c>
      <c r="C3585" t="s">
        <v>7515</v>
      </c>
      <c r="D3585" t="s">
        <v>178</v>
      </c>
      <c r="F3585">
        <v>4516817653</v>
      </c>
      <c r="G3585">
        <v>3321396659</v>
      </c>
      <c r="H3585">
        <v>2885716550</v>
      </c>
      <c r="I3585">
        <v>2435406198</v>
      </c>
      <c r="J3585">
        <v>2166265247</v>
      </c>
      <c r="K3585">
        <v>1522003721</v>
      </c>
      <c r="P3585">
        <v>529</v>
      </c>
      <c r="Q3585" t="s">
        <v>7516</v>
      </c>
    </row>
    <row r="3586" spans="1:17" x14ac:dyDescent="0.3">
      <c r="A3586" t="s">
        <v>4664</v>
      </c>
      <c r="B3586" t="str">
        <f>"002919"</f>
        <v>002919</v>
      </c>
      <c r="C3586" t="s">
        <v>7517</v>
      </c>
      <c r="D3586" t="s">
        <v>569</v>
      </c>
      <c r="F3586">
        <v>577286645</v>
      </c>
      <c r="G3586">
        <v>493094959</v>
      </c>
      <c r="H3586">
        <v>415544100</v>
      </c>
      <c r="I3586">
        <v>401736574</v>
      </c>
      <c r="J3586">
        <v>465382167</v>
      </c>
      <c r="K3586">
        <v>0</v>
      </c>
      <c r="P3586">
        <v>146</v>
      </c>
      <c r="Q3586" t="s">
        <v>7518</v>
      </c>
    </row>
    <row r="3587" spans="1:17" x14ac:dyDescent="0.3">
      <c r="A3587" t="s">
        <v>4664</v>
      </c>
      <c r="B3587" t="str">
        <f>"002920"</f>
        <v>002920</v>
      </c>
      <c r="C3587" t="s">
        <v>7519</v>
      </c>
      <c r="D3587" t="s">
        <v>945</v>
      </c>
      <c r="F3587">
        <v>5707478317</v>
      </c>
      <c r="G3587">
        <v>3724638119</v>
      </c>
      <c r="H3587">
        <v>3142303316</v>
      </c>
      <c r="I3587">
        <v>4018522115</v>
      </c>
      <c r="J3587">
        <v>4664505782</v>
      </c>
      <c r="K3587">
        <v>4038555334</v>
      </c>
      <c r="P3587">
        <v>688</v>
      </c>
      <c r="Q3587" t="s">
        <v>7520</v>
      </c>
    </row>
    <row r="3588" spans="1:17" x14ac:dyDescent="0.3">
      <c r="A3588" t="s">
        <v>4664</v>
      </c>
      <c r="B3588" t="str">
        <f>"002921"</f>
        <v>002921</v>
      </c>
      <c r="C3588" t="s">
        <v>7521</v>
      </c>
      <c r="D3588" t="s">
        <v>985</v>
      </c>
      <c r="F3588">
        <v>854471647</v>
      </c>
      <c r="G3588">
        <v>572142457</v>
      </c>
      <c r="H3588">
        <v>510794731</v>
      </c>
      <c r="I3588">
        <v>462947904</v>
      </c>
      <c r="J3588">
        <v>396594268</v>
      </c>
      <c r="K3588">
        <v>387175183</v>
      </c>
      <c r="P3588">
        <v>95</v>
      </c>
      <c r="Q3588" t="s">
        <v>7522</v>
      </c>
    </row>
    <row r="3589" spans="1:17" x14ac:dyDescent="0.3">
      <c r="A3589" t="s">
        <v>4664</v>
      </c>
      <c r="B3589" t="str">
        <f>"002922"</f>
        <v>002922</v>
      </c>
      <c r="C3589" t="s">
        <v>7523</v>
      </c>
      <c r="D3589" t="s">
        <v>651</v>
      </c>
      <c r="F3589">
        <v>1303893787</v>
      </c>
      <c r="G3589">
        <v>927437929</v>
      </c>
      <c r="H3589">
        <v>937029404</v>
      </c>
      <c r="I3589">
        <v>897135085</v>
      </c>
      <c r="J3589">
        <v>771885785</v>
      </c>
      <c r="K3589">
        <v>0</v>
      </c>
      <c r="P3589">
        <v>170</v>
      </c>
      <c r="Q3589" t="s">
        <v>7524</v>
      </c>
    </row>
    <row r="3590" spans="1:17" x14ac:dyDescent="0.3">
      <c r="A3590" t="s">
        <v>4664</v>
      </c>
      <c r="B3590" t="str">
        <f>"002923"</f>
        <v>002923</v>
      </c>
      <c r="C3590" t="s">
        <v>7525</v>
      </c>
      <c r="D3590" t="s">
        <v>143</v>
      </c>
      <c r="F3590">
        <v>796317177</v>
      </c>
      <c r="G3590">
        <v>883008086</v>
      </c>
      <c r="H3590">
        <v>974243393</v>
      </c>
      <c r="I3590">
        <v>697289914</v>
      </c>
      <c r="J3590">
        <v>0</v>
      </c>
      <c r="K3590">
        <v>0</v>
      </c>
      <c r="P3590">
        <v>165</v>
      </c>
      <c r="Q3590" t="s">
        <v>7526</v>
      </c>
    </row>
    <row r="3591" spans="1:17" x14ac:dyDescent="0.3">
      <c r="A3591" t="s">
        <v>4664</v>
      </c>
      <c r="B3591" t="str">
        <f>"002925"</f>
        <v>002925</v>
      </c>
      <c r="C3591" t="s">
        <v>7527</v>
      </c>
      <c r="D3591" t="s">
        <v>313</v>
      </c>
      <c r="F3591">
        <v>5720766239</v>
      </c>
      <c r="G3591">
        <v>3127124715</v>
      </c>
      <c r="H3591">
        <v>2175579021</v>
      </c>
      <c r="I3591">
        <v>2325808274</v>
      </c>
      <c r="J3591">
        <v>1944575966</v>
      </c>
      <c r="K3591">
        <v>940410732</v>
      </c>
      <c r="P3591">
        <v>1061</v>
      </c>
      <c r="Q3591" t="s">
        <v>7528</v>
      </c>
    </row>
    <row r="3592" spans="1:17" x14ac:dyDescent="0.3">
      <c r="A3592" t="s">
        <v>4664</v>
      </c>
      <c r="B3592" t="str">
        <f>"002926"</f>
        <v>002926</v>
      </c>
      <c r="C3592" t="s">
        <v>7529</v>
      </c>
      <c r="D3592" t="s">
        <v>80</v>
      </c>
      <c r="P3592">
        <v>921</v>
      </c>
      <c r="Q3592" t="s">
        <v>7530</v>
      </c>
    </row>
    <row r="3593" spans="1:17" x14ac:dyDescent="0.3">
      <c r="A3593" t="s">
        <v>4664</v>
      </c>
      <c r="B3593" t="str">
        <f>"002927"</f>
        <v>002927</v>
      </c>
      <c r="C3593" t="s">
        <v>7531</v>
      </c>
      <c r="D3593" t="s">
        <v>657</v>
      </c>
      <c r="F3593">
        <v>578107148</v>
      </c>
      <c r="G3593">
        <v>425801400</v>
      </c>
      <c r="H3593">
        <v>325911571</v>
      </c>
      <c r="I3593">
        <v>247573733</v>
      </c>
      <c r="J3593">
        <v>0</v>
      </c>
      <c r="K3593">
        <v>0</v>
      </c>
      <c r="P3593">
        <v>117</v>
      </c>
      <c r="Q3593" t="s">
        <v>7532</v>
      </c>
    </row>
    <row r="3594" spans="1:17" x14ac:dyDescent="0.3">
      <c r="A3594" t="s">
        <v>4664</v>
      </c>
      <c r="B3594" t="str">
        <f>"002928"</f>
        <v>002928</v>
      </c>
      <c r="C3594" t="s">
        <v>7533</v>
      </c>
      <c r="D3594" t="s">
        <v>77</v>
      </c>
      <c r="F3594">
        <v>3362570579</v>
      </c>
      <c r="G3594">
        <v>3334359558</v>
      </c>
      <c r="H3594">
        <v>4065571398</v>
      </c>
      <c r="I3594">
        <v>3172650930</v>
      </c>
      <c r="J3594">
        <v>2653566577</v>
      </c>
      <c r="P3594">
        <v>333</v>
      </c>
      <c r="Q3594" t="s">
        <v>7534</v>
      </c>
    </row>
    <row r="3595" spans="1:17" x14ac:dyDescent="0.3">
      <c r="A3595" t="s">
        <v>4664</v>
      </c>
      <c r="B3595" t="str">
        <f>"002929"</f>
        <v>002929</v>
      </c>
      <c r="C3595" t="s">
        <v>7535</v>
      </c>
      <c r="D3595" t="s">
        <v>654</v>
      </c>
      <c r="F3595">
        <v>3615768330</v>
      </c>
      <c r="G3595">
        <v>2811106976</v>
      </c>
      <c r="H3595">
        <v>2168812498</v>
      </c>
      <c r="I3595">
        <v>2202652459</v>
      </c>
      <c r="J3595">
        <v>1429323522</v>
      </c>
      <c r="P3595">
        <v>270</v>
      </c>
      <c r="Q3595" t="s">
        <v>7536</v>
      </c>
    </row>
    <row r="3596" spans="1:17" x14ac:dyDescent="0.3">
      <c r="A3596" t="s">
        <v>4664</v>
      </c>
      <c r="B3596" t="str">
        <f>"002930"</f>
        <v>002930</v>
      </c>
      <c r="C3596" t="s">
        <v>7537</v>
      </c>
      <c r="D3596" t="s">
        <v>1592</v>
      </c>
      <c r="F3596">
        <v>844169654</v>
      </c>
      <c r="G3596">
        <v>583399350</v>
      </c>
      <c r="H3596">
        <v>373505645</v>
      </c>
      <c r="I3596">
        <v>302457659</v>
      </c>
      <c r="J3596">
        <v>274535881</v>
      </c>
      <c r="P3596">
        <v>160</v>
      </c>
      <c r="Q3596" t="s">
        <v>7538</v>
      </c>
    </row>
    <row r="3597" spans="1:17" x14ac:dyDescent="0.3">
      <c r="A3597" t="s">
        <v>4664</v>
      </c>
      <c r="B3597" t="str">
        <f>"002931"</f>
        <v>002931</v>
      </c>
      <c r="C3597" t="s">
        <v>7539</v>
      </c>
      <c r="D3597" t="s">
        <v>274</v>
      </c>
      <c r="F3597">
        <v>546480989</v>
      </c>
      <c r="G3597">
        <v>336031546</v>
      </c>
      <c r="H3597">
        <v>267140939</v>
      </c>
      <c r="I3597">
        <v>204840538</v>
      </c>
      <c r="J3597">
        <v>210108518</v>
      </c>
      <c r="P3597">
        <v>107</v>
      </c>
      <c r="Q3597" t="s">
        <v>7540</v>
      </c>
    </row>
    <row r="3598" spans="1:17" x14ac:dyDescent="0.3">
      <c r="A3598" t="s">
        <v>4664</v>
      </c>
      <c r="B3598" t="str">
        <f>"002932"</f>
        <v>002932</v>
      </c>
      <c r="C3598" t="s">
        <v>7541</v>
      </c>
      <c r="D3598" t="s">
        <v>1305</v>
      </c>
      <c r="F3598">
        <v>1578690245</v>
      </c>
      <c r="G3598">
        <v>533094759</v>
      </c>
      <c r="H3598">
        <v>137401215</v>
      </c>
      <c r="I3598">
        <v>127189148</v>
      </c>
      <c r="J3598">
        <v>109225673</v>
      </c>
      <c r="P3598">
        <v>423</v>
      </c>
      <c r="Q3598" t="s">
        <v>7542</v>
      </c>
    </row>
    <row r="3599" spans="1:17" x14ac:dyDescent="0.3">
      <c r="A3599" t="s">
        <v>4664</v>
      </c>
      <c r="B3599" t="str">
        <f>"002933"</f>
        <v>002933</v>
      </c>
      <c r="C3599" t="s">
        <v>7543</v>
      </c>
      <c r="D3599" t="s">
        <v>98</v>
      </c>
      <c r="F3599">
        <v>255339953</v>
      </c>
      <c r="G3599">
        <v>261602581</v>
      </c>
      <c r="H3599">
        <v>187086541</v>
      </c>
      <c r="I3599">
        <v>154155709</v>
      </c>
      <c r="J3599">
        <v>166225371</v>
      </c>
      <c r="P3599">
        <v>314</v>
      </c>
      <c r="Q3599" t="s">
        <v>7544</v>
      </c>
    </row>
    <row r="3600" spans="1:17" x14ac:dyDescent="0.3">
      <c r="A3600" t="s">
        <v>4664</v>
      </c>
      <c r="B3600" t="str">
        <f>"002935"</f>
        <v>002935</v>
      </c>
      <c r="C3600" t="s">
        <v>7545</v>
      </c>
      <c r="D3600" t="s">
        <v>1136</v>
      </c>
      <c r="F3600">
        <v>422502699</v>
      </c>
      <c r="G3600">
        <v>304040061</v>
      </c>
      <c r="H3600">
        <v>385822816</v>
      </c>
      <c r="I3600">
        <v>462968184</v>
      </c>
      <c r="J3600">
        <v>364941008</v>
      </c>
      <c r="P3600">
        <v>203</v>
      </c>
      <c r="Q3600" t="s">
        <v>7546</v>
      </c>
    </row>
    <row r="3601" spans="1:17" x14ac:dyDescent="0.3">
      <c r="A3601" t="s">
        <v>4664</v>
      </c>
      <c r="B3601" t="str">
        <f>"002936"</f>
        <v>002936</v>
      </c>
      <c r="C3601" t="s">
        <v>7547</v>
      </c>
      <c r="D3601" t="s">
        <v>1838</v>
      </c>
      <c r="P3601">
        <v>469</v>
      </c>
      <c r="Q3601" t="s">
        <v>7548</v>
      </c>
    </row>
    <row r="3602" spans="1:17" x14ac:dyDescent="0.3">
      <c r="A3602" t="s">
        <v>4664</v>
      </c>
      <c r="B3602" t="str">
        <f>"002937"</f>
        <v>002937</v>
      </c>
      <c r="C3602" t="s">
        <v>7549</v>
      </c>
      <c r="D3602" t="s">
        <v>313</v>
      </c>
      <c r="F3602">
        <v>813642973</v>
      </c>
      <c r="G3602">
        <v>697635298</v>
      </c>
      <c r="H3602">
        <v>786445421</v>
      </c>
      <c r="I3602">
        <v>768177688</v>
      </c>
      <c r="J3602">
        <v>670497170</v>
      </c>
      <c r="P3602">
        <v>209</v>
      </c>
      <c r="Q3602" t="s">
        <v>7550</v>
      </c>
    </row>
    <row r="3603" spans="1:17" x14ac:dyDescent="0.3">
      <c r="A3603" t="s">
        <v>4664</v>
      </c>
      <c r="B3603" t="str">
        <f>"002938"</f>
        <v>002938</v>
      </c>
      <c r="C3603" t="s">
        <v>7551</v>
      </c>
      <c r="D3603" t="s">
        <v>425</v>
      </c>
      <c r="F3603">
        <v>22270419421</v>
      </c>
      <c r="G3603">
        <v>18620303976</v>
      </c>
      <c r="H3603">
        <v>16921567581</v>
      </c>
      <c r="I3603">
        <v>18631266414</v>
      </c>
      <c r="J3603">
        <v>12991760749</v>
      </c>
      <c r="P3603">
        <v>961</v>
      </c>
      <c r="Q3603" t="s">
        <v>7552</v>
      </c>
    </row>
    <row r="3604" spans="1:17" x14ac:dyDescent="0.3">
      <c r="A3604" t="s">
        <v>4664</v>
      </c>
      <c r="B3604" t="str">
        <f>"002939"</f>
        <v>002939</v>
      </c>
      <c r="C3604" t="s">
        <v>7553</v>
      </c>
      <c r="D3604" t="s">
        <v>80</v>
      </c>
      <c r="P3604">
        <v>832</v>
      </c>
      <c r="Q3604" t="s">
        <v>7554</v>
      </c>
    </row>
    <row r="3605" spans="1:17" x14ac:dyDescent="0.3">
      <c r="A3605" t="s">
        <v>4664</v>
      </c>
      <c r="B3605" t="str">
        <f>"002940"</f>
        <v>002940</v>
      </c>
      <c r="C3605" t="s">
        <v>7555</v>
      </c>
      <c r="D3605" t="s">
        <v>143</v>
      </c>
      <c r="F3605">
        <v>1142063944</v>
      </c>
      <c r="G3605">
        <v>1032880811</v>
      </c>
      <c r="H3605">
        <v>1306960713</v>
      </c>
      <c r="I3605">
        <v>1075614540</v>
      </c>
      <c r="J3605">
        <v>640999563</v>
      </c>
      <c r="P3605">
        <v>148</v>
      </c>
      <c r="Q3605" t="s">
        <v>7556</v>
      </c>
    </row>
    <row r="3606" spans="1:17" x14ac:dyDescent="0.3">
      <c r="A3606" t="s">
        <v>4664</v>
      </c>
      <c r="B3606" t="str">
        <f>"002941"</f>
        <v>002941</v>
      </c>
      <c r="C3606" t="s">
        <v>7557</v>
      </c>
      <c r="D3606" t="s">
        <v>101</v>
      </c>
      <c r="F3606">
        <v>7931724085</v>
      </c>
      <c r="G3606">
        <v>5152448343</v>
      </c>
      <c r="H3606">
        <v>3768401235</v>
      </c>
      <c r="I3606">
        <v>3045612045</v>
      </c>
      <c r="J3606">
        <v>2697827900</v>
      </c>
      <c r="P3606">
        <v>145</v>
      </c>
      <c r="Q3606" t="s">
        <v>7558</v>
      </c>
    </row>
    <row r="3607" spans="1:17" x14ac:dyDescent="0.3">
      <c r="A3607" t="s">
        <v>4664</v>
      </c>
      <c r="B3607" t="str">
        <f>"002942"</f>
        <v>002942</v>
      </c>
      <c r="C3607" t="s">
        <v>7559</v>
      </c>
      <c r="D3607" t="s">
        <v>853</v>
      </c>
      <c r="F3607">
        <v>801185874</v>
      </c>
      <c r="G3607">
        <v>809116929</v>
      </c>
      <c r="H3607">
        <v>665515721</v>
      </c>
      <c r="I3607">
        <v>576676045</v>
      </c>
      <c r="J3607">
        <v>341044907</v>
      </c>
      <c r="P3607">
        <v>414</v>
      </c>
      <c r="Q3607" t="s">
        <v>7560</v>
      </c>
    </row>
    <row r="3608" spans="1:17" x14ac:dyDescent="0.3">
      <c r="A3608" t="s">
        <v>4664</v>
      </c>
      <c r="B3608" t="str">
        <f>"002943"</f>
        <v>002943</v>
      </c>
      <c r="C3608" t="s">
        <v>7561</v>
      </c>
      <c r="D3608" t="s">
        <v>2312</v>
      </c>
      <c r="F3608">
        <v>276569662</v>
      </c>
      <c r="G3608">
        <v>231493559</v>
      </c>
      <c r="H3608">
        <v>186964136</v>
      </c>
      <c r="I3608">
        <v>0</v>
      </c>
      <c r="J3608">
        <v>24278600</v>
      </c>
      <c r="P3608">
        <v>74</v>
      </c>
      <c r="Q3608" t="s">
        <v>7562</v>
      </c>
    </row>
    <row r="3609" spans="1:17" x14ac:dyDescent="0.3">
      <c r="A3609" t="s">
        <v>4664</v>
      </c>
      <c r="B3609" t="str">
        <f>"002945"</f>
        <v>002945</v>
      </c>
      <c r="C3609" t="s">
        <v>7563</v>
      </c>
      <c r="D3609" t="s">
        <v>80</v>
      </c>
      <c r="P3609">
        <v>913</v>
      </c>
      <c r="Q3609" t="s">
        <v>7564</v>
      </c>
    </row>
    <row r="3610" spans="1:17" x14ac:dyDescent="0.3">
      <c r="A3610" t="s">
        <v>4664</v>
      </c>
      <c r="B3610" t="str">
        <f>"002946"</f>
        <v>002946</v>
      </c>
      <c r="C3610" t="s">
        <v>7565</v>
      </c>
      <c r="D3610" t="s">
        <v>900</v>
      </c>
      <c r="F3610">
        <v>7369176134</v>
      </c>
      <c r="G3610">
        <v>5170950373</v>
      </c>
      <c r="H3610">
        <v>4717687657</v>
      </c>
      <c r="I3610">
        <v>4247176241</v>
      </c>
      <c r="J3610">
        <v>3720533021</v>
      </c>
      <c r="P3610">
        <v>342</v>
      </c>
      <c r="Q3610" t="s">
        <v>7566</v>
      </c>
    </row>
    <row r="3611" spans="1:17" x14ac:dyDescent="0.3">
      <c r="A3611" t="s">
        <v>4664</v>
      </c>
      <c r="B3611" t="str">
        <f>"002947"</f>
        <v>002947</v>
      </c>
      <c r="C3611" t="s">
        <v>7567</v>
      </c>
      <c r="D3611" t="s">
        <v>313</v>
      </c>
      <c r="F3611">
        <v>629388984</v>
      </c>
      <c r="G3611">
        <v>502411015</v>
      </c>
      <c r="H3611">
        <v>420855262</v>
      </c>
      <c r="I3611">
        <v>401723704</v>
      </c>
      <c r="J3611">
        <v>347862414</v>
      </c>
      <c r="P3611">
        <v>266</v>
      </c>
      <c r="Q3611" t="s">
        <v>7568</v>
      </c>
    </row>
    <row r="3612" spans="1:17" x14ac:dyDescent="0.3">
      <c r="A3612" t="s">
        <v>4664</v>
      </c>
      <c r="B3612" t="str">
        <f>"002948"</f>
        <v>002948</v>
      </c>
      <c r="C3612" t="s">
        <v>7569</v>
      </c>
      <c r="D3612" t="s">
        <v>1838</v>
      </c>
      <c r="P3612">
        <v>458</v>
      </c>
      <c r="Q3612" t="s">
        <v>7570</v>
      </c>
    </row>
    <row r="3613" spans="1:17" x14ac:dyDescent="0.3">
      <c r="A3613" t="s">
        <v>4664</v>
      </c>
      <c r="B3613" t="str">
        <f>"002949"</f>
        <v>002949</v>
      </c>
      <c r="C3613" t="s">
        <v>7571</v>
      </c>
      <c r="D3613" t="s">
        <v>1272</v>
      </c>
      <c r="F3613">
        <v>1655167211</v>
      </c>
      <c r="G3613">
        <v>943666919</v>
      </c>
      <c r="H3613">
        <v>615296749</v>
      </c>
      <c r="I3613">
        <v>568547531</v>
      </c>
      <c r="P3613">
        <v>158</v>
      </c>
      <c r="Q3613" t="s">
        <v>7572</v>
      </c>
    </row>
    <row r="3614" spans="1:17" x14ac:dyDescent="0.3">
      <c r="A3614" t="s">
        <v>4664</v>
      </c>
      <c r="B3614" t="str">
        <f>"002950"</f>
        <v>002950</v>
      </c>
      <c r="C3614" t="s">
        <v>7573</v>
      </c>
      <c r="D3614" t="s">
        <v>1077</v>
      </c>
      <c r="F3614">
        <v>2151300260</v>
      </c>
      <c r="G3614">
        <v>3263648932</v>
      </c>
      <c r="H3614">
        <v>1623782108</v>
      </c>
      <c r="I3614">
        <v>1419969082</v>
      </c>
      <c r="P3614">
        <v>1080</v>
      </c>
      <c r="Q3614" t="s">
        <v>7574</v>
      </c>
    </row>
    <row r="3615" spans="1:17" x14ac:dyDescent="0.3">
      <c r="A3615" t="s">
        <v>4664</v>
      </c>
      <c r="B3615" t="str">
        <f>"002951"</f>
        <v>002951</v>
      </c>
      <c r="C3615" t="s">
        <v>7575</v>
      </c>
      <c r="D3615" t="s">
        <v>2156</v>
      </c>
      <c r="F3615">
        <v>427836487</v>
      </c>
      <c r="G3615">
        <v>575484004</v>
      </c>
      <c r="H3615">
        <v>524843106</v>
      </c>
      <c r="I3615">
        <v>451310566</v>
      </c>
      <c r="P3615">
        <v>93</v>
      </c>
      <c r="Q3615" t="s">
        <v>7576</v>
      </c>
    </row>
    <row r="3616" spans="1:17" x14ac:dyDescent="0.3">
      <c r="A3616" t="s">
        <v>4664</v>
      </c>
      <c r="B3616" t="str">
        <f>"002952"</f>
        <v>002952</v>
      </c>
      <c r="C3616" t="s">
        <v>7577</v>
      </c>
      <c r="D3616" t="s">
        <v>1117</v>
      </c>
      <c r="F3616">
        <v>405102933</v>
      </c>
      <c r="G3616">
        <v>332994602</v>
      </c>
      <c r="H3616">
        <v>342141213</v>
      </c>
      <c r="I3616">
        <v>353098288</v>
      </c>
      <c r="J3616">
        <v>324880149</v>
      </c>
      <c r="P3616">
        <v>79</v>
      </c>
      <c r="Q3616" t="s">
        <v>7578</v>
      </c>
    </row>
    <row r="3617" spans="1:17" x14ac:dyDescent="0.3">
      <c r="A3617" t="s">
        <v>4664</v>
      </c>
      <c r="B3617" t="str">
        <f>"002953"</f>
        <v>002953</v>
      </c>
      <c r="C3617" t="s">
        <v>7579</v>
      </c>
      <c r="D3617" t="s">
        <v>1164</v>
      </c>
      <c r="F3617">
        <v>2111814696</v>
      </c>
      <c r="G3617">
        <v>921887682</v>
      </c>
      <c r="H3617">
        <v>1022753477</v>
      </c>
      <c r="I3617">
        <v>1051455849</v>
      </c>
      <c r="P3617">
        <v>99</v>
      </c>
      <c r="Q3617" t="s">
        <v>7580</v>
      </c>
    </row>
    <row r="3618" spans="1:17" x14ac:dyDescent="0.3">
      <c r="A3618" t="s">
        <v>4664</v>
      </c>
      <c r="B3618" t="str">
        <f>"002955"</f>
        <v>002955</v>
      </c>
      <c r="C3618" t="s">
        <v>7581</v>
      </c>
      <c r="D3618" t="s">
        <v>1117</v>
      </c>
      <c r="F3618">
        <v>4147063112</v>
      </c>
      <c r="G3618">
        <v>2927681135</v>
      </c>
      <c r="H3618">
        <v>3378155223</v>
      </c>
      <c r="I3618">
        <v>3555593982</v>
      </c>
      <c r="P3618">
        <v>167</v>
      </c>
      <c r="Q3618" t="s">
        <v>7582</v>
      </c>
    </row>
    <row r="3619" spans="1:17" x14ac:dyDescent="0.3">
      <c r="A3619" t="s">
        <v>4664</v>
      </c>
      <c r="B3619" t="str">
        <f>"002956"</f>
        <v>002956</v>
      </c>
      <c r="C3619" t="s">
        <v>7583</v>
      </c>
      <c r="D3619" t="s">
        <v>2479</v>
      </c>
      <c r="F3619">
        <v>812104739</v>
      </c>
      <c r="G3619">
        <v>758956928</v>
      </c>
      <c r="H3619">
        <v>686529951</v>
      </c>
      <c r="I3619">
        <v>641521154</v>
      </c>
      <c r="P3619">
        <v>281</v>
      </c>
      <c r="Q3619" t="s">
        <v>7584</v>
      </c>
    </row>
    <row r="3620" spans="1:17" x14ac:dyDescent="0.3">
      <c r="A3620" t="s">
        <v>4664</v>
      </c>
      <c r="B3620" t="str">
        <f>"002957"</f>
        <v>002957</v>
      </c>
      <c r="C3620" t="s">
        <v>7585</v>
      </c>
      <c r="D3620" t="s">
        <v>2423</v>
      </c>
      <c r="F3620">
        <v>1427868220</v>
      </c>
      <c r="G3620">
        <v>1354031971</v>
      </c>
      <c r="H3620">
        <v>1196683193</v>
      </c>
      <c r="I3620">
        <v>1407801932</v>
      </c>
      <c r="P3620">
        <v>182</v>
      </c>
      <c r="Q3620" t="s">
        <v>7586</v>
      </c>
    </row>
    <row r="3621" spans="1:17" x14ac:dyDescent="0.3">
      <c r="A3621" t="s">
        <v>4664</v>
      </c>
      <c r="B3621" t="str">
        <f>"002958"</f>
        <v>002958</v>
      </c>
      <c r="C3621" t="s">
        <v>7587</v>
      </c>
      <c r="D3621" t="s">
        <v>1827</v>
      </c>
      <c r="P3621">
        <v>416</v>
      </c>
      <c r="Q3621" t="s">
        <v>7588</v>
      </c>
    </row>
    <row r="3622" spans="1:17" x14ac:dyDescent="0.3">
      <c r="A3622" t="s">
        <v>4664</v>
      </c>
      <c r="B3622" t="str">
        <f>"002959"</f>
        <v>002959</v>
      </c>
      <c r="C3622" t="s">
        <v>7589</v>
      </c>
      <c r="D3622" t="s">
        <v>5712</v>
      </c>
      <c r="F3622">
        <v>2557503828</v>
      </c>
      <c r="G3622">
        <v>2814338679</v>
      </c>
      <c r="H3622">
        <v>1893516207</v>
      </c>
      <c r="I3622">
        <v>1514668255</v>
      </c>
      <c r="P3622">
        <v>1479</v>
      </c>
      <c r="Q3622" t="s">
        <v>7590</v>
      </c>
    </row>
    <row r="3623" spans="1:17" x14ac:dyDescent="0.3">
      <c r="A3623" t="s">
        <v>4664</v>
      </c>
      <c r="B3623" t="str">
        <f>"002960"</f>
        <v>002960</v>
      </c>
      <c r="C3623" t="s">
        <v>7591</v>
      </c>
      <c r="D3623" t="s">
        <v>1689</v>
      </c>
      <c r="F3623">
        <v>1947720399</v>
      </c>
      <c r="G3623">
        <v>1135659333</v>
      </c>
      <c r="H3623">
        <v>1023112267</v>
      </c>
      <c r="I3623">
        <v>853814992</v>
      </c>
      <c r="P3623">
        <v>389</v>
      </c>
      <c r="Q3623" t="s">
        <v>7592</v>
      </c>
    </row>
    <row r="3624" spans="1:17" x14ac:dyDescent="0.3">
      <c r="A3624" t="s">
        <v>4664</v>
      </c>
      <c r="B3624" t="str">
        <f>"002961"</f>
        <v>002961</v>
      </c>
      <c r="C3624" t="s">
        <v>7593</v>
      </c>
      <c r="D3624" t="s">
        <v>1843</v>
      </c>
      <c r="P3624">
        <v>121</v>
      </c>
      <c r="Q3624" t="s">
        <v>7594</v>
      </c>
    </row>
    <row r="3625" spans="1:17" x14ac:dyDescent="0.3">
      <c r="A3625" t="s">
        <v>4664</v>
      </c>
      <c r="B3625" t="str">
        <f>"002962"</f>
        <v>002962</v>
      </c>
      <c r="C3625" t="s">
        <v>7595</v>
      </c>
      <c r="D3625" t="s">
        <v>164</v>
      </c>
      <c r="F3625">
        <v>525100242</v>
      </c>
      <c r="G3625">
        <v>493517258</v>
      </c>
      <c r="H3625">
        <v>477653309</v>
      </c>
      <c r="I3625">
        <v>441732371</v>
      </c>
      <c r="P3625">
        <v>137</v>
      </c>
      <c r="Q3625" t="s">
        <v>7596</v>
      </c>
    </row>
    <row r="3626" spans="1:17" x14ac:dyDescent="0.3">
      <c r="A3626" t="s">
        <v>4664</v>
      </c>
      <c r="B3626" t="str">
        <f>"002963"</f>
        <v>002963</v>
      </c>
      <c r="C3626" t="s">
        <v>7597</v>
      </c>
      <c r="D3626" t="s">
        <v>450</v>
      </c>
      <c r="F3626">
        <v>533246493</v>
      </c>
      <c r="G3626">
        <v>337770877</v>
      </c>
      <c r="H3626">
        <v>657124789</v>
      </c>
      <c r="I3626">
        <v>393100026</v>
      </c>
      <c r="P3626">
        <v>75</v>
      </c>
      <c r="Q3626" t="s">
        <v>7598</v>
      </c>
    </row>
    <row r="3627" spans="1:17" x14ac:dyDescent="0.3">
      <c r="A3627" t="s">
        <v>4664</v>
      </c>
      <c r="B3627" t="str">
        <f>"002965"</f>
        <v>002965</v>
      </c>
      <c r="C3627" t="s">
        <v>7599</v>
      </c>
      <c r="D3627" t="s">
        <v>274</v>
      </c>
      <c r="F3627">
        <v>1479838389</v>
      </c>
      <c r="G3627">
        <v>1321391603</v>
      </c>
      <c r="H3627">
        <v>1188794693</v>
      </c>
      <c r="I3627">
        <v>1186612519</v>
      </c>
      <c r="P3627">
        <v>400</v>
      </c>
      <c r="Q3627" t="s">
        <v>7600</v>
      </c>
    </row>
    <row r="3628" spans="1:17" x14ac:dyDescent="0.3">
      <c r="A3628" t="s">
        <v>4664</v>
      </c>
      <c r="B3628" t="str">
        <f>"002966"</f>
        <v>002966</v>
      </c>
      <c r="C3628" t="s">
        <v>7601</v>
      </c>
      <c r="D3628" t="s">
        <v>1838</v>
      </c>
      <c r="P3628">
        <v>365</v>
      </c>
      <c r="Q3628" t="s">
        <v>7602</v>
      </c>
    </row>
    <row r="3629" spans="1:17" x14ac:dyDescent="0.3">
      <c r="A3629" t="s">
        <v>4664</v>
      </c>
      <c r="B3629" t="str">
        <f>"002967"</f>
        <v>002967</v>
      </c>
      <c r="C3629" t="s">
        <v>7603</v>
      </c>
      <c r="D3629" t="s">
        <v>2499</v>
      </c>
      <c r="F3629">
        <v>1350997934</v>
      </c>
      <c r="G3629">
        <v>1057168944</v>
      </c>
      <c r="H3629">
        <v>867026837</v>
      </c>
      <c r="I3629">
        <v>644000371</v>
      </c>
      <c r="P3629">
        <v>236</v>
      </c>
      <c r="Q3629" t="s">
        <v>7604</v>
      </c>
    </row>
    <row r="3630" spans="1:17" x14ac:dyDescent="0.3">
      <c r="A3630" t="s">
        <v>4664</v>
      </c>
      <c r="B3630" t="str">
        <f>"002968"</f>
        <v>002968</v>
      </c>
      <c r="C3630" t="s">
        <v>7605</v>
      </c>
      <c r="D3630" t="s">
        <v>2948</v>
      </c>
      <c r="F3630">
        <v>1295292496</v>
      </c>
      <c r="G3630">
        <v>825165087</v>
      </c>
      <c r="H3630">
        <v>705450307</v>
      </c>
      <c r="I3630">
        <v>615886090</v>
      </c>
      <c r="P3630">
        <v>234</v>
      </c>
      <c r="Q3630" t="s">
        <v>7606</v>
      </c>
    </row>
    <row r="3631" spans="1:17" x14ac:dyDescent="0.3">
      <c r="A3631" t="s">
        <v>4664</v>
      </c>
      <c r="B3631" t="str">
        <f>"002969"</f>
        <v>002969</v>
      </c>
      <c r="C3631" t="s">
        <v>7607</v>
      </c>
      <c r="D3631" t="s">
        <v>2364</v>
      </c>
      <c r="F3631">
        <v>2522643568</v>
      </c>
      <c r="G3631">
        <v>1330932939</v>
      </c>
      <c r="H3631">
        <v>1773600487</v>
      </c>
      <c r="I3631">
        <v>1835430543</v>
      </c>
      <c r="P3631">
        <v>78</v>
      </c>
      <c r="Q3631" t="s">
        <v>7608</v>
      </c>
    </row>
    <row r="3632" spans="1:17" x14ac:dyDescent="0.3">
      <c r="A3632" t="s">
        <v>4664</v>
      </c>
      <c r="B3632" t="str">
        <f>"002970"</f>
        <v>002970</v>
      </c>
      <c r="C3632" t="s">
        <v>7609</v>
      </c>
      <c r="D3632" t="s">
        <v>236</v>
      </c>
      <c r="F3632">
        <v>1323697894</v>
      </c>
      <c r="G3632">
        <v>1104335559</v>
      </c>
      <c r="H3632">
        <v>971850889</v>
      </c>
      <c r="I3632">
        <v>713701712</v>
      </c>
      <c r="P3632">
        <v>563</v>
      </c>
      <c r="Q3632" t="s">
        <v>7610</v>
      </c>
    </row>
    <row r="3633" spans="1:17" x14ac:dyDescent="0.3">
      <c r="A3633" t="s">
        <v>4664</v>
      </c>
      <c r="B3633" t="str">
        <f>"002971"</f>
        <v>002971</v>
      </c>
      <c r="C3633" t="s">
        <v>7611</v>
      </c>
      <c r="D3633" t="s">
        <v>386</v>
      </c>
      <c r="F3633">
        <v>551949765</v>
      </c>
      <c r="G3633">
        <v>459703280</v>
      </c>
      <c r="H3633">
        <v>386707222</v>
      </c>
      <c r="P3633">
        <v>70</v>
      </c>
      <c r="Q3633" t="s">
        <v>7612</v>
      </c>
    </row>
    <row r="3634" spans="1:17" x14ac:dyDescent="0.3">
      <c r="A3634" t="s">
        <v>4664</v>
      </c>
      <c r="B3634" t="str">
        <f>"002972"</f>
        <v>002972</v>
      </c>
      <c r="C3634" t="s">
        <v>7613</v>
      </c>
      <c r="D3634" t="s">
        <v>1012</v>
      </c>
      <c r="F3634">
        <v>165916894</v>
      </c>
      <c r="G3634">
        <v>166559961</v>
      </c>
      <c r="H3634">
        <v>196579946</v>
      </c>
      <c r="I3634">
        <v>128043796</v>
      </c>
      <c r="P3634">
        <v>188</v>
      </c>
      <c r="Q3634" t="s">
        <v>7614</v>
      </c>
    </row>
    <row r="3635" spans="1:17" x14ac:dyDescent="0.3">
      <c r="A3635" t="s">
        <v>4664</v>
      </c>
      <c r="B3635" t="str">
        <f>"002973"</f>
        <v>002973</v>
      </c>
      <c r="C3635" t="s">
        <v>7615</v>
      </c>
      <c r="D3635" t="s">
        <v>499</v>
      </c>
      <c r="F3635">
        <v>2082070773</v>
      </c>
      <c r="G3635">
        <v>2005394453</v>
      </c>
      <c r="H3635">
        <v>1411765317</v>
      </c>
      <c r="I3635">
        <v>1059098730</v>
      </c>
      <c r="P3635">
        <v>212</v>
      </c>
      <c r="Q3635" t="s">
        <v>7616</v>
      </c>
    </row>
    <row r="3636" spans="1:17" x14ac:dyDescent="0.3">
      <c r="A3636" t="s">
        <v>4664</v>
      </c>
      <c r="B3636" t="str">
        <f>"002975"</f>
        <v>002975</v>
      </c>
      <c r="C3636" t="s">
        <v>7617</v>
      </c>
      <c r="D3636" t="s">
        <v>2423</v>
      </c>
      <c r="F3636">
        <v>868397710</v>
      </c>
      <c r="G3636">
        <v>783089526</v>
      </c>
      <c r="H3636">
        <v>652316715</v>
      </c>
      <c r="I3636">
        <v>424711063</v>
      </c>
      <c r="P3636">
        <v>293</v>
      </c>
      <c r="Q3636" t="s">
        <v>7618</v>
      </c>
    </row>
    <row r="3637" spans="1:17" x14ac:dyDescent="0.3">
      <c r="A3637" t="s">
        <v>4664</v>
      </c>
      <c r="B3637" t="str">
        <f>"002976"</f>
        <v>002976</v>
      </c>
      <c r="C3637" t="s">
        <v>7619</v>
      </c>
      <c r="D3637" t="s">
        <v>313</v>
      </c>
      <c r="F3637">
        <v>603793959</v>
      </c>
      <c r="G3637">
        <v>408322830</v>
      </c>
      <c r="H3637">
        <v>459863531</v>
      </c>
      <c r="P3637">
        <v>104</v>
      </c>
      <c r="Q3637" t="s">
        <v>7620</v>
      </c>
    </row>
    <row r="3638" spans="1:17" x14ac:dyDescent="0.3">
      <c r="A3638" t="s">
        <v>4664</v>
      </c>
      <c r="B3638" t="str">
        <f>"002977"</f>
        <v>002977</v>
      </c>
      <c r="C3638" t="s">
        <v>7621</v>
      </c>
      <c r="D3638" t="s">
        <v>1136</v>
      </c>
      <c r="F3638">
        <v>122151160</v>
      </c>
      <c r="G3638">
        <v>56629518</v>
      </c>
      <c r="H3638">
        <v>133132200</v>
      </c>
      <c r="P3638">
        <v>126</v>
      </c>
      <c r="Q3638" t="s">
        <v>7622</v>
      </c>
    </row>
    <row r="3639" spans="1:17" x14ac:dyDescent="0.3">
      <c r="A3639" t="s">
        <v>4664</v>
      </c>
      <c r="B3639" t="str">
        <f>"002978"</f>
        <v>002978</v>
      </c>
      <c r="C3639" t="s">
        <v>7623</v>
      </c>
      <c r="D3639" t="s">
        <v>636</v>
      </c>
      <c r="F3639">
        <v>1773721471</v>
      </c>
      <c r="G3639">
        <v>1399957082</v>
      </c>
      <c r="H3639">
        <v>921556773</v>
      </c>
      <c r="P3639">
        <v>229</v>
      </c>
      <c r="Q3639" t="s">
        <v>7624</v>
      </c>
    </row>
    <row r="3640" spans="1:17" x14ac:dyDescent="0.3">
      <c r="A3640" t="s">
        <v>4664</v>
      </c>
      <c r="B3640" t="str">
        <f>"002979"</f>
        <v>002979</v>
      </c>
      <c r="C3640" t="s">
        <v>7625</v>
      </c>
      <c r="D3640" t="s">
        <v>2911</v>
      </c>
      <c r="F3640">
        <v>793982703</v>
      </c>
      <c r="G3640">
        <v>564476850</v>
      </c>
      <c r="H3640">
        <v>434866632</v>
      </c>
      <c r="P3640">
        <v>196</v>
      </c>
      <c r="Q3640" t="s">
        <v>7626</v>
      </c>
    </row>
    <row r="3641" spans="1:17" x14ac:dyDescent="0.3">
      <c r="A3641" t="s">
        <v>4664</v>
      </c>
      <c r="B3641" t="str">
        <f>"002980"</f>
        <v>002980</v>
      </c>
      <c r="C3641" t="s">
        <v>7627</v>
      </c>
      <c r="D3641" t="s">
        <v>2171</v>
      </c>
      <c r="F3641">
        <v>581914814</v>
      </c>
      <c r="G3641">
        <v>821342806</v>
      </c>
      <c r="H3641">
        <v>375102508</v>
      </c>
      <c r="P3641">
        <v>154</v>
      </c>
      <c r="Q3641" t="s">
        <v>7628</v>
      </c>
    </row>
    <row r="3642" spans="1:17" x14ac:dyDescent="0.3">
      <c r="A3642" t="s">
        <v>4664</v>
      </c>
      <c r="B3642" t="str">
        <f>"002981"</f>
        <v>002981</v>
      </c>
      <c r="C3642" t="s">
        <v>7629</v>
      </c>
      <c r="D3642" t="s">
        <v>313</v>
      </c>
      <c r="F3642">
        <v>887011629</v>
      </c>
      <c r="G3642">
        <v>773689248</v>
      </c>
      <c r="H3642">
        <v>484394200</v>
      </c>
      <c r="I3642">
        <v>527819182</v>
      </c>
      <c r="P3642">
        <v>73</v>
      </c>
      <c r="Q3642" t="s">
        <v>7630</v>
      </c>
    </row>
    <row r="3643" spans="1:17" x14ac:dyDescent="0.3">
      <c r="A3643" t="s">
        <v>4664</v>
      </c>
      <c r="B3643" t="str">
        <f>"002982"</f>
        <v>002982</v>
      </c>
      <c r="C3643" t="s">
        <v>7631</v>
      </c>
      <c r="D3643" t="s">
        <v>6173</v>
      </c>
      <c r="F3643">
        <v>2237221054</v>
      </c>
      <c r="G3643">
        <v>1538724969</v>
      </c>
      <c r="H3643">
        <v>1301599852</v>
      </c>
      <c r="P3643">
        <v>131</v>
      </c>
      <c r="Q3643" t="s">
        <v>7632</v>
      </c>
    </row>
    <row r="3644" spans="1:17" x14ac:dyDescent="0.3">
      <c r="A3644" t="s">
        <v>4664</v>
      </c>
      <c r="B3644" t="str">
        <f>"002983"</f>
        <v>002983</v>
      </c>
      <c r="C3644" t="s">
        <v>7633</v>
      </c>
      <c r="D3644" t="s">
        <v>803</v>
      </c>
      <c r="F3644">
        <v>457337253</v>
      </c>
      <c r="G3644">
        <v>393643998</v>
      </c>
      <c r="H3644">
        <v>341228238</v>
      </c>
      <c r="P3644">
        <v>109</v>
      </c>
      <c r="Q3644" t="s">
        <v>7634</v>
      </c>
    </row>
    <row r="3645" spans="1:17" x14ac:dyDescent="0.3">
      <c r="A3645" t="s">
        <v>4664</v>
      </c>
      <c r="B3645" t="str">
        <f>"002984"</f>
        <v>002984</v>
      </c>
      <c r="C3645" t="s">
        <v>7635</v>
      </c>
      <c r="D3645" t="s">
        <v>422</v>
      </c>
      <c r="F3645">
        <v>3746074198</v>
      </c>
      <c r="G3645">
        <v>3299250035</v>
      </c>
      <c r="H3645">
        <v>3441902564</v>
      </c>
      <c r="P3645">
        <v>203</v>
      </c>
      <c r="Q3645" t="s">
        <v>7636</v>
      </c>
    </row>
    <row r="3646" spans="1:17" x14ac:dyDescent="0.3">
      <c r="A3646" t="s">
        <v>4664</v>
      </c>
      <c r="B3646" t="str">
        <f>"002985"</f>
        <v>002985</v>
      </c>
      <c r="C3646" t="s">
        <v>7637</v>
      </c>
      <c r="D3646" t="s">
        <v>98</v>
      </c>
      <c r="F3646">
        <v>531906461</v>
      </c>
      <c r="G3646">
        <v>113774187</v>
      </c>
      <c r="H3646">
        <v>106897492</v>
      </c>
      <c r="P3646">
        <v>548</v>
      </c>
      <c r="Q3646" t="s">
        <v>7638</v>
      </c>
    </row>
    <row r="3647" spans="1:17" x14ac:dyDescent="0.3">
      <c r="A3647" t="s">
        <v>4664</v>
      </c>
      <c r="B3647" t="str">
        <f>"002986"</f>
        <v>002986</v>
      </c>
      <c r="C3647" t="s">
        <v>7639</v>
      </c>
      <c r="D3647" t="s">
        <v>1615</v>
      </c>
      <c r="F3647">
        <v>2151930463</v>
      </c>
      <c r="G3647">
        <v>1791700181</v>
      </c>
      <c r="H3647">
        <v>2488466113</v>
      </c>
      <c r="P3647">
        <v>58</v>
      </c>
      <c r="Q3647" t="s">
        <v>7640</v>
      </c>
    </row>
    <row r="3648" spans="1:17" x14ac:dyDescent="0.3">
      <c r="A3648" t="s">
        <v>4664</v>
      </c>
      <c r="B3648" t="str">
        <f>"002987"</f>
        <v>002987</v>
      </c>
      <c r="C3648" t="s">
        <v>7641</v>
      </c>
      <c r="D3648" t="s">
        <v>945</v>
      </c>
      <c r="F3648">
        <v>1658178133</v>
      </c>
      <c r="G3648">
        <v>1149682431</v>
      </c>
      <c r="H3648">
        <v>911636188</v>
      </c>
      <c r="P3648">
        <v>127</v>
      </c>
      <c r="Q3648" t="s">
        <v>7642</v>
      </c>
    </row>
    <row r="3649" spans="1:17" x14ac:dyDescent="0.3">
      <c r="A3649" t="s">
        <v>4664</v>
      </c>
      <c r="B3649" t="str">
        <f>"002988"</f>
        <v>002988</v>
      </c>
      <c r="C3649" t="s">
        <v>7643</v>
      </c>
      <c r="D3649" t="s">
        <v>504</v>
      </c>
      <c r="F3649">
        <v>3348520848</v>
      </c>
      <c r="G3649">
        <v>2048202006</v>
      </c>
      <c r="H3649">
        <v>2133834144</v>
      </c>
      <c r="P3649">
        <v>61</v>
      </c>
      <c r="Q3649" t="s">
        <v>7644</v>
      </c>
    </row>
    <row r="3650" spans="1:17" x14ac:dyDescent="0.3">
      <c r="A3650" t="s">
        <v>4664</v>
      </c>
      <c r="B3650" t="str">
        <f>"002989"</f>
        <v>002989</v>
      </c>
      <c r="C3650" t="s">
        <v>7645</v>
      </c>
      <c r="D3650" t="s">
        <v>450</v>
      </c>
      <c r="F3650">
        <v>1563316149</v>
      </c>
      <c r="G3650">
        <v>1683136178</v>
      </c>
      <c r="H3650">
        <v>1337098333</v>
      </c>
      <c r="I3650">
        <v>835104900</v>
      </c>
      <c r="P3650">
        <v>137</v>
      </c>
      <c r="Q3650" t="s">
        <v>7646</v>
      </c>
    </row>
    <row r="3651" spans="1:17" x14ac:dyDescent="0.3">
      <c r="A3651" t="s">
        <v>4664</v>
      </c>
      <c r="B3651" t="str">
        <f>"002990"</f>
        <v>002990</v>
      </c>
      <c r="C3651" t="s">
        <v>7647</v>
      </c>
      <c r="D3651" t="s">
        <v>236</v>
      </c>
      <c r="F3651">
        <v>771142922</v>
      </c>
      <c r="G3651">
        <v>377416611</v>
      </c>
      <c r="H3651">
        <v>372482203</v>
      </c>
      <c r="P3651">
        <v>109</v>
      </c>
      <c r="Q3651" t="s">
        <v>7648</v>
      </c>
    </row>
    <row r="3652" spans="1:17" x14ac:dyDescent="0.3">
      <c r="A3652" t="s">
        <v>4664</v>
      </c>
      <c r="B3652" t="str">
        <f>"002991"</f>
        <v>002991</v>
      </c>
      <c r="C3652" t="s">
        <v>7649</v>
      </c>
      <c r="D3652" t="s">
        <v>3167</v>
      </c>
      <c r="F3652">
        <v>966506825</v>
      </c>
      <c r="G3652">
        <v>871687739</v>
      </c>
      <c r="H3652">
        <v>831348850</v>
      </c>
      <c r="P3652">
        <v>211</v>
      </c>
      <c r="Q3652" t="s">
        <v>7650</v>
      </c>
    </row>
    <row r="3653" spans="1:17" x14ac:dyDescent="0.3">
      <c r="A3653" t="s">
        <v>4664</v>
      </c>
      <c r="B3653" t="str">
        <f>"002992"</f>
        <v>002992</v>
      </c>
      <c r="C3653" t="s">
        <v>7651</v>
      </c>
      <c r="D3653" t="s">
        <v>1117</v>
      </c>
      <c r="F3653">
        <v>845216326</v>
      </c>
      <c r="G3653">
        <v>1152021720</v>
      </c>
      <c r="H3653">
        <v>1320251096</v>
      </c>
      <c r="P3653">
        <v>51</v>
      </c>
      <c r="Q3653" t="s">
        <v>7652</v>
      </c>
    </row>
    <row r="3654" spans="1:17" x14ac:dyDescent="0.3">
      <c r="A3654" t="s">
        <v>4664</v>
      </c>
      <c r="B3654" t="str">
        <f>"002993"</f>
        <v>002993</v>
      </c>
      <c r="C3654" t="s">
        <v>7653</v>
      </c>
      <c r="D3654" t="s">
        <v>313</v>
      </c>
      <c r="F3654">
        <v>2982835941</v>
      </c>
      <c r="G3654">
        <v>2055279308</v>
      </c>
      <c r="H3654">
        <v>1676016054</v>
      </c>
      <c r="P3654">
        <v>145</v>
      </c>
      <c r="Q3654" t="s">
        <v>7654</v>
      </c>
    </row>
    <row r="3655" spans="1:17" x14ac:dyDescent="0.3">
      <c r="A3655" t="s">
        <v>4664</v>
      </c>
      <c r="B3655" t="str">
        <f>"002995"</f>
        <v>002995</v>
      </c>
      <c r="C3655" t="s">
        <v>7655</v>
      </c>
      <c r="D3655" t="s">
        <v>207</v>
      </c>
      <c r="F3655">
        <v>3218713507</v>
      </c>
      <c r="G3655">
        <v>2376713799</v>
      </c>
      <c r="H3655">
        <v>1821692672</v>
      </c>
      <c r="P3655">
        <v>74</v>
      </c>
      <c r="Q3655" t="s">
        <v>7656</v>
      </c>
    </row>
    <row r="3656" spans="1:17" x14ac:dyDescent="0.3">
      <c r="A3656" t="s">
        <v>4664</v>
      </c>
      <c r="B3656" t="str">
        <f>"002996"</f>
        <v>002996</v>
      </c>
      <c r="C3656" t="s">
        <v>7657</v>
      </c>
      <c r="D3656" t="s">
        <v>504</v>
      </c>
      <c r="F3656">
        <v>7952528162</v>
      </c>
      <c r="G3656">
        <v>4019751724</v>
      </c>
      <c r="H3656">
        <v>3741712091</v>
      </c>
      <c r="P3656">
        <v>73</v>
      </c>
      <c r="Q3656" t="s">
        <v>7658</v>
      </c>
    </row>
    <row r="3657" spans="1:17" x14ac:dyDescent="0.3">
      <c r="A3657" t="s">
        <v>4664</v>
      </c>
      <c r="B3657" t="str">
        <f>"002997"</f>
        <v>002997</v>
      </c>
      <c r="C3657" t="s">
        <v>7659</v>
      </c>
      <c r="D3657" t="s">
        <v>985</v>
      </c>
      <c r="F3657">
        <v>785442254</v>
      </c>
      <c r="G3657">
        <v>705414517</v>
      </c>
      <c r="H3657">
        <v>618658586</v>
      </c>
      <c r="P3657">
        <v>85</v>
      </c>
      <c r="Q3657" t="s">
        <v>7660</v>
      </c>
    </row>
    <row r="3658" spans="1:17" x14ac:dyDescent="0.3">
      <c r="A3658" t="s">
        <v>4664</v>
      </c>
      <c r="B3658" t="str">
        <f>"002998"</f>
        <v>002998</v>
      </c>
      <c r="C3658" t="s">
        <v>7661</v>
      </c>
      <c r="D3658" t="s">
        <v>2708</v>
      </c>
      <c r="F3658">
        <v>955499151</v>
      </c>
      <c r="G3658">
        <v>849981655</v>
      </c>
      <c r="H3658">
        <v>942229008</v>
      </c>
      <c r="P3658">
        <v>36</v>
      </c>
      <c r="Q3658" t="s">
        <v>7662</v>
      </c>
    </row>
    <row r="3659" spans="1:17" x14ac:dyDescent="0.3">
      <c r="A3659" t="s">
        <v>4664</v>
      </c>
      <c r="B3659" t="str">
        <f>"002999"</f>
        <v>002999</v>
      </c>
      <c r="C3659" t="s">
        <v>7663</v>
      </c>
      <c r="D3659" t="s">
        <v>5489</v>
      </c>
      <c r="F3659">
        <v>9314495089</v>
      </c>
      <c r="G3659">
        <v>8209968873</v>
      </c>
      <c r="H3659">
        <v>7745937842</v>
      </c>
      <c r="P3659">
        <v>45</v>
      </c>
      <c r="Q3659" t="s">
        <v>7664</v>
      </c>
    </row>
    <row r="3660" spans="1:17" x14ac:dyDescent="0.3">
      <c r="A3660" t="s">
        <v>4664</v>
      </c>
      <c r="B3660" t="str">
        <f>"003000"</f>
        <v>003000</v>
      </c>
      <c r="C3660" t="s">
        <v>7665</v>
      </c>
      <c r="D3660" t="s">
        <v>3167</v>
      </c>
      <c r="F3660">
        <v>858498058</v>
      </c>
      <c r="G3660">
        <v>769525046</v>
      </c>
      <c r="H3660">
        <v>723948423</v>
      </c>
      <c r="P3660">
        <v>84</v>
      </c>
      <c r="Q3660" t="s">
        <v>7666</v>
      </c>
    </row>
    <row r="3661" spans="1:17" x14ac:dyDescent="0.3">
      <c r="A3661" t="s">
        <v>4664</v>
      </c>
      <c r="B3661" t="str">
        <f>"003001"</f>
        <v>003001</v>
      </c>
      <c r="C3661" t="s">
        <v>7667</v>
      </c>
      <c r="D3661" t="s">
        <v>1986</v>
      </c>
      <c r="F3661">
        <v>637763921</v>
      </c>
      <c r="G3661">
        <v>639078807</v>
      </c>
      <c r="H3661">
        <v>548998206</v>
      </c>
      <c r="P3661">
        <v>95</v>
      </c>
      <c r="Q3661" t="s">
        <v>7668</v>
      </c>
    </row>
    <row r="3662" spans="1:17" x14ac:dyDescent="0.3">
      <c r="A3662" t="s">
        <v>4664</v>
      </c>
      <c r="B3662" t="str">
        <f>"003002"</f>
        <v>003002</v>
      </c>
      <c r="C3662" t="s">
        <v>7669</v>
      </c>
      <c r="D3662" t="s">
        <v>2713</v>
      </c>
      <c r="F3662">
        <v>384818206</v>
      </c>
      <c r="G3662">
        <v>340575308</v>
      </c>
      <c r="H3662">
        <v>324670892</v>
      </c>
      <c r="P3662">
        <v>39</v>
      </c>
      <c r="Q3662" t="s">
        <v>7670</v>
      </c>
    </row>
    <row r="3663" spans="1:17" x14ac:dyDescent="0.3">
      <c r="A3663" t="s">
        <v>4664</v>
      </c>
      <c r="B3663" t="str">
        <f>"003003"</f>
        <v>003003</v>
      </c>
      <c r="C3663" t="s">
        <v>7671</v>
      </c>
      <c r="D3663" t="s">
        <v>2439</v>
      </c>
      <c r="F3663">
        <v>892094704</v>
      </c>
      <c r="G3663">
        <v>781531686</v>
      </c>
      <c r="H3663">
        <v>716660161</v>
      </c>
      <c r="J3663">
        <v>568519955</v>
      </c>
      <c r="P3663">
        <v>39</v>
      </c>
      <c r="Q3663" t="s">
        <v>7672</v>
      </c>
    </row>
    <row r="3664" spans="1:17" x14ac:dyDescent="0.3">
      <c r="A3664" t="s">
        <v>4664</v>
      </c>
      <c r="B3664" t="str">
        <f>"003004"</f>
        <v>003004</v>
      </c>
      <c r="C3664" t="s">
        <v>7673</v>
      </c>
      <c r="D3664" t="s">
        <v>2953</v>
      </c>
      <c r="F3664">
        <v>207963444</v>
      </c>
      <c r="G3664">
        <v>248288589</v>
      </c>
      <c r="H3664">
        <v>149332892</v>
      </c>
      <c r="P3664">
        <v>37</v>
      </c>
      <c r="Q3664" t="s">
        <v>7674</v>
      </c>
    </row>
    <row r="3665" spans="1:17" x14ac:dyDescent="0.3">
      <c r="A3665" t="s">
        <v>4664</v>
      </c>
      <c r="B3665" t="str">
        <f>"003005"</f>
        <v>003005</v>
      </c>
      <c r="C3665" t="s">
        <v>7675</v>
      </c>
      <c r="D3665" t="s">
        <v>316</v>
      </c>
      <c r="F3665">
        <v>375785307</v>
      </c>
      <c r="G3665">
        <v>388259089</v>
      </c>
      <c r="H3665">
        <v>415961331</v>
      </c>
      <c r="P3665">
        <v>68</v>
      </c>
      <c r="Q3665" t="s">
        <v>7676</v>
      </c>
    </row>
    <row r="3666" spans="1:17" x14ac:dyDescent="0.3">
      <c r="A3666" t="s">
        <v>4664</v>
      </c>
      <c r="B3666" t="str">
        <f>"003006"</f>
        <v>003006</v>
      </c>
      <c r="C3666" t="s">
        <v>7677</v>
      </c>
      <c r="D3666" t="s">
        <v>2728</v>
      </c>
      <c r="F3666">
        <v>1181143225</v>
      </c>
      <c r="G3666">
        <v>1041205771</v>
      </c>
      <c r="H3666">
        <v>870543205</v>
      </c>
      <c r="P3666">
        <v>172</v>
      </c>
      <c r="Q3666" t="s">
        <v>7678</v>
      </c>
    </row>
    <row r="3667" spans="1:17" x14ac:dyDescent="0.3">
      <c r="A3667" t="s">
        <v>4664</v>
      </c>
      <c r="B3667" t="str">
        <f>"003007"</f>
        <v>003007</v>
      </c>
      <c r="C3667" t="s">
        <v>7679</v>
      </c>
      <c r="D3667" t="s">
        <v>945</v>
      </c>
      <c r="F3667">
        <v>274593446</v>
      </c>
      <c r="G3667">
        <v>300098976</v>
      </c>
      <c r="H3667">
        <v>259702370</v>
      </c>
      <c r="P3667">
        <v>38</v>
      </c>
      <c r="Q3667" t="s">
        <v>7680</v>
      </c>
    </row>
    <row r="3668" spans="1:17" x14ac:dyDescent="0.3">
      <c r="A3668" t="s">
        <v>4664</v>
      </c>
      <c r="B3668" t="str">
        <f>"003008"</f>
        <v>003008</v>
      </c>
      <c r="C3668" t="s">
        <v>7681</v>
      </c>
      <c r="D3668" t="s">
        <v>2499</v>
      </c>
      <c r="F3668">
        <v>102012964</v>
      </c>
      <c r="G3668">
        <v>121757463</v>
      </c>
      <c r="H3668">
        <v>156699849</v>
      </c>
      <c r="P3668">
        <v>68</v>
      </c>
      <c r="Q3668" t="s">
        <v>7682</v>
      </c>
    </row>
    <row r="3669" spans="1:17" x14ac:dyDescent="0.3">
      <c r="A3669" t="s">
        <v>4664</v>
      </c>
      <c r="B3669" t="str">
        <f>"003009"</f>
        <v>003009</v>
      </c>
      <c r="C3669" t="s">
        <v>7683</v>
      </c>
      <c r="D3669" t="s">
        <v>284</v>
      </c>
      <c r="F3669">
        <v>420736745</v>
      </c>
      <c r="G3669">
        <v>299983837</v>
      </c>
      <c r="H3669">
        <v>366199008</v>
      </c>
      <c r="P3669">
        <v>105</v>
      </c>
      <c r="Q3669" t="s">
        <v>7684</v>
      </c>
    </row>
    <row r="3670" spans="1:17" x14ac:dyDescent="0.3">
      <c r="A3670" t="s">
        <v>4664</v>
      </c>
      <c r="B3670" t="str">
        <f>"003010"</f>
        <v>003010</v>
      </c>
      <c r="C3670" t="s">
        <v>7685</v>
      </c>
      <c r="D3670" t="s">
        <v>3590</v>
      </c>
      <c r="F3670">
        <v>990814563</v>
      </c>
      <c r="G3670">
        <v>846915636</v>
      </c>
      <c r="H3670">
        <v>778850834</v>
      </c>
      <c r="P3670">
        <v>58</v>
      </c>
      <c r="Q3670" t="s">
        <v>7686</v>
      </c>
    </row>
    <row r="3671" spans="1:17" x14ac:dyDescent="0.3">
      <c r="A3671" t="s">
        <v>4664</v>
      </c>
      <c r="B3671" t="str">
        <f>"003011"</f>
        <v>003011</v>
      </c>
      <c r="C3671" t="s">
        <v>7687</v>
      </c>
      <c r="D3671" t="s">
        <v>178</v>
      </c>
      <c r="F3671">
        <v>1144132897</v>
      </c>
      <c r="G3671">
        <v>964235293</v>
      </c>
      <c r="H3671">
        <v>602961876</v>
      </c>
      <c r="P3671">
        <v>89</v>
      </c>
      <c r="Q3671" t="s">
        <v>7688</v>
      </c>
    </row>
    <row r="3672" spans="1:17" x14ac:dyDescent="0.3">
      <c r="A3672" t="s">
        <v>4664</v>
      </c>
      <c r="B3672" t="str">
        <f>"003012"</f>
        <v>003012</v>
      </c>
      <c r="C3672" t="s">
        <v>7689</v>
      </c>
      <c r="D3672" t="s">
        <v>178</v>
      </c>
      <c r="F3672">
        <v>6817952771</v>
      </c>
      <c r="G3672">
        <v>5666751483</v>
      </c>
      <c r="H3672">
        <v>5596065055</v>
      </c>
      <c r="P3672">
        <v>120</v>
      </c>
      <c r="Q3672" t="s">
        <v>7690</v>
      </c>
    </row>
    <row r="3673" spans="1:17" x14ac:dyDescent="0.3">
      <c r="A3673" t="s">
        <v>4664</v>
      </c>
      <c r="B3673" t="str">
        <f>"003013"</f>
        <v>003013</v>
      </c>
      <c r="C3673" t="s">
        <v>7691</v>
      </c>
      <c r="D3673" t="s">
        <v>1272</v>
      </c>
      <c r="F3673">
        <v>1167175146</v>
      </c>
      <c r="G3673">
        <v>1215373273</v>
      </c>
      <c r="H3673">
        <v>825018268</v>
      </c>
      <c r="P3673">
        <v>101</v>
      </c>
      <c r="Q3673" t="s">
        <v>7692</v>
      </c>
    </row>
    <row r="3674" spans="1:17" x14ac:dyDescent="0.3">
      <c r="A3674" t="s">
        <v>4664</v>
      </c>
      <c r="B3674" t="str">
        <f>"003015"</f>
        <v>003015</v>
      </c>
      <c r="C3674" t="s">
        <v>7693</v>
      </c>
      <c r="D3674" t="s">
        <v>164</v>
      </c>
      <c r="F3674">
        <v>307618678</v>
      </c>
      <c r="G3674">
        <v>269479646</v>
      </c>
      <c r="H3674">
        <v>306397557</v>
      </c>
      <c r="P3674">
        <v>46</v>
      </c>
      <c r="Q3674" t="s">
        <v>7694</v>
      </c>
    </row>
    <row r="3675" spans="1:17" x14ac:dyDescent="0.3">
      <c r="A3675" t="s">
        <v>4664</v>
      </c>
      <c r="B3675" t="str">
        <f>"003016"</f>
        <v>003016</v>
      </c>
      <c r="C3675" t="s">
        <v>7695</v>
      </c>
      <c r="D3675" t="s">
        <v>255</v>
      </c>
      <c r="F3675">
        <v>1577968909</v>
      </c>
      <c r="G3675">
        <v>1299462004</v>
      </c>
      <c r="H3675">
        <v>1437279948</v>
      </c>
      <c r="P3675">
        <v>58</v>
      </c>
      <c r="Q3675" t="s">
        <v>7696</v>
      </c>
    </row>
    <row r="3676" spans="1:17" x14ac:dyDescent="0.3">
      <c r="A3676" t="s">
        <v>4664</v>
      </c>
      <c r="B3676" t="str">
        <f>"003017"</f>
        <v>003017</v>
      </c>
      <c r="C3676" t="s">
        <v>7697</v>
      </c>
      <c r="D3676" t="s">
        <v>736</v>
      </c>
      <c r="F3676">
        <v>544699753</v>
      </c>
      <c r="G3676">
        <v>427484816</v>
      </c>
      <c r="H3676">
        <v>411158884</v>
      </c>
      <c r="P3676">
        <v>39</v>
      </c>
      <c r="Q3676" t="s">
        <v>7698</v>
      </c>
    </row>
    <row r="3677" spans="1:17" x14ac:dyDescent="0.3">
      <c r="A3677" t="s">
        <v>4664</v>
      </c>
      <c r="B3677" t="str">
        <f>"003018"</f>
        <v>003018</v>
      </c>
      <c r="C3677" t="s">
        <v>7699</v>
      </c>
      <c r="D3677" t="s">
        <v>485</v>
      </c>
      <c r="F3677">
        <v>496577544</v>
      </c>
      <c r="G3677">
        <v>416020071</v>
      </c>
      <c r="H3677">
        <v>500010980</v>
      </c>
      <c r="P3677">
        <v>38</v>
      </c>
      <c r="Q3677" t="s">
        <v>7700</v>
      </c>
    </row>
    <row r="3678" spans="1:17" x14ac:dyDescent="0.3">
      <c r="A3678" t="s">
        <v>4664</v>
      </c>
      <c r="B3678" t="str">
        <f>"003019"</f>
        <v>003019</v>
      </c>
      <c r="C3678" t="s">
        <v>7701</v>
      </c>
      <c r="D3678" t="s">
        <v>1117</v>
      </c>
      <c r="F3678">
        <v>940098705</v>
      </c>
      <c r="G3678">
        <v>1024041716</v>
      </c>
      <c r="H3678">
        <v>945298074</v>
      </c>
      <c r="P3678">
        <v>62</v>
      </c>
      <c r="Q3678" t="s">
        <v>7702</v>
      </c>
    </row>
    <row r="3679" spans="1:17" x14ac:dyDescent="0.3">
      <c r="A3679" t="s">
        <v>4664</v>
      </c>
      <c r="B3679" t="str">
        <f>"003020"</f>
        <v>003020</v>
      </c>
      <c r="C3679" t="s">
        <v>7703</v>
      </c>
      <c r="D3679" t="s">
        <v>143</v>
      </c>
      <c r="F3679">
        <v>1373875514</v>
      </c>
      <c r="G3679">
        <v>1194715974</v>
      </c>
      <c r="H3679">
        <v>959965109</v>
      </c>
      <c r="P3679">
        <v>78</v>
      </c>
      <c r="Q3679" t="s">
        <v>7704</v>
      </c>
    </row>
    <row r="3680" spans="1:17" x14ac:dyDescent="0.3">
      <c r="A3680" t="s">
        <v>4664</v>
      </c>
      <c r="B3680" t="str">
        <f>"003021"</f>
        <v>003021</v>
      </c>
      <c r="C3680" t="s">
        <v>7705</v>
      </c>
      <c r="D3680" t="s">
        <v>1171</v>
      </c>
      <c r="F3680">
        <v>949034672</v>
      </c>
      <c r="G3680">
        <v>960523945</v>
      </c>
      <c r="H3680">
        <v>1244001712</v>
      </c>
      <c r="P3680">
        <v>80</v>
      </c>
      <c r="Q3680" t="s">
        <v>7706</v>
      </c>
    </row>
    <row r="3681" spans="1:17" x14ac:dyDescent="0.3">
      <c r="A3681" t="s">
        <v>4664</v>
      </c>
      <c r="B3681" t="str">
        <f>"003022"</f>
        <v>003022</v>
      </c>
      <c r="C3681" t="s">
        <v>7707</v>
      </c>
      <c r="D3681" t="s">
        <v>478</v>
      </c>
      <c r="F3681">
        <v>7742676786</v>
      </c>
      <c r="G3681">
        <v>4392240834</v>
      </c>
      <c r="H3681">
        <v>4737755520</v>
      </c>
      <c r="P3681">
        <v>205</v>
      </c>
      <c r="Q3681" t="s">
        <v>7708</v>
      </c>
    </row>
    <row r="3682" spans="1:17" x14ac:dyDescent="0.3">
      <c r="A3682" t="s">
        <v>4664</v>
      </c>
      <c r="B3682" t="str">
        <f>"003023"</f>
        <v>003023</v>
      </c>
      <c r="C3682" t="s">
        <v>7709</v>
      </c>
      <c r="D3682" t="s">
        <v>5712</v>
      </c>
      <c r="F3682">
        <v>956616435</v>
      </c>
      <c r="G3682">
        <v>813763530</v>
      </c>
      <c r="H3682">
        <v>939009529</v>
      </c>
      <c r="P3682">
        <v>49</v>
      </c>
      <c r="Q3682" t="s">
        <v>7710</v>
      </c>
    </row>
    <row r="3683" spans="1:17" x14ac:dyDescent="0.3">
      <c r="A3683" t="s">
        <v>4664</v>
      </c>
      <c r="B3683" t="str">
        <f>"003025"</f>
        <v>003025</v>
      </c>
      <c r="C3683" t="s">
        <v>7711</v>
      </c>
      <c r="D3683" t="s">
        <v>2312</v>
      </c>
      <c r="F3683">
        <v>257567296</v>
      </c>
      <c r="G3683">
        <v>160586976</v>
      </c>
      <c r="H3683">
        <v>149459125</v>
      </c>
      <c r="P3683">
        <v>118</v>
      </c>
      <c r="Q3683" t="s">
        <v>7712</v>
      </c>
    </row>
    <row r="3684" spans="1:17" x14ac:dyDescent="0.3">
      <c r="A3684" t="s">
        <v>4664</v>
      </c>
      <c r="B3684" t="str">
        <f>"003026"</f>
        <v>003026</v>
      </c>
      <c r="C3684" t="s">
        <v>7713</v>
      </c>
      <c r="D3684" t="s">
        <v>475</v>
      </c>
      <c r="F3684">
        <v>167021310</v>
      </c>
      <c r="G3684">
        <v>142086988</v>
      </c>
      <c r="H3684">
        <v>111039241</v>
      </c>
      <c r="P3684">
        <v>106</v>
      </c>
      <c r="Q3684" t="s">
        <v>7714</v>
      </c>
    </row>
    <row r="3685" spans="1:17" x14ac:dyDescent="0.3">
      <c r="A3685" t="s">
        <v>4664</v>
      </c>
      <c r="B3685" t="str">
        <f>"003027"</f>
        <v>003027</v>
      </c>
      <c r="C3685" t="s">
        <v>7715</v>
      </c>
      <c r="D3685" t="s">
        <v>663</v>
      </c>
      <c r="F3685">
        <v>352143109</v>
      </c>
      <c r="G3685">
        <v>388181785</v>
      </c>
      <c r="H3685">
        <v>283909375</v>
      </c>
      <c r="P3685">
        <v>58</v>
      </c>
      <c r="Q3685" t="s">
        <v>7716</v>
      </c>
    </row>
    <row r="3686" spans="1:17" x14ac:dyDescent="0.3">
      <c r="A3686" t="s">
        <v>4664</v>
      </c>
      <c r="B3686" t="str">
        <f>"003028"</f>
        <v>003028</v>
      </c>
      <c r="C3686" t="s">
        <v>7717</v>
      </c>
      <c r="D3686" t="s">
        <v>313</v>
      </c>
      <c r="F3686">
        <v>845613138</v>
      </c>
      <c r="G3686">
        <v>502659673</v>
      </c>
      <c r="H3686">
        <v>356704466</v>
      </c>
      <c r="P3686">
        <v>83</v>
      </c>
      <c r="Q3686" t="s">
        <v>7718</v>
      </c>
    </row>
    <row r="3687" spans="1:17" x14ac:dyDescent="0.3">
      <c r="A3687" t="s">
        <v>4664</v>
      </c>
      <c r="B3687" t="str">
        <f>"003029"</f>
        <v>003029</v>
      </c>
      <c r="C3687" t="s">
        <v>7719</v>
      </c>
      <c r="D3687" t="s">
        <v>945</v>
      </c>
      <c r="F3687">
        <v>462540443</v>
      </c>
      <c r="G3687">
        <v>301831960</v>
      </c>
      <c r="H3687">
        <v>303566443</v>
      </c>
      <c r="P3687">
        <v>75</v>
      </c>
      <c r="Q3687" t="s">
        <v>7720</v>
      </c>
    </row>
    <row r="3688" spans="1:17" x14ac:dyDescent="0.3">
      <c r="A3688" t="s">
        <v>4664</v>
      </c>
      <c r="B3688" t="str">
        <f>"003030"</f>
        <v>003030</v>
      </c>
      <c r="C3688" t="s">
        <v>7721</v>
      </c>
      <c r="D3688" t="s">
        <v>445</v>
      </c>
      <c r="F3688">
        <v>1020591668</v>
      </c>
      <c r="G3688">
        <v>984839741</v>
      </c>
      <c r="H3688">
        <v>845247671</v>
      </c>
      <c r="P3688">
        <v>60</v>
      </c>
      <c r="Q3688" t="s">
        <v>7722</v>
      </c>
    </row>
    <row r="3689" spans="1:17" x14ac:dyDescent="0.3">
      <c r="A3689" t="s">
        <v>4664</v>
      </c>
      <c r="B3689" t="str">
        <f>"003031"</f>
        <v>003031</v>
      </c>
      <c r="C3689" t="s">
        <v>7723</v>
      </c>
      <c r="D3689" t="s">
        <v>786</v>
      </c>
      <c r="F3689">
        <v>506003576</v>
      </c>
      <c r="G3689">
        <v>393981933</v>
      </c>
      <c r="H3689">
        <v>0</v>
      </c>
      <c r="P3689">
        <v>87</v>
      </c>
      <c r="Q3689" t="s">
        <v>7724</v>
      </c>
    </row>
    <row r="3690" spans="1:17" x14ac:dyDescent="0.3">
      <c r="A3690" t="s">
        <v>4664</v>
      </c>
      <c r="B3690" t="str">
        <f>"003032"</f>
        <v>003032</v>
      </c>
      <c r="C3690" t="s">
        <v>7725</v>
      </c>
      <c r="D3690" t="s">
        <v>1336</v>
      </c>
      <c r="F3690">
        <v>541883806</v>
      </c>
      <c r="G3690">
        <v>0</v>
      </c>
      <c r="H3690">
        <v>0</v>
      </c>
      <c r="P3690">
        <v>59</v>
      </c>
      <c r="Q3690" t="s">
        <v>7726</v>
      </c>
    </row>
    <row r="3691" spans="1:17" x14ac:dyDescent="0.3">
      <c r="A3691" t="s">
        <v>4664</v>
      </c>
      <c r="B3691" t="str">
        <f>"003033"</f>
        <v>003033</v>
      </c>
      <c r="C3691" t="s">
        <v>7727</v>
      </c>
      <c r="D3691" t="s">
        <v>1654</v>
      </c>
      <c r="F3691">
        <v>850550196</v>
      </c>
      <c r="G3691">
        <v>682747957</v>
      </c>
      <c r="H3691">
        <v>510887814</v>
      </c>
      <c r="P3691">
        <v>67</v>
      </c>
      <c r="Q3691" t="s">
        <v>7728</v>
      </c>
    </row>
    <row r="3692" spans="1:17" x14ac:dyDescent="0.3">
      <c r="A3692" t="s">
        <v>4664</v>
      </c>
      <c r="B3692" t="str">
        <f>"003035"</f>
        <v>003035</v>
      </c>
      <c r="C3692" t="s">
        <v>7729</v>
      </c>
      <c r="D3692" t="s">
        <v>239</v>
      </c>
      <c r="F3692">
        <v>1433900925</v>
      </c>
      <c r="G3692">
        <v>1084440265</v>
      </c>
      <c r="H3692">
        <v>850305627</v>
      </c>
      <c r="P3692">
        <v>278</v>
      </c>
      <c r="Q3692" t="s">
        <v>7730</v>
      </c>
    </row>
    <row r="3693" spans="1:17" x14ac:dyDescent="0.3">
      <c r="A3693" t="s">
        <v>4664</v>
      </c>
      <c r="B3693" t="str">
        <f>"003036"</f>
        <v>003036</v>
      </c>
      <c r="C3693" t="s">
        <v>7731</v>
      </c>
      <c r="D3693" t="s">
        <v>534</v>
      </c>
      <c r="F3693">
        <v>736160227</v>
      </c>
      <c r="G3693">
        <v>434164025</v>
      </c>
      <c r="H3693">
        <v>506326924</v>
      </c>
      <c r="P3693">
        <v>37</v>
      </c>
      <c r="Q3693" t="s">
        <v>7732</v>
      </c>
    </row>
    <row r="3694" spans="1:17" x14ac:dyDescent="0.3">
      <c r="A3694" t="s">
        <v>4664</v>
      </c>
      <c r="B3694" t="str">
        <f>"003037"</f>
        <v>003037</v>
      </c>
      <c r="C3694" t="s">
        <v>7733</v>
      </c>
      <c r="D3694" t="s">
        <v>3320</v>
      </c>
      <c r="F3694">
        <v>4788487286</v>
      </c>
      <c r="G3694">
        <v>3930755775</v>
      </c>
      <c r="H3694">
        <v>3196312310</v>
      </c>
      <c r="P3694">
        <v>40</v>
      </c>
      <c r="Q3694" t="s">
        <v>7734</v>
      </c>
    </row>
    <row r="3695" spans="1:17" x14ac:dyDescent="0.3">
      <c r="A3695" t="s">
        <v>4664</v>
      </c>
      <c r="B3695" t="str">
        <f>"003038"</f>
        <v>003038</v>
      </c>
      <c r="C3695" t="s">
        <v>7735</v>
      </c>
      <c r="D3695" t="s">
        <v>504</v>
      </c>
      <c r="F3695">
        <v>1718211654</v>
      </c>
      <c r="G3695">
        <v>864544712</v>
      </c>
      <c r="P3695">
        <v>74</v>
      </c>
      <c r="Q3695" t="s">
        <v>7736</v>
      </c>
    </row>
    <row r="3696" spans="1:17" x14ac:dyDescent="0.3">
      <c r="A3696" t="s">
        <v>4664</v>
      </c>
      <c r="B3696" t="str">
        <f>"003039"</f>
        <v>003039</v>
      </c>
      <c r="C3696" t="s">
        <v>7737</v>
      </c>
      <c r="D3696" t="s">
        <v>33</v>
      </c>
      <c r="F3696">
        <v>1020033254</v>
      </c>
      <c r="P3696">
        <v>64</v>
      </c>
      <c r="Q3696" t="s">
        <v>7738</v>
      </c>
    </row>
    <row r="3697" spans="1:17" x14ac:dyDescent="0.3">
      <c r="A3697" t="s">
        <v>4664</v>
      </c>
      <c r="B3697" t="str">
        <f>"003040"</f>
        <v>003040</v>
      </c>
      <c r="C3697" t="s">
        <v>7739</v>
      </c>
      <c r="D3697" t="s">
        <v>786</v>
      </c>
      <c r="F3697">
        <v>771169233</v>
      </c>
      <c r="G3697">
        <v>574752460</v>
      </c>
      <c r="P3697">
        <v>61</v>
      </c>
      <c r="Q3697" t="s">
        <v>7740</v>
      </c>
    </row>
    <row r="3698" spans="1:17" x14ac:dyDescent="0.3">
      <c r="A3698" t="s">
        <v>4664</v>
      </c>
      <c r="B3698" t="str">
        <f>"003041"</f>
        <v>003041</v>
      </c>
      <c r="C3698" t="s">
        <v>7741</v>
      </c>
      <c r="D3698" t="s">
        <v>2862</v>
      </c>
      <c r="F3698">
        <v>593577488</v>
      </c>
      <c r="P3698">
        <v>30</v>
      </c>
      <c r="Q3698" t="s">
        <v>7742</v>
      </c>
    </row>
    <row r="3699" spans="1:17" x14ac:dyDescent="0.3">
      <c r="A3699" t="s">
        <v>4664</v>
      </c>
      <c r="B3699" t="str">
        <f>"003042"</f>
        <v>003042</v>
      </c>
      <c r="C3699" t="s">
        <v>7743</v>
      </c>
      <c r="D3699" t="s">
        <v>853</v>
      </c>
      <c r="F3699">
        <v>756055913</v>
      </c>
      <c r="G3699">
        <v>591065364</v>
      </c>
      <c r="H3699">
        <v>657526586</v>
      </c>
      <c r="P3699">
        <v>29</v>
      </c>
      <c r="Q3699" t="s">
        <v>7744</v>
      </c>
    </row>
    <row r="3700" spans="1:17" x14ac:dyDescent="0.3">
      <c r="A3700" t="s">
        <v>4664</v>
      </c>
      <c r="B3700" t="str">
        <f>"003043"</f>
        <v>003043</v>
      </c>
      <c r="C3700" t="s">
        <v>7745</v>
      </c>
      <c r="D3700" t="s">
        <v>3160</v>
      </c>
      <c r="F3700">
        <v>284903485</v>
      </c>
      <c r="P3700">
        <v>46</v>
      </c>
      <c r="Q3700" t="s">
        <v>7746</v>
      </c>
    </row>
    <row r="3701" spans="1:17" x14ac:dyDescent="0.3">
      <c r="A3701" t="s">
        <v>4664</v>
      </c>
      <c r="B3701" t="str">
        <f>"003816"</f>
        <v>003816</v>
      </c>
      <c r="C3701" t="s">
        <v>7747</v>
      </c>
      <c r="D3701" t="s">
        <v>2372</v>
      </c>
      <c r="F3701">
        <v>66257794645</v>
      </c>
      <c r="G3701">
        <v>59581471133</v>
      </c>
      <c r="H3701">
        <v>49987589211</v>
      </c>
      <c r="I3701">
        <v>44287168389</v>
      </c>
      <c r="J3701">
        <v>39620289458</v>
      </c>
      <c r="P3701">
        <v>523</v>
      </c>
      <c r="Q3701" t="s">
        <v>7748</v>
      </c>
    </row>
    <row r="3702" spans="1:17" x14ac:dyDescent="0.3">
      <c r="A3702" t="s">
        <v>4664</v>
      </c>
      <c r="B3702" t="str">
        <f>"200002"</f>
        <v>200002</v>
      </c>
      <c r="C3702" t="s">
        <v>7749</v>
      </c>
      <c r="K3702">
        <v>238946218197.82501</v>
      </c>
      <c r="L3702">
        <v>150304965609.85999</v>
      </c>
      <c r="M3702">
        <v>133458027632.41499</v>
      </c>
      <c r="N3702">
        <v>133436126632.075</v>
      </c>
      <c r="O3702">
        <v>95274478894.162292</v>
      </c>
      <c r="P3702">
        <v>22</v>
      </c>
      <c r="Q3702" t="s">
        <v>7750</v>
      </c>
    </row>
    <row r="3703" spans="1:17" x14ac:dyDescent="0.3">
      <c r="A3703" t="s">
        <v>4664</v>
      </c>
      <c r="B3703" t="str">
        <f>"200011"</f>
        <v>200011</v>
      </c>
      <c r="C3703" t="s">
        <v>7751</v>
      </c>
      <c r="F3703">
        <v>4867478072.5124998</v>
      </c>
      <c r="G3703">
        <v>3296201402.6129999</v>
      </c>
      <c r="H3703">
        <v>3633408568.4096999</v>
      </c>
      <c r="I3703">
        <v>1475924527.3613999</v>
      </c>
      <c r="J3703">
        <v>1214517322.6733999</v>
      </c>
      <c r="K3703">
        <v>3804103259.1766</v>
      </c>
      <c r="L3703">
        <v>1126278120.7557001</v>
      </c>
      <c r="M3703">
        <v>1073630259.1545</v>
      </c>
      <c r="N3703">
        <v>1133156421.8171999</v>
      </c>
      <c r="O3703">
        <v>1956783446.1919999</v>
      </c>
      <c r="P3703">
        <v>176</v>
      </c>
      <c r="Q3703" t="s">
        <v>7752</v>
      </c>
    </row>
    <row r="3704" spans="1:17" x14ac:dyDescent="0.3">
      <c r="A3704" t="s">
        <v>4664</v>
      </c>
      <c r="B3704" t="str">
        <f>"200012"</f>
        <v>200012</v>
      </c>
      <c r="C3704" t="s">
        <v>7753</v>
      </c>
      <c r="F3704">
        <v>13407955931.3888</v>
      </c>
      <c r="G3704">
        <v>9010248686.6697006</v>
      </c>
      <c r="H3704">
        <v>9239724287.9792995</v>
      </c>
      <c r="I3704">
        <v>10108454056.2537</v>
      </c>
      <c r="J3704">
        <v>10226888551.779301</v>
      </c>
      <c r="K3704">
        <v>8678015133.6466999</v>
      </c>
      <c r="L3704">
        <v>7131790719.7454996</v>
      </c>
      <c r="M3704">
        <v>7373316975.8331003</v>
      </c>
      <c r="N3704">
        <v>8168406469.4097004</v>
      </c>
      <c r="O3704">
        <v>7671675934.8495998</v>
      </c>
      <c r="P3704">
        <v>85</v>
      </c>
      <c r="Q3704" t="s">
        <v>7754</v>
      </c>
    </row>
    <row r="3705" spans="1:17" x14ac:dyDescent="0.3">
      <c r="A3705" t="s">
        <v>4664</v>
      </c>
      <c r="B3705" t="str">
        <f>"200015"</f>
        <v>200015</v>
      </c>
      <c r="C3705" t="s">
        <v>7755</v>
      </c>
      <c r="K3705">
        <v>468174914.0697</v>
      </c>
      <c r="P3705">
        <v>0</v>
      </c>
      <c r="Q3705" t="s">
        <v>7756</v>
      </c>
    </row>
    <row r="3706" spans="1:17" x14ac:dyDescent="0.3">
      <c r="A3706" t="s">
        <v>4664</v>
      </c>
      <c r="B3706" t="str">
        <f>"200016"</f>
        <v>200016</v>
      </c>
      <c r="C3706" t="s">
        <v>7757</v>
      </c>
      <c r="F3706">
        <v>36666608722.332397</v>
      </c>
      <c r="G3706">
        <v>33180181303.640099</v>
      </c>
      <c r="H3706">
        <v>45453360397.7164</v>
      </c>
      <c r="I3706">
        <v>27877179459.805199</v>
      </c>
      <c r="J3706">
        <v>25760790672.8577</v>
      </c>
      <c r="K3706">
        <v>17646336658.851898</v>
      </c>
      <c r="L3706">
        <v>17047388620.062</v>
      </c>
      <c r="M3706">
        <v>15890988187.9041</v>
      </c>
      <c r="N3706">
        <v>17680716441.646198</v>
      </c>
      <c r="O3706">
        <v>14899807744.3496</v>
      </c>
      <c r="P3706">
        <v>36</v>
      </c>
      <c r="Q3706" t="s">
        <v>7758</v>
      </c>
    </row>
    <row r="3707" spans="1:17" x14ac:dyDescent="0.3">
      <c r="A3707" t="s">
        <v>4664</v>
      </c>
      <c r="B3707" t="str">
        <f>"200017"</f>
        <v>200017</v>
      </c>
      <c r="C3707" t="s">
        <v>7759</v>
      </c>
      <c r="F3707">
        <v>92967551.964200005</v>
      </c>
      <c r="G3707">
        <v>54475645.8288</v>
      </c>
      <c r="H3707">
        <v>23935023.468699999</v>
      </c>
      <c r="I3707">
        <v>31670400.717300002</v>
      </c>
      <c r="J3707">
        <v>43281302.862599999</v>
      </c>
      <c r="K3707">
        <v>59559246.129500002</v>
      </c>
      <c r="L3707">
        <v>87545140.023000002</v>
      </c>
      <c r="M3707">
        <v>102578456.5194</v>
      </c>
      <c r="N3707">
        <v>144995956.51859999</v>
      </c>
      <c r="O3707">
        <v>176912600.81119999</v>
      </c>
      <c r="P3707">
        <v>3</v>
      </c>
      <c r="Q3707" t="s">
        <v>7760</v>
      </c>
    </row>
    <row r="3708" spans="1:17" x14ac:dyDescent="0.3">
      <c r="A3708" t="s">
        <v>4664</v>
      </c>
      <c r="B3708" t="str">
        <f>"200018"</f>
        <v>200018</v>
      </c>
      <c r="C3708" t="s">
        <v>7761</v>
      </c>
      <c r="H3708">
        <v>794480007.33389997</v>
      </c>
      <c r="I3708">
        <v>3204988474.0142999</v>
      </c>
      <c r="J3708">
        <v>3727871190.1197</v>
      </c>
      <c r="K3708">
        <v>1819903397.0125999</v>
      </c>
      <c r="L3708">
        <v>1681567475.9939001</v>
      </c>
      <c r="M3708">
        <v>12064827.0666</v>
      </c>
      <c r="N3708">
        <v>10943403.728399999</v>
      </c>
      <c r="O3708">
        <v>9041055.4343999997</v>
      </c>
      <c r="P3708">
        <v>13</v>
      </c>
      <c r="Q3708" t="s">
        <v>7762</v>
      </c>
    </row>
    <row r="3709" spans="1:17" x14ac:dyDescent="0.3">
      <c r="A3709" t="s">
        <v>4664</v>
      </c>
      <c r="B3709" t="str">
        <f>"200019"</f>
        <v>200019</v>
      </c>
      <c r="C3709" t="s">
        <v>7763</v>
      </c>
      <c r="F3709">
        <v>9291916964.8829002</v>
      </c>
      <c r="G3709">
        <v>9146861164.6112995</v>
      </c>
      <c r="H3709">
        <v>8172523883.1773005</v>
      </c>
      <c r="I3709">
        <v>298731355.71899998</v>
      </c>
      <c r="J3709">
        <v>275353695.3096</v>
      </c>
      <c r="K3709">
        <v>311409487.2414</v>
      </c>
      <c r="L3709">
        <v>392222660.21130002</v>
      </c>
      <c r="M3709">
        <v>304024268.81040001</v>
      </c>
      <c r="N3709">
        <v>455915539.43279999</v>
      </c>
      <c r="O3709">
        <v>289533484.7568</v>
      </c>
      <c r="P3709">
        <v>23</v>
      </c>
      <c r="Q3709" t="s">
        <v>7764</v>
      </c>
    </row>
    <row r="3710" spans="1:17" x14ac:dyDescent="0.3">
      <c r="A3710" t="s">
        <v>4664</v>
      </c>
      <c r="B3710" t="str">
        <f>"200020"</f>
        <v>200020</v>
      </c>
      <c r="C3710" t="s">
        <v>7765</v>
      </c>
      <c r="F3710">
        <v>462352522.70709997</v>
      </c>
      <c r="G3710">
        <v>459680414.52179998</v>
      </c>
      <c r="H3710">
        <v>454811056.37050003</v>
      </c>
      <c r="I3710">
        <v>360335740.45200002</v>
      </c>
      <c r="J3710">
        <v>482913193.23210001</v>
      </c>
      <c r="K3710">
        <v>298391796.4386</v>
      </c>
      <c r="L3710">
        <v>350399569.60619998</v>
      </c>
      <c r="M3710">
        <v>322596029.20020002</v>
      </c>
      <c r="N3710">
        <v>481735951.24229997</v>
      </c>
      <c r="O3710">
        <v>664969539.49600005</v>
      </c>
      <c r="P3710">
        <v>6</v>
      </c>
      <c r="Q3710" t="s">
        <v>7766</v>
      </c>
    </row>
    <row r="3711" spans="1:17" x14ac:dyDescent="0.3">
      <c r="A3711" t="s">
        <v>4664</v>
      </c>
      <c r="B3711" t="str">
        <f>"200022"</f>
        <v>200022</v>
      </c>
      <c r="C3711" t="s">
        <v>7767</v>
      </c>
      <c r="I3711">
        <v>1819986836.8896</v>
      </c>
      <c r="J3711">
        <v>2213730639.9783001</v>
      </c>
      <c r="K3711">
        <v>1630444538.3692999</v>
      </c>
      <c r="L3711">
        <v>1645145999.1851001</v>
      </c>
      <c r="M3711">
        <v>1668704366.569</v>
      </c>
      <c r="N3711">
        <v>1692061090.7886</v>
      </c>
      <c r="O3711">
        <v>1602440574.2416</v>
      </c>
      <c r="P3711">
        <v>41</v>
      </c>
      <c r="Q3711" t="s">
        <v>7768</v>
      </c>
    </row>
    <row r="3712" spans="1:17" x14ac:dyDescent="0.3">
      <c r="A3712" t="s">
        <v>4664</v>
      </c>
      <c r="B3712" t="str">
        <f>"200024"</f>
        <v>200024</v>
      </c>
      <c r="C3712" t="s">
        <v>7769</v>
      </c>
      <c r="L3712">
        <v>46873588448.919502</v>
      </c>
      <c r="M3712">
        <v>35980699966.072403</v>
      </c>
      <c r="N3712">
        <v>37822525127.981598</v>
      </c>
      <c r="O3712">
        <v>30353315696.216</v>
      </c>
      <c r="P3712">
        <v>0</v>
      </c>
      <c r="Q3712" t="s">
        <v>7770</v>
      </c>
    </row>
    <row r="3713" spans="1:17" x14ac:dyDescent="0.3">
      <c r="A3713" t="s">
        <v>4664</v>
      </c>
      <c r="B3713" t="str">
        <f>"200025"</f>
        <v>200025</v>
      </c>
      <c r="C3713" t="s">
        <v>7771</v>
      </c>
      <c r="F3713">
        <v>482906644.56629997</v>
      </c>
      <c r="G3713">
        <v>471188199.31550002</v>
      </c>
      <c r="H3713">
        <v>472842200.66409999</v>
      </c>
      <c r="I3713">
        <v>331175791.97280002</v>
      </c>
      <c r="J3713">
        <v>301157177.59530002</v>
      </c>
      <c r="K3713">
        <v>283595597.5812</v>
      </c>
      <c r="L3713">
        <v>302282665.69199997</v>
      </c>
      <c r="M3713">
        <v>470422708.87440002</v>
      </c>
      <c r="N3713">
        <v>475052356.64249998</v>
      </c>
      <c r="O3713">
        <v>430232097.75999999</v>
      </c>
      <c r="P3713">
        <v>7</v>
      </c>
      <c r="Q3713" t="s">
        <v>7772</v>
      </c>
    </row>
    <row r="3714" spans="1:17" x14ac:dyDescent="0.3">
      <c r="A3714" t="s">
        <v>4664</v>
      </c>
      <c r="B3714" t="str">
        <f>"200026"</f>
        <v>200026</v>
      </c>
      <c r="C3714" t="s">
        <v>7773</v>
      </c>
      <c r="F3714">
        <v>5418455838.6808996</v>
      </c>
      <c r="G3714">
        <v>3521243491.6851001</v>
      </c>
      <c r="H3714">
        <v>3242002838.1863999</v>
      </c>
      <c r="I3714">
        <v>3192975067.4960999</v>
      </c>
      <c r="J3714">
        <v>3276763002.5373001</v>
      </c>
      <c r="K3714">
        <v>2914115956.0734</v>
      </c>
      <c r="L3714">
        <v>3303844266.4464002</v>
      </c>
      <c r="M3714">
        <v>3466181327.5416002</v>
      </c>
      <c r="N3714">
        <v>3202222961.6360998</v>
      </c>
      <c r="O3714">
        <v>3094504414.8471999</v>
      </c>
      <c r="P3714">
        <v>52</v>
      </c>
      <c r="Q3714" t="s">
        <v>7774</v>
      </c>
    </row>
    <row r="3715" spans="1:17" x14ac:dyDescent="0.3">
      <c r="A3715" t="s">
        <v>4664</v>
      </c>
      <c r="B3715" t="str">
        <f>"200028"</f>
        <v>200028</v>
      </c>
      <c r="C3715" t="s">
        <v>7775</v>
      </c>
      <c r="F3715">
        <v>60728091244.848503</v>
      </c>
      <c r="G3715">
        <v>48225111851.5793</v>
      </c>
      <c r="H3715">
        <v>43264499675.297203</v>
      </c>
      <c r="I3715">
        <v>38246565944.473801</v>
      </c>
      <c r="J3715">
        <v>39517766872.380302</v>
      </c>
      <c r="K3715">
        <v>25453054957.403</v>
      </c>
      <c r="L3715">
        <v>25150105742.3922</v>
      </c>
      <c r="M3715">
        <v>22666164875.049599</v>
      </c>
      <c r="N3715">
        <v>19984895224.281898</v>
      </c>
      <c r="O3715">
        <v>15741533322.0016</v>
      </c>
      <c r="P3715">
        <v>209</v>
      </c>
      <c r="Q3715" t="s">
        <v>7776</v>
      </c>
    </row>
    <row r="3716" spans="1:17" x14ac:dyDescent="0.3">
      <c r="A3716" t="s">
        <v>4664</v>
      </c>
      <c r="B3716" t="str">
        <f>"200029"</f>
        <v>200029</v>
      </c>
      <c r="C3716" t="s">
        <v>7777</v>
      </c>
      <c r="F3716">
        <v>1437074740.6345</v>
      </c>
      <c r="G3716">
        <v>1437963106.3367</v>
      </c>
      <c r="H3716">
        <v>2425599153.9122</v>
      </c>
      <c r="I3716">
        <v>1828303252.2111001</v>
      </c>
      <c r="J3716">
        <v>1117024776.2667</v>
      </c>
      <c r="K3716">
        <v>1972956179.1138</v>
      </c>
      <c r="L3716">
        <v>2458198409.7333002</v>
      </c>
      <c r="M3716">
        <v>1856914340.3166001</v>
      </c>
      <c r="N3716">
        <v>1881568335.0123</v>
      </c>
      <c r="O3716">
        <v>808186539.58159995</v>
      </c>
      <c r="P3716">
        <v>18</v>
      </c>
      <c r="Q3716" t="s">
        <v>7778</v>
      </c>
    </row>
    <row r="3717" spans="1:17" x14ac:dyDescent="0.3">
      <c r="A3717" t="s">
        <v>4664</v>
      </c>
      <c r="B3717" t="str">
        <f>"200030"</f>
        <v>200030</v>
      </c>
      <c r="C3717" t="s">
        <v>7779</v>
      </c>
      <c r="F3717">
        <v>8886743310.0967999</v>
      </c>
      <c r="G3717">
        <v>6102123641.2718</v>
      </c>
      <c r="H3717">
        <v>5312741181.1892996</v>
      </c>
      <c r="I3717">
        <v>5668042474.0611</v>
      </c>
      <c r="J3717">
        <v>4623935999.1431999</v>
      </c>
      <c r="K3717">
        <v>4046455201.4453001</v>
      </c>
      <c r="L3717">
        <v>3960874047.4488001</v>
      </c>
      <c r="M3717">
        <v>4488840440.2377005</v>
      </c>
      <c r="N3717">
        <v>3411661841.5194001</v>
      </c>
      <c r="O3717">
        <v>0</v>
      </c>
      <c r="P3717">
        <v>132</v>
      </c>
      <c r="Q3717" t="s">
        <v>7780</v>
      </c>
    </row>
    <row r="3718" spans="1:17" x14ac:dyDescent="0.3">
      <c r="A3718" t="s">
        <v>4664</v>
      </c>
      <c r="B3718" t="str">
        <f>"200037"</f>
        <v>200037</v>
      </c>
      <c r="C3718" t="s">
        <v>7781</v>
      </c>
      <c r="F3718">
        <v>813847813.70360005</v>
      </c>
      <c r="G3718">
        <v>971576186.9289</v>
      </c>
      <c r="H3718">
        <v>930542294.76520002</v>
      </c>
      <c r="I3718">
        <v>2057943465.6651001</v>
      </c>
      <c r="J3718">
        <v>1985171279.0330999</v>
      </c>
      <c r="K3718">
        <v>1495468306.8803</v>
      </c>
      <c r="L3718">
        <v>1368873909.4308</v>
      </c>
      <c r="M3718">
        <v>1373416437.8336999</v>
      </c>
      <c r="N3718">
        <v>1337452702.2207</v>
      </c>
      <c r="O3718">
        <v>1678217559.7623999</v>
      </c>
      <c r="P3718">
        <v>9</v>
      </c>
      <c r="Q3718" t="s">
        <v>7782</v>
      </c>
    </row>
    <row r="3719" spans="1:17" x14ac:dyDescent="0.3">
      <c r="A3719" t="s">
        <v>4664</v>
      </c>
      <c r="B3719" t="str">
        <f>"200039"</f>
        <v>200039</v>
      </c>
      <c r="C3719" t="s">
        <v>7783</v>
      </c>
      <c r="K3719">
        <v>47874315522.199997</v>
      </c>
      <c r="L3719">
        <v>62168116175.099998</v>
      </c>
      <c r="M3719">
        <v>58557956036.099998</v>
      </c>
      <c r="N3719">
        <v>47165571909</v>
      </c>
      <c r="O3719">
        <v>51880818557.599998</v>
      </c>
      <c r="P3719">
        <v>0</v>
      </c>
      <c r="Q3719" t="s">
        <v>7784</v>
      </c>
    </row>
    <row r="3720" spans="1:17" x14ac:dyDescent="0.3">
      <c r="A3720" t="s">
        <v>4664</v>
      </c>
      <c r="B3720" t="str">
        <f>"200045"</f>
        <v>200045</v>
      </c>
      <c r="C3720" t="s">
        <v>7785</v>
      </c>
      <c r="F3720">
        <v>2006158842.6705</v>
      </c>
      <c r="G3720">
        <v>1454197197.0307</v>
      </c>
      <c r="H3720">
        <v>1897886001.385</v>
      </c>
      <c r="I3720">
        <v>1109503063.1442001</v>
      </c>
      <c r="J3720">
        <v>1319730164.3073001</v>
      </c>
      <c r="K3720">
        <v>957578210.47409999</v>
      </c>
      <c r="L3720">
        <v>1081082299.7214</v>
      </c>
      <c r="M3720">
        <v>1005234905.5398</v>
      </c>
      <c r="N3720">
        <v>1114160184.9054</v>
      </c>
      <c r="O3720">
        <v>689443092.12160003</v>
      </c>
      <c r="P3720">
        <v>6</v>
      </c>
      <c r="Q3720" t="s">
        <v>7786</v>
      </c>
    </row>
    <row r="3721" spans="1:17" x14ac:dyDescent="0.3">
      <c r="A3721" t="s">
        <v>4664</v>
      </c>
      <c r="B3721" t="str">
        <f>"200053"</f>
        <v>200053</v>
      </c>
      <c r="C3721" t="s">
        <v>7787</v>
      </c>
      <c r="J3721">
        <v>663489399.40050006</v>
      </c>
      <c r="K3721">
        <v>610052357.67429996</v>
      </c>
      <c r="L3721">
        <v>616504813.08309996</v>
      </c>
      <c r="M3721">
        <v>688887000.66840005</v>
      </c>
      <c r="N3721">
        <v>651596254.5589</v>
      </c>
      <c r="O3721">
        <v>506744422.35979998</v>
      </c>
      <c r="P3721">
        <v>15</v>
      </c>
      <c r="Q3721" t="s">
        <v>7788</v>
      </c>
    </row>
    <row r="3722" spans="1:17" x14ac:dyDescent="0.3">
      <c r="A3722" t="s">
        <v>4664</v>
      </c>
      <c r="B3722" t="str">
        <f>"200054"</f>
        <v>200054</v>
      </c>
      <c r="C3722" t="s">
        <v>7789</v>
      </c>
      <c r="F3722">
        <v>511765958.2762</v>
      </c>
      <c r="G3722">
        <v>386429091.43610001</v>
      </c>
      <c r="H3722">
        <v>400585505.08780003</v>
      </c>
      <c r="I3722">
        <v>363896782.34189999</v>
      </c>
      <c r="J3722">
        <v>399165971.30879998</v>
      </c>
      <c r="K3722">
        <v>449402518.33749998</v>
      </c>
      <c r="L3722">
        <v>728985422.83529997</v>
      </c>
      <c r="M3722">
        <v>1062932751.3437999</v>
      </c>
      <c r="N3722">
        <v>1174810491.2753999</v>
      </c>
      <c r="O3722">
        <v>1138318582.4303999</v>
      </c>
      <c r="P3722">
        <v>7</v>
      </c>
      <c r="Q3722" t="s">
        <v>7790</v>
      </c>
    </row>
    <row r="3723" spans="1:17" x14ac:dyDescent="0.3">
      <c r="A3723" t="s">
        <v>4664</v>
      </c>
      <c r="B3723" t="str">
        <f>"200055"</f>
        <v>200055</v>
      </c>
      <c r="C3723" t="s">
        <v>7791</v>
      </c>
      <c r="F3723">
        <v>2866602154.7747002</v>
      </c>
      <c r="G3723">
        <v>2363875139.7262998</v>
      </c>
      <c r="H3723">
        <v>2073171734.3348999</v>
      </c>
      <c r="I3723">
        <v>2515118016.7602</v>
      </c>
      <c r="J3723">
        <v>2997669187.0307999</v>
      </c>
      <c r="K3723">
        <v>3051702669.3634</v>
      </c>
      <c r="L3723">
        <v>1799307621.9621</v>
      </c>
      <c r="M3723">
        <v>1478746071.7667999</v>
      </c>
      <c r="N3723">
        <v>1507249149.1317</v>
      </c>
      <c r="O3723">
        <v>1095359314.5743999</v>
      </c>
      <c r="P3723">
        <v>71</v>
      </c>
      <c r="Q3723" t="s">
        <v>7792</v>
      </c>
    </row>
    <row r="3724" spans="1:17" x14ac:dyDescent="0.3">
      <c r="A3724" t="s">
        <v>4664</v>
      </c>
      <c r="B3724" t="str">
        <f>"200056"</f>
        <v>200056</v>
      </c>
      <c r="C3724" t="s">
        <v>7793</v>
      </c>
      <c r="F3724">
        <v>667173342.71829998</v>
      </c>
      <c r="G3724">
        <v>831107710.26909995</v>
      </c>
      <c r="H3724">
        <v>1246797547.9914999</v>
      </c>
      <c r="I3724">
        <v>1040297139.4677</v>
      </c>
      <c r="J3724">
        <v>498816263.34750003</v>
      </c>
      <c r="K3724">
        <v>271597242.79339999</v>
      </c>
      <c r="L3724">
        <v>214465361.14469999</v>
      </c>
      <c r="M3724">
        <v>50896871.385300003</v>
      </c>
      <c r="N3724">
        <v>25570180.172699999</v>
      </c>
      <c r="O3724">
        <v>61858220.705600001</v>
      </c>
      <c r="P3724">
        <v>13</v>
      </c>
      <c r="Q3724" t="s">
        <v>7794</v>
      </c>
    </row>
    <row r="3725" spans="1:17" x14ac:dyDescent="0.3">
      <c r="A3725" t="s">
        <v>4664</v>
      </c>
      <c r="B3725" t="str">
        <f>"200058"</f>
        <v>200058</v>
      </c>
      <c r="C3725" t="s">
        <v>7795</v>
      </c>
      <c r="F3725">
        <v>1589931737.724</v>
      </c>
      <c r="G3725">
        <v>1229789294.6535001</v>
      </c>
      <c r="H3725">
        <v>1157549600.1977</v>
      </c>
      <c r="I3725">
        <v>1356438300.2442</v>
      </c>
      <c r="J3725">
        <v>1541781780.4302001</v>
      </c>
      <c r="K3725">
        <v>721455439.13450003</v>
      </c>
      <c r="L3725">
        <v>1328670719.8611</v>
      </c>
      <c r="M3725">
        <v>1791708258.3252001</v>
      </c>
      <c r="N3725">
        <v>650594716.82550001</v>
      </c>
      <c r="O3725">
        <v>429272471.49680001</v>
      </c>
      <c r="P3725">
        <v>7</v>
      </c>
      <c r="Q3725" t="s">
        <v>7796</v>
      </c>
    </row>
    <row r="3726" spans="1:17" x14ac:dyDescent="0.3">
      <c r="A3726" t="s">
        <v>4664</v>
      </c>
      <c r="B3726" t="str">
        <f>"200152"</f>
        <v>200152</v>
      </c>
      <c r="C3726" t="s">
        <v>7797</v>
      </c>
      <c r="F3726">
        <v>13426812723.7855</v>
      </c>
      <c r="G3726">
        <v>9439055484.5830002</v>
      </c>
      <c r="H3726">
        <v>17686561489.235802</v>
      </c>
      <c r="I3726">
        <v>18427754194.067699</v>
      </c>
      <c r="J3726">
        <v>16249701321.0828</v>
      </c>
      <c r="K3726">
        <v>13711694249.969999</v>
      </c>
      <c r="L3726">
        <v>12614778410.4228</v>
      </c>
      <c r="M3726">
        <v>12374779512.2202</v>
      </c>
      <c r="N3726">
        <v>11307880023.528601</v>
      </c>
      <c r="O3726">
        <v>10418621564.861601</v>
      </c>
      <c r="P3726">
        <v>112</v>
      </c>
      <c r="Q3726" t="s">
        <v>7798</v>
      </c>
    </row>
    <row r="3727" spans="1:17" x14ac:dyDescent="0.3">
      <c r="A3727" t="s">
        <v>4664</v>
      </c>
      <c r="B3727" t="str">
        <f>"200160"</f>
        <v>200160</v>
      </c>
      <c r="C3727" t="s">
        <v>7799</v>
      </c>
      <c r="H3727">
        <v>170620119.1433</v>
      </c>
      <c r="I3727">
        <v>62076799.119599998</v>
      </c>
      <c r="J3727">
        <v>74412506.961600006</v>
      </c>
      <c r="K3727">
        <v>192602529.4488</v>
      </c>
      <c r="L3727">
        <v>354677052.34109998</v>
      </c>
      <c r="M3727">
        <v>624578060.56990004</v>
      </c>
      <c r="N3727">
        <v>298359521.97890002</v>
      </c>
      <c r="O3727">
        <v>50986773.5964</v>
      </c>
      <c r="P3727">
        <v>3</v>
      </c>
      <c r="Q3727" t="s">
        <v>7800</v>
      </c>
    </row>
    <row r="3728" spans="1:17" x14ac:dyDescent="0.3">
      <c r="A3728" t="s">
        <v>4664</v>
      </c>
      <c r="B3728" t="str">
        <f>"200168"</f>
        <v>200168</v>
      </c>
      <c r="C3728" t="s">
        <v>7801</v>
      </c>
      <c r="G3728">
        <v>26901790.518300001</v>
      </c>
      <c r="H3728">
        <v>9226997.9869999997</v>
      </c>
      <c r="I3728">
        <v>277852461.48000002</v>
      </c>
      <c r="J3728">
        <v>501273656.89319998</v>
      </c>
      <c r="K3728">
        <v>301768121.10509998</v>
      </c>
      <c r="L3728">
        <v>369693168.37949997</v>
      </c>
      <c r="M3728">
        <v>60426131.767499998</v>
      </c>
      <c r="N3728">
        <v>178383643.4853</v>
      </c>
      <c r="O3728">
        <v>245239247.86399999</v>
      </c>
      <c r="P3728">
        <v>3</v>
      </c>
      <c r="Q3728" t="s">
        <v>7802</v>
      </c>
    </row>
    <row r="3729" spans="1:17" x14ac:dyDescent="0.3">
      <c r="A3729" t="s">
        <v>4664</v>
      </c>
      <c r="B3729" t="str">
        <f>"200413"</f>
        <v>200413</v>
      </c>
      <c r="C3729" t="s">
        <v>7803</v>
      </c>
      <c r="F3729">
        <v>7280660608.21</v>
      </c>
      <c r="G3729">
        <v>6619960980.4117002</v>
      </c>
      <c r="H3729">
        <v>17884814206.176601</v>
      </c>
      <c r="I3729">
        <v>17971071029.069698</v>
      </c>
      <c r="J3729">
        <v>9285450884.8073997</v>
      </c>
      <c r="K3729">
        <v>5744248453.5525999</v>
      </c>
      <c r="L3729">
        <v>2664539710.9604998</v>
      </c>
      <c r="M3729">
        <v>429898405.93589997</v>
      </c>
      <c r="N3729">
        <v>186016494.62970001</v>
      </c>
      <c r="O3729">
        <v>349019619.46799999</v>
      </c>
      <c r="P3729">
        <v>44</v>
      </c>
      <c r="Q3729" t="s">
        <v>7804</v>
      </c>
    </row>
    <row r="3730" spans="1:17" x14ac:dyDescent="0.3">
      <c r="A3730" t="s">
        <v>4664</v>
      </c>
      <c r="B3730" t="str">
        <f>"200418"</f>
        <v>200418</v>
      </c>
      <c r="C3730" t="s">
        <v>7805</v>
      </c>
      <c r="I3730">
        <v>14944794224.9016</v>
      </c>
      <c r="J3730">
        <v>13495837921.9011</v>
      </c>
      <c r="K3730">
        <v>11657414286.4533</v>
      </c>
      <c r="L3730">
        <v>10409005114.808901</v>
      </c>
      <c r="M3730">
        <v>7410382290.0981998</v>
      </c>
      <c r="N3730">
        <v>6901666427.0737</v>
      </c>
      <c r="O3730">
        <v>5834381165.1601</v>
      </c>
      <c r="P3730">
        <v>89</v>
      </c>
      <c r="Q3730" t="s">
        <v>7806</v>
      </c>
    </row>
    <row r="3731" spans="1:17" x14ac:dyDescent="0.3">
      <c r="A3731" t="s">
        <v>4664</v>
      </c>
      <c r="B3731" t="str">
        <f>"200429"</f>
        <v>200429</v>
      </c>
      <c r="C3731" t="s">
        <v>7807</v>
      </c>
      <c r="F3731">
        <v>4843758161.0358</v>
      </c>
      <c r="G3731">
        <v>1607932619.0980999</v>
      </c>
      <c r="H3731">
        <v>2570147909.5102</v>
      </c>
      <c r="I3731">
        <v>2768094502.605</v>
      </c>
      <c r="J3731">
        <v>2662506720.1623001</v>
      </c>
      <c r="K3731">
        <v>2429609995.7596002</v>
      </c>
      <c r="L3731">
        <v>1303621455.7853999</v>
      </c>
      <c r="M3731">
        <v>1321403769.6278999</v>
      </c>
      <c r="N3731">
        <v>1192329100.0242</v>
      </c>
      <c r="O3731">
        <v>975861814.12399995</v>
      </c>
      <c r="P3731">
        <v>453</v>
      </c>
      <c r="Q3731" t="s">
        <v>7808</v>
      </c>
    </row>
    <row r="3732" spans="1:17" x14ac:dyDescent="0.3">
      <c r="A3732" t="s">
        <v>4664</v>
      </c>
      <c r="B3732" t="str">
        <f>"200468"</f>
        <v>200468</v>
      </c>
      <c r="C3732" t="s">
        <v>7809</v>
      </c>
      <c r="F3732">
        <v>843076806.58319998</v>
      </c>
      <c r="G3732">
        <v>951935930.19210005</v>
      </c>
      <c r="H3732">
        <v>1049120400.61</v>
      </c>
      <c r="I3732">
        <v>1465583260.4100001</v>
      </c>
      <c r="J3732">
        <v>2008314908.9916</v>
      </c>
      <c r="K3732">
        <v>2387719784.0321999</v>
      </c>
      <c r="L3732">
        <v>2588439921.2663999</v>
      </c>
      <c r="M3732">
        <v>2417371883.3193002</v>
      </c>
      <c r="N3732">
        <v>2268240308.7147002</v>
      </c>
      <c r="O3732">
        <v>2669430845.0616002</v>
      </c>
      <c r="P3732">
        <v>4</v>
      </c>
      <c r="Q3732" t="s">
        <v>7810</v>
      </c>
    </row>
    <row r="3733" spans="1:17" x14ac:dyDescent="0.3">
      <c r="A3733" t="s">
        <v>4664</v>
      </c>
      <c r="B3733" t="str">
        <f>"200488"</f>
        <v>200488</v>
      </c>
      <c r="C3733" t="s">
        <v>7811</v>
      </c>
      <c r="F3733">
        <v>34867711285.146698</v>
      </c>
      <c r="G3733">
        <v>28091702884.013699</v>
      </c>
      <c r="H3733">
        <v>27072527943.571098</v>
      </c>
      <c r="I3733">
        <v>26001462951.6465</v>
      </c>
      <c r="J3733">
        <v>24266200443.987</v>
      </c>
      <c r="K3733">
        <v>18664377129.908901</v>
      </c>
      <c r="L3733">
        <v>18515578290.6231</v>
      </c>
      <c r="M3733">
        <v>18865187115.785702</v>
      </c>
      <c r="N3733">
        <v>22741520941.5867</v>
      </c>
      <c r="O3733">
        <v>17448613237.431198</v>
      </c>
      <c r="P3733">
        <v>268</v>
      </c>
      <c r="Q3733" t="s">
        <v>7812</v>
      </c>
    </row>
    <row r="3734" spans="1:17" x14ac:dyDescent="0.3">
      <c r="A3734" t="s">
        <v>4664</v>
      </c>
      <c r="B3734" t="str">
        <f>"200505"</f>
        <v>200505</v>
      </c>
      <c r="C3734" t="s">
        <v>7813</v>
      </c>
      <c r="F3734">
        <v>11421026257.4687</v>
      </c>
      <c r="G3734">
        <v>6969767347.4861002</v>
      </c>
      <c r="H3734">
        <v>6096716804.7985001</v>
      </c>
      <c r="I3734">
        <v>6937108073.7528</v>
      </c>
      <c r="J3734">
        <v>6831621891.3855</v>
      </c>
      <c r="K3734">
        <v>772519654.07910001</v>
      </c>
      <c r="L3734">
        <v>565639317.42330003</v>
      </c>
      <c r="M3734">
        <v>213495353.49869999</v>
      </c>
      <c r="N3734">
        <v>190675453.45050001</v>
      </c>
      <c r="O3734">
        <v>166065755.1952</v>
      </c>
      <c r="P3734">
        <v>16</v>
      </c>
      <c r="Q3734" t="s">
        <v>7814</v>
      </c>
    </row>
    <row r="3735" spans="1:17" x14ac:dyDescent="0.3">
      <c r="A3735" t="s">
        <v>4664</v>
      </c>
      <c r="B3735" t="str">
        <f>"200512"</f>
        <v>200512</v>
      </c>
      <c r="C3735" t="s">
        <v>7815</v>
      </c>
      <c r="F3735">
        <v>2050682465.4667001</v>
      </c>
      <c r="G3735">
        <v>1439503749.0861001</v>
      </c>
      <c r="H3735">
        <v>1562116418.4988</v>
      </c>
      <c r="I3735">
        <v>1360249183.2153001</v>
      </c>
      <c r="J3735">
        <v>1532124047.7653999</v>
      </c>
      <c r="K3735">
        <v>1359563159.2629001</v>
      </c>
      <c r="L3735">
        <v>1601857711.1127</v>
      </c>
      <c r="M3735">
        <v>1721873883.5495999</v>
      </c>
      <c r="N3735">
        <v>1750939416.3555</v>
      </c>
      <c r="O3735">
        <v>2202857873.0488</v>
      </c>
      <c r="P3735">
        <v>34</v>
      </c>
      <c r="Q3735" t="s">
        <v>7816</v>
      </c>
    </row>
    <row r="3736" spans="1:17" x14ac:dyDescent="0.3">
      <c r="A3736" t="s">
        <v>4664</v>
      </c>
      <c r="B3736" t="str">
        <f>"200513"</f>
        <v>200513</v>
      </c>
      <c r="C3736" t="s">
        <v>7817</v>
      </c>
      <c r="K3736">
        <v>6476865624.9681997</v>
      </c>
      <c r="L3736">
        <v>5814412894.3943005</v>
      </c>
      <c r="M3736">
        <v>5264040064.3518</v>
      </c>
      <c r="N3736">
        <v>4092620576.2080002</v>
      </c>
      <c r="O3736">
        <v>3677678023.2386999</v>
      </c>
      <c r="P3736">
        <v>1</v>
      </c>
      <c r="Q3736" t="s">
        <v>7818</v>
      </c>
    </row>
    <row r="3737" spans="1:17" x14ac:dyDescent="0.3">
      <c r="A3737" t="s">
        <v>4664</v>
      </c>
      <c r="B3737" t="str">
        <f>"200521"</f>
        <v>200521</v>
      </c>
      <c r="C3737" t="s">
        <v>7819</v>
      </c>
      <c r="F3737">
        <v>16139819824.763399</v>
      </c>
      <c r="G3737">
        <v>11374336575.6299</v>
      </c>
      <c r="H3737">
        <v>13910741468.9524</v>
      </c>
      <c r="I3737">
        <v>14004604890.952499</v>
      </c>
      <c r="J3737">
        <v>12540974659.389</v>
      </c>
      <c r="K3737">
        <v>11155815366.461901</v>
      </c>
      <c r="L3737">
        <v>8741897744.9396992</v>
      </c>
      <c r="M3737">
        <v>7165358097.9024</v>
      </c>
      <c r="N3737">
        <v>6719828065.4834995</v>
      </c>
      <c r="O3737">
        <v>5584206244.6512003</v>
      </c>
      <c r="P3737">
        <v>23</v>
      </c>
      <c r="Q3737" t="s">
        <v>7820</v>
      </c>
    </row>
    <row r="3738" spans="1:17" x14ac:dyDescent="0.3">
      <c r="A3738" t="s">
        <v>4664</v>
      </c>
      <c r="B3738" t="str">
        <f>"200530"</f>
        <v>200530</v>
      </c>
      <c r="C3738" t="s">
        <v>7821</v>
      </c>
      <c r="F3738">
        <v>1645391542.1775</v>
      </c>
      <c r="G3738">
        <v>1058723318.0144</v>
      </c>
      <c r="H3738">
        <v>1085798028.1352999</v>
      </c>
      <c r="I3738">
        <v>1146305423.7530999</v>
      </c>
      <c r="J3738">
        <v>1278432835.4802001</v>
      </c>
      <c r="K3738">
        <v>1093836134.4642999</v>
      </c>
      <c r="L3738">
        <v>859971618.88559997</v>
      </c>
      <c r="M3738">
        <v>1077791564.3295</v>
      </c>
      <c r="N3738">
        <v>1168509467.2284</v>
      </c>
      <c r="O3738">
        <v>1173205353.2335999</v>
      </c>
      <c r="P3738">
        <v>25</v>
      </c>
      <c r="Q3738" t="s">
        <v>7822</v>
      </c>
    </row>
    <row r="3739" spans="1:17" x14ac:dyDescent="0.3">
      <c r="A3739" t="s">
        <v>4664</v>
      </c>
      <c r="B3739" t="str">
        <f>"200539"</f>
        <v>200539</v>
      </c>
      <c r="C3739" t="s">
        <v>7823</v>
      </c>
      <c r="F3739">
        <v>38285843435.248199</v>
      </c>
      <c r="G3739">
        <v>26615305289.4753</v>
      </c>
      <c r="H3739">
        <v>26708606895.060398</v>
      </c>
      <c r="I3739">
        <v>28248934429.433399</v>
      </c>
      <c r="J3739">
        <v>26958706856.501099</v>
      </c>
      <c r="K3739">
        <v>22753979753.993999</v>
      </c>
      <c r="L3739">
        <v>28410115333.434299</v>
      </c>
      <c r="M3739">
        <v>34105458841.967999</v>
      </c>
      <c r="N3739">
        <v>34201705987.537201</v>
      </c>
      <c r="O3739">
        <v>16650398720.482401</v>
      </c>
      <c r="P3739">
        <v>185</v>
      </c>
      <c r="Q3739" t="s">
        <v>7824</v>
      </c>
    </row>
    <row r="3740" spans="1:17" x14ac:dyDescent="0.3">
      <c r="A3740" t="s">
        <v>4664</v>
      </c>
      <c r="B3740" t="str">
        <f>"200541"</f>
        <v>200541</v>
      </c>
      <c r="C3740" t="s">
        <v>7825</v>
      </c>
      <c r="F3740">
        <v>3715264835.4424</v>
      </c>
      <c r="G3740">
        <v>2689640567.1033001</v>
      </c>
      <c r="H3740">
        <v>2842623966.9232001</v>
      </c>
      <c r="I3740">
        <v>3014486030.1884999</v>
      </c>
      <c r="J3740">
        <v>3155007812.4165001</v>
      </c>
      <c r="K3740">
        <v>2687016888.9095998</v>
      </c>
      <c r="L3740">
        <v>2562466119.1029</v>
      </c>
      <c r="M3740">
        <v>2628567582.6908998</v>
      </c>
      <c r="N3740">
        <v>2339034969.9815998</v>
      </c>
      <c r="O3740">
        <v>2137125823.7</v>
      </c>
      <c r="P3740">
        <v>119</v>
      </c>
      <c r="Q3740" t="s">
        <v>7826</v>
      </c>
    </row>
    <row r="3741" spans="1:17" x14ac:dyDescent="0.3">
      <c r="A3741" t="s">
        <v>4664</v>
      </c>
      <c r="B3741" t="str">
        <f>"200550"</f>
        <v>200550</v>
      </c>
      <c r="C3741" t="s">
        <v>7827</v>
      </c>
      <c r="F3741">
        <v>34109947517.459599</v>
      </c>
      <c r="G3741">
        <v>26355976821.458099</v>
      </c>
      <c r="H3741">
        <v>24822966582.216202</v>
      </c>
      <c r="I3741">
        <v>25616560244.9118</v>
      </c>
      <c r="J3741">
        <v>29580336265.770302</v>
      </c>
      <c r="K3741">
        <v>23804444808.052502</v>
      </c>
      <c r="L3741">
        <v>23366018009.135399</v>
      </c>
      <c r="M3741">
        <v>25814654993.7798</v>
      </c>
      <c r="N3741">
        <v>21315736554.002102</v>
      </c>
      <c r="O3741">
        <v>18261556943.530399</v>
      </c>
      <c r="P3741">
        <v>154</v>
      </c>
      <c r="Q3741" t="s">
        <v>7828</v>
      </c>
    </row>
    <row r="3742" spans="1:17" x14ac:dyDescent="0.3">
      <c r="A3742" t="s">
        <v>4664</v>
      </c>
      <c r="B3742" t="str">
        <f>"200553"</f>
        <v>200553</v>
      </c>
      <c r="C3742" t="s">
        <v>7829</v>
      </c>
      <c r="F3742">
        <v>25833469410.799999</v>
      </c>
      <c r="G3742">
        <v>22358650577</v>
      </c>
      <c r="H3742">
        <v>20477298750.200001</v>
      </c>
      <c r="I3742">
        <v>20283453635.099998</v>
      </c>
      <c r="J3742">
        <v>20305298755.200001</v>
      </c>
      <c r="K3742">
        <v>1145670726.4166999</v>
      </c>
      <c r="L3742">
        <v>1631710300.5129001</v>
      </c>
      <c r="M3742">
        <v>2817850393.8948002</v>
      </c>
      <c r="N3742">
        <v>2426629492.3302002</v>
      </c>
      <c r="O3742">
        <v>1946259759.0896001</v>
      </c>
      <c r="P3742">
        <v>58</v>
      </c>
      <c r="Q3742" t="s">
        <v>7830</v>
      </c>
    </row>
    <row r="3743" spans="1:17" x14ac:dyDescent="0.3">
      <c r="A3743" t="s">
        <v>4664</v>
      </c>
      <c r="B3743" t="str">
        <f>"200570"</f>
        <v>200570</v>
      </c>
      <c r="C3743" t="s">
        <v>7831</v>
      </c>
      <c r="F3743">
        <v>1964597193.8929999</v>
      </c>
      <c r="G3743">
        <v>1832277088.1398001</v>
      </c>
      <c r="H3743">
        <v>1490221090.8099999</v>
      </c>
      <c r="I3743">
        <v>1711022670.1194</v>
      </c>
      <c r="J3743">
        <v>2167629737.6469002</v>
      </c>
      <c r="K3743">
        <v>2183304923.9756999</v>
      </c>
      <c r="L3743">
        <v>2418959751.5792999</v>
      </c>
      <c r="M3743">
        <v>2477464838.5472999</v>
      </c>
      <c r="N3743">
        <v>3031085819.8044</v>
      </c>
      <c r="O3743">
        <v>3061281638.6975999</v>
      </c>
      <c r="P3743">
        <v>10</v>
      </c>
      <c r="Q3743" t="s">
        <v>7832</v>
      </c>
    </row>
    <row r="3744" spans="1:17" x14ac:dyDescent="0.3">
      <c r="A3744" t="s">
        <v>4664</v>
      </c>
      <c r="B3744" t="str">
        <f>"200581"</f>
        <v>200581</v>
      </c>
      <c r="C3744" t="s">
        <v>7833</v>
      </c>
      <c r="F3744">
        <v>16002670958.7756</v>
      </c>
      <c r="G3744">
        <v>9483382884.7451</v>
      </c>
      <c r="H3744">
        <v>7093054843.1792002</v>
      </c>
      <c r="I3744">
        <v>7314011052.0524998</v>
      </c>
      <c r="J3744">
        <v>6354004499.1668997</v>
      </c>
      <c r="K3744">
        <v>4736553561.4762001</v>
      </c>
      <c r="L3744">
        <v>6237127233.4608002</v>
      </c>
      <c r="M3744">
        <v>7027296267.1485004</v>
      </c>
      <c r="N3744">
        <v>5585004921.5037003</v>
      </c>
      <c r="O3744">
        <v>5814535906.9144001</v>
      </c>
      <c r="P3744">
        <v>448</v>
      </c>
      <c r="Q3744" t="s">
        <v>7834</v>
      </c>
    </row>
    <row r="3745" spans="1:17" x14ac:dyDescent="0.3">
      <c r="A3745" t="s">
        <v>4664</v>
      </c>
      <c r="B3745" t="str">
        <f>"200596"</f>
        <v>200596</v>
      </c>
      <c r="C3745" t="s">
        <v>7835</v>
      </c>
      <c r="F3745">
        <v>14338299550.732201</v>
      </c>
      <c r="G3745">
        <v>9831719577.7787991</v>
      </c>
      <c r="H3745">
        <v>9047196454.0237007</v>
      </c>
      <c r="I3745">
        <v>8240698049.3432999</v>
      </c>
      <c r="J3745">
        <v>6374760659.5664997</v>
      </c>
      <c r="K3745">
        <v>5421407575.7093</v>
      </c>
      <c r="L3745">
        <v>5157615182.8832998</v>
      </c>
      <c r="M3745">
        <v>4473337896.0291004</v>
      </c>
      <c r="N3745">
        <v>4472138918.8790998</v>
      </c>
      <c r="O3745">
        <v>4208131828.5728002</v>
      </c>
      <c r="P3745">
        <v>745</v>
      </c>
      <c r="Q3745" t="s">
        <v>7836</v>
      </c>
    </row>
    <row r="3746" spans="1:17" x14ac:dyDescent="0.3">
      <c r="A3746" t="s">
        <v>4664</v>
      </c>
      <c r="B3746" t="str">
        <f>"200613"</f>
        <v>200613</v>
      </c>
      <c r="C3746" t="s">
        <v>7837</v>
      </c>
      <c r="F3746">
        <v>38122061.269199997</v>
      </c>
      <c r="G3746">
        <v>9246126.8857000005</v>
      </c>
      <c r="H3746">
        <v>21026170.115600001</v>
      </c>
      <c r="I3746">
        <v>27111377.370000001</v>
      </c>
      <c r="J3746">
        <v>25169510.750100002</v>
      </c>
      <c r="K3746">
        <v>18697761.347199999</v>
      </c>
      <c r="L3746">
        <v>17038981.1598</v>
      </c>
      <c r="M3746">
        <v>20489070.595199998</v>
      </c>
      <c r="N3746">
        <v>21372875.693100002</v>
      </c>
      <c r="O3746">
        <v>27495778.583999999</v>
      </c>
      <c r="P3746">
        <v>4</v>
      </c>
      <c r="Q3746" t="s">
        <v>7838</v>
      </c>
    </row>
    <row r="3747" spans="1:17" x14ac:dyDescent="0.3">
      <c r="A3747" t="s">
        <v>4664</v>
      </c>
      <c r="B3747" t="str">
        <f>"200625"</f>
        <v>200625</v>
      </c>
      <c r="C3747" t="s">
        <v>7839</v>
      </c>
      <c r="F3747">
        <v>116736583841.87601</v>
      </c>
      <c r="G3747">
        <v>68134782994.258698</v>
      </c>
      <c r="H3747">
        <v>57222325498.191902</v>
      </c>
      <c r="I3747">
        <v>73233834233.259003</v>
      </c>
      <c r="J3747">
        <v>75756685959.425095</v>
      </c>
      <c r="K3747">
        <v>69809702162.992401</v>
      </c>
      <c r="L3747">
        <v>63020589208.946404</v>
      </c>
      <c r="M3747">
        <v>43797717647.230202</v>
      </c>
      <c r="N3747">
        <v>36388853339.0886</v>
      </c>
      <c r="O3747">
        <v>22922238684.844799</v>
      </c>
      <c r="P3747">
        <v>710</v>
      </c>
      <c r="Q3747" t="s">
        <v>7840</v>
      </c>
    </row>
    <row r="3748" spans="1:17" x14ac:dyDescent="0.3">
      <c r="A3748" t="s">
        <v>4664</v>
      </c>
      <c r="B3748" t="str">
        <f>"200706"</f>
        <v>200706</v>
      </c>
      <c r="C3748" t="s">
        <v>7841</v>
      </c>
      <c r="F3748">
        <v>1031002179.4426</v>
      </c>
      <c r="G3748">
        <v>956821038.28439999</v>
      </c>
      <c r="H3748">
        <v>865964213.75230002</v>
      </c>
      <c r="I3748">
        <v>908569600.39979994</v>
      </c>
      <c r="J3748">
        <v>838395332.95410001</v>
      </c>
      <c r="K3748">
        <v>996775865.55400002</v>
      </c>
      <c r="L3748">
        <v>1320753877.8192</v>
      </c>
      <c r="M3748">
        <v>1441090485.4725001</v>
      </c>
      <c r="N3748">
        <v>1192366110.7908001</v>
      </c>
      <c r="O3748">
        <v>1585116266.4704001</v>
      </c>
      <c r="P3748">
        <v>7</v>
      </c>
      <c r="Q3748" t="s">
        <v>7842</v>
      </c>
    </row>
    <row r="3749" spans="1:17" x14ac:dyDescent="0.3">
      <c r="A3749" t="s">
        <v>4664</v>
      </c>
      <c r="B3749" t="str">
        <f>"200725"</f>
        <v>200725</v>
      </c>
      <c r="C3749" t="s">
        <v>7843</v>
      </c>
      <c r="F3749">
        <v>196038247191.03799</v>
      </c>
      <c r="G3749">
        <v>121426796789.58099</v>
      </c>
      <c r="H3749">
        <v>99538830240.977295</v>
      </c>
      <c r="I3749">
        <v>69225990013.118698</v>
      </c>
      <c r="J3749">
        <v>80559408913.915802</v>
      </c>
      <c r="K3749">
        <v>42560647289.1912</v>
      </c>
      <c r="L3749">
        <v>44302120474.139702</v>
      </c>
      <c r="M3749">
        <v>33202724516.958</v>
      </c>
      <c r="N3749">
        <v>30574632526.547401</v>
      </c>
      <c r="O3749">
        <v>17676063325.937599</v>
      </c>
      <c r="P3749">
        <v>85</v>
      </c>
      <c r="Q3749" t="s">
        <v>7844</v>
      </c>
    </row>
    <row r="3750" spans="1:17" x14ac:dyDescent="0.3">
      <c r="A3750" t="s">
        <v>4664</v>
      </c>
      <c r="B3750" t="str">
        <f>"200726"</f>
        <v>200726</v>
      </c>
      <c r="C3750" t="s">
        <v>7845</v>
      </c>
      <c r="F3750">
        <v>4144834461.7117</v>
      </c>
      <c r="G3750">
        <v>3848013690.8179002</v>
      </c>
      <c r="H3750">
        <v>5149419603.6513004</v>
      </c>
      <c r="I3750">
        <v>5603876590.6016998</v>
      </c>
      <c r="J3750">
        <v>5365408610.5685997</v>
      </c>
      <c r="K3750">
        <v>5172928969.0283003</v>
      </c>
      <c r="L3750">
        <v>5686071687.6485996</v>
      </c>
      <c r="M3750">
        <v>5998200994.0103998</v>
      </c>
      <c r="N3750">
        <v>5931560232.1449003</v>
      </c>
      <c r="O3750">
        <v>5070045294.8663998</v>
      </c>
      <c r="P3750">
        <v>329</v>
      </c>
      <c r="Q3750" t="s">
        <v>7846</v>
      </c>
    </row>
    <row r="3751" spans="1:17" x14ac:dyDescent="0.3">
      <c r="A3751" t="s">
        <v>4664</v>
      </c>
      <c r="B3751" t="str">
        <f>"200761"</f>
        <v>200761</v>
      </c>
      <c r="C3751" t="s">
        <v>7847</v>
      </c>
      <c r="F3751">
        <v>49640982157.096703</v>
      </c>
      <c r="G3751">
        <v>28927309124.541901</v>
      </c>
      <c r="H3751">
        <v>29370528815.0317</v>
      </c>
      <c r="I3751">
        <v>29831012069.671501</v>
      </c>
      <c r="J3751">
        <v>24702595909.502998</v>
      </c>
      <c r="K3751">
        <v>19268434687.8549</v>
      </c>
      <c r="L3751">
        <v>19826926316.941502</v>
      </c>
      <c r="M3751">
        <v>28187103600.902401</v>
      </c>
      <c r="N3751">
        <v>31752045922.418999</v>
      </c>
      <c r="O3751">
        <v>28730030306.6376</v>
      </c>
      <c r="P3751">
        <v>41</v>
      </c>
      <c r="Q3751" t="s">
        <v>7848</v>
      </c>
    </row>
    <row r="3752" spans="1:17" x14ac:dyDescent="0.3">
      <c r="A3752" t="s">
        <v>4664</v>
      </c>
      <c r="B3752" t="str">
        <f>"200770"</f>
        <v>200770</v>
      </c>
      <c r="C3752" t="s">
        <v>7849</v>
      </c>
      <c r="K3752">
        <v>1010783534.8787</v>
      </c>
      <c r="L3752">
        <v>1145533685.6071999</v>
      </c>
      <c r="M3752">
        <v>1048031558.2542</v>
      </c>
      <c r="N3752">
        <v>571690677.54260004</v>
      </c>
      <c r="O3752">
        <v>654518266.92659998</v>
      </c>
      <c r="P3752">
        <v>0</v>
      </c>
      <c r="Q3752" t="s">
        <v>7850</v>
      </c>
    </row>
    <row r="3753" spans="1:17" x14ac:dyDescent="0.3">
      <c r="A3753" t="s">
        <v>4664</v>
      </c>
      <c r="B3753" t="str">
        <f>"200771"</f>
        <v>200771</v>
      </c>
      <c r="C3753" t="s">
        <v>7851</v>
      </c>
      <c r="F3753">
        <v>4078945119.9415002</v>
      </c>
      <c r="G3753">
        <v>2964071989.8975</v>
      </c>
      <c r="H3753">
        <v>2632753381.7551999</v>
      </c>
      <c r="I3753">
        <v>3328648676.7839999</v>
      </c>
      <c r="J3753">
        <v>3013144334.6901002</v>
      </c>
      <c r="K3753">
        <v>2562834518.0102</v>
      </c>
      <c r="L3753">
        <v>2270821549.4288998</v>
      </c>
      <c r="M3753">
        <v>2847188161.7793002</v>
      </c>
      <c r="N3753">
        <v>3423231846.4284</v>
      </c>
      <c r="O3753">
        <v>3721838231.5223999</v>
      </c>
      <c r="P3753">
        <v>65</v>
      </c>
      <c r="Q3753" t="s">
        <v>7852</v>
      </c>
    </row>
    <row r="3754" spans="1:17" x14ac:dyDescent="0.3">
      <c r="A3754" t="s">
        <v>4664</v>
      </c>
      <c r="B3754" t="str">
        <f>"200869"</f>
        <v>200869</v>
      </c>
      <c r="C3754" t="s">
        <v>7853</v>
      </c>
      <c r="F3754">
        <v>3386118242.4959002</v>
      </c>
      <c r="G3754">
        <v>2626616285.9495001</v>
      </c>
      <c r="H3754">
        <v>3709431876.711</v>
      </c>
      <c r="I3754">
        <v>4280989120.7721</v>
      </c>
      <c r="J3754">
        <v>4398031933.4280005</v>
      </c>
      <c r="K3754">
        <v>4322358973.0122995</v>
      </c>
      <c r="L3754">
        <v>4493075852.8361998</v>
      </c>
      <c r="M3754">
        <v>4414985542.8324003</v>
      </c>
      <c r="N3754">
        <v>4460234122.8891001</v>
      </c>
      <c r="O3754">
        <v>5842687464.2016001</v>
      </c>
      <c r="P3754">
        <v>348</v>
      </c>
      <c r="Q3754" t="s">
        <v>7854</v>
      </c>
    </row>
    <row r="3755" spans="1:17" x14ac:dyDescent="0.3">
      <c r="A3755" t="s">
        <v>4664</v>
      </c>
      <c r="B3755" t="str">
        <f>"200986"</f>
        <v>200986</v>
      </c>
      <c r="C3755" t="s">
        <v>7855</v>
      </c>
      <c r="G3755">
        <v>3425179607.2866998</v>
      </c>
      <c r="H3755">
        <v>3140589339.1891999</v>
      </c>
      <c r="I3755">
        <v>3291750671.6436</v>
      </c>
      <c r="J3755">
        <v>2651252802.0183001</v>
      </c>
      <c r="K3755">
        <v>2539736100.1135998</v>
      </c>
      <c r="L3755">
        <v>2634793852.1009998</v>
      </c>
      <c r="M3755">
        <v>2659365940.5300002</v>
      </c>
      <c r="N3755">
        <v>2695266190.5029998</v>
      </c>
      <c r="O3755">
        <v>3017988329.8576002</v>
      </c>
      <c r="P3755">
        <v>8</v>
      </c>
      <c r="Q3755" t="s">
        <v>7856</v>
      </c>
    </row>
    <row r="3756" spans="1:17" x14ac:dyDescent="0.3">
      <c r="A3756" t="s">
        <v>4664</v>
      </c>
      <c r="B3756" t="str">
        <f>"200992"</f>
        <v>200992</v>
      </c>
      <c r="C3756" t="s">
        <v>7857</v>
      </c>
      <c r="F3756">
        <v>724386066.31900001</v>
      </c>
      <c r="G3756">
        <v>717303025.48160005</v>
      </c>
      <c r="H3756">
        <v>858398155.21360004</v>
      </c>
      <c r="I3756">
        <v>697357114.54530001</v>
      </c>
      <c r="J3756">
        <v>746222915.93640006</v>
      </c>
      <c r="K3756">
        <v>719618220.62580001</v>
      </c>
      <c r="L3756">
        <v>620820951.11070001</v>
      </c>
      <c r="M3756">
        <v>499905572.80980003</v>
      </c>
      <c r="N3756">
        <v>471337018.92989999</v>
      </c>
      <c r="O3756">
        <v>430401130.324</v>
      </c>
      <c r="P3756">
        <v>22</v>
      </c>
      <c r="Q3756" t="s">
        <v>7858</v>
      </c>
    </row>
    <row r="3757" spans="1:17" x14ac:dyDescent="0.3">
      <c r="A3757" t="s">
        <v>4664</v>
      </c>
      <c r="B3757" t="str">
        <f>"201872"</f>
        <v>201872</v>
      </c>
      <c r="C3757" t="s">
        <v>7859</v>
      </c>
      <c r="F3757">
        <v>13110401159.629801</v>
      </c>
      <c r="G3757">
        <v>10083097801.8694</v>
      </c>
      <c r="H3757">
        <v>9739397434.6067009</v>
      </c>
      <c r="I3757">
        <v>1819986836.8896</v>
      </c>
      <c r="J3757">
        <v>2213730639.9783001</v>
      </c>
      <c r="K3757">
        <v>1630444537.9974</v>
      </c>
      <c r="L3757">
        <v>1645145998.7463</v>
      </c>
      <c r="M3757">
        <v>1668704366.8095</v>
      </c>
      <c r="N3757">
        <v>1692061090.7886</v>
      </c>
      <c r="O3757">
        <v>1602440574.2416</v>
      </c>
      <c r="P3757">
        <v>90</v>
      </c>
      <c r="Q3757" t="s">
        <v>7860</v>
      </c>
    </row>
    <row r="3758" spans="1:17" x14ac:dyDescent="0.3">
      <c r="A3758" t="s">
        <v>4664</v>
      </c>
      <c r="B3758" t="str">
        <f>"300001"</f>
        <v>300001</v>
      </c>
      <c r="C3758" t="s">
        <v>7861</v>
      </c>
      <c r="D3758" t="s">
        <v>210</v>
      </c>
      <c r="F3758">
        <v>5103766154</v>
      </c>
      <c r="G3758">
        <v>3960027470</v>
      </c>
      <c r="H3758">
        <v>4228100266</v>
      </c>
      <c r="I3758">
        <v>3460953762</v>
      </c>
      <c r="J3758">
        <v>2803336490</v>
      </c>
      <c r="K3758">
        <v>2301381057</v>
      </c>
      <c r="L3758">
        <v>1209732715</v>
      </c>
      <c r="M3758">
        <v>957974829</v>
      </c>
      <c r="N3758">
        <v>671868722</v>
      </c>
      <c r="O3758">
        <v>348482009</v>
      </c>
      <c r="P3758">
        <v>530</v>
      </c>
      <c r="Q3758" t="s">
        <v>7862</v>
      </c>
    </row>
    <row r="3759" spans="1:17" x14ac:dyDescent="0.3">
      <c r="A3759" t="s">
        <v>4664</v>
      </c>
      <c r="B3759" t="str">
        <f>"300002"</f>
        <v>300002</v>
      </c>
      <c r="C3759" t="s">
        <v>7863</v>
      </c>
      <c r="D3759" t="s">
        <v>517</v>
      </c>
      <c r="F3759">
        <v>2446365207</v>
      </c>
      <c r="G3759">
        <v>1911023627</v>
      </c>
      <c r="H3759">
        <v>1382389285</v>
      </c>
      <c r="I3759">
        <v>1348267213</v>
      </c>
      <c r="J3759">
        <v>2716393082</v>
      </c>
      <c r="K3759">
        <v>2412646766</v>
      </c>
      <c r="L3759">
        <v>1968829023</v>
      </c>
      <c r="M3759">
        <v>1402055386</v>
      </c>
      <c r="N3759">
        <v>1117985547</v>
      </c>
      <c r="O3759">
        <v>895551319</v>
      </c>
      <c r="P3759">
        <v>282</v>
      </c>
      <c r="Q3759" t="s">
        <v>7864</v>
      </c>
    </row>
    <row r="3760" spans="1:17" x14ac:dyDescent="0.3">
      <c r="A3760" t="s">
        <v>4664</v>
      </c>
      <c r="B3760" t="str">
        <f>"300003"</f>
        <v>300003</v>
      </c>
      <c r="C3760" t="s">
        <v>7865</v>
      </c>
      <c r="D3760" t="s">
        <v>1077</v>
      </c>
      <c r="F3760">
        <v>8994108824</v>
      </c>
      <c r="G3760">
        <v>6481963915</v>
      </c>
      <c r="H3760">
        <v>5840012868</v>
      </c>
      <c r="I3760">
        <v>4604503958</v>
      </c>
      <c r="J3760">
        <v>3287298485</v>
      </c>
      <c r="K3760">
        <v>2681819110</v>
      </c>
      <c r="L3760">
        <v>1982849429</v>
      </c>
      <c r="M3760">
        <v>1143496140</v>
      </c>
      <c r="N3760">
        <v>1003945638</v>
      </c>
      <c r="O3760">
        <v>778841074</v>
      </c>
      <c r="P3760">
        <v>3268</v>
      </c>
      <c r="Q3760" t="s">
        <v>7866</v>
      </c>
    </row>
    <row r="3761" spans="1:17" x14ac:dyDescent="0.3">
      <c r="A3761" t="s">
        <v>4664</v>
      </c>
      <c r="B3761" t="str">
        <f>"300004"</f>
        <v>300004</v>
      </c>
      <c r="C3761" t="s">
        <v>7867</v>
      </c>
      <c r="D3761" t="s">
        <v>741</v>
      </c>
      <c r="F3761">
        <v>560978317</v>
      </c>
      <c r="G3761">
        <v>511969615</v>
      </c>
      <c r="H3761">
        <v>554391504</v>
      </c>
      <c r="I3761">
        <v>523002827</v>
      </c>
      <c r="J3761">
        <v>376797193</v>
      </c>
      <c r="K3761">
        <v>452913238</v>
      </c>
      <c r="L3761">
        <v>579512182</v>
      </c>
      <c r="M3761">
        <v>361552074</v>
      </c>
      <c r="N3761">
        <v>269595817</v>
      </c>
      <c r="O3761">
        <v>270543220</v>
      </c>
      <c r="P3761">
        <v>84</v>
      </c>
      <c r="Q3761" t="s">
        <v>7868</v>
      </c>
    </row>
    <row r="3762" spans="1:17" x14ac:dyDescent="0.3">
      <c r="A3762" t="s">
        <v>4664</v>
      </c>
      <c r="B3762" t="str">
        <f>"300005"</f>
        <v>300005</v>
      </c>
      <c r="C3762" t="s">
        <v>7869</v>
      </c>
      <c r="D3762" t="s">
        <v>2990</v>
      </c>
      <c r="F3762">
        <v>735992346</v>
      </c>
      <c r="G3762">
        <v>507597739</v>
      </c>
      <c r="H3762">
        <v>979054912</v>
      </c>
      <c r="I3762">
        <v>1306497544</v>
      </c>
      <c r="J3762">
        <v>1966820066</v>
      </c>
      <c r="K3762">
        <v>1832662260</v>
      </c>
      <c r="L3762">
        <v>2042385932</v>
      </c>
      <c r="M3762">
        <v>1128475808</v>
      </c>
      <c r="N3762">
        <v>919696667</v>
      </c>
      <c r="O3762">
        <v>654697061</v>
      </c>
      <c r="P3762">
        <v>181</v>
      </c>
      <c r="Q3762" t="s">
        <v>7870</v>
      </c>
    </row>
    <row r="3763" spans="1:17" x14ac:dyDescent="0.3">
      <c r="A3763" t="s">
        <v>4664</v>
      </c>
      <c r="B3763" t="str">
        <f>"300006"</f>
        <v>300006</v>
      </c>
      <c r="C3763" t="s">
        <v>7871</v>
      </c>
      <c r="D3763" t="s">
        <v>143</v>
      </c>
      <c r="F3763">
        <v>985355501</v>
      </c>
      <c r="G3763">
        <v>1323337360</v>
      </c>
      <c r="H3763">
        <v>1324106409</v>
      </c>
      <c r="I3763">
        <v>1155518789</v>
      </c>
      <c r="J3763">
        <v>818007254</v>
      </c>
      <c r="K3763">
        <v>730307671</v>
      </c>
      <c r="L3763">
        <v>658986818</v>
      </c>
      <c r="M3763">
        <v>562929807</v>
      </c>
      <c r="N3763">
        <v>461842202</v>
      </c>
      <c r="O3763">
        <v>374833771</v>
      </c>
      <c r="P3763">
        <v>136</v>
      </c>
      <c r="Q3763" t="s">
        <v>7872</v>
      </c>
    </row>
    <row r="3764" spans="1:17" x14ac:dyDescent="0.3">
      <c r="A3764" t="s">
        <v>4664</v>
      </c>
      <c r="B3764" t="str">
        <f>"300007"</f>
        <v>300007</v>
      </c>
      <c r="C3764" t="s">
        <v>7873</v>
      </c>
      <c r="D3764" t="s">
        <v>2551</v>
      </c>
      <c r="F3764">
        <v>1327976162</v>
      </c>
      <c r="G3764">
        <v>1316049618</v>
      </c>
      <c r="H3764">
        <v>1077617746</v>
      </c>
      <c r="I3764">
        <v>1141184709</v>
      </c>
      <c r="J3764">
        <v>961586650</v>
      </c>
      <c r="K3764">
        <v>751434464</v>
      </c>
      <c r="L3764">
        <v>458955280</v>
      </c>
      <c r="M3764">
        <v>195968914</v>
      </c>
      <c r="N3764">
        <v>195210185</v>
      </c>
      <c r="O3764">
        <v>185104454</v>
      </c>
      <c r="P3764">
        <v>314</v>
      </c>
      <c r="Q3764" t="s">
        <v>7874</v>
      </c>
    </row>
    <row r="3765" spans="1:17" x14ac:dyDescent="0.3">
      <c r="A3765" t="s">
        <v>4664</v>
      </c>
      <c r="B3765" t="str">
        <f>"300008"</f>
        <v>300008</v>
      </c>
      <c r="C3765" t="s">
        <v>7875</v>
      </c>
      <c r="D3765" t="s">
        <v>167</v>
      </c>
      <c r="F3765">
        <v>1010356918</v>
      </c>
      <c r="G3765">
        <v>408383437</v>
      </c>
      <c r="H3765">
        <v>468908391</v>
      </c>
      <c r="I3765">
        <v>823590694</v>
      </c>
      <c r="J3765">
        <v>725174520</v>
      </c>
      <c r="K3765">
        <v>894344367</v>
      </c>
      <c r="L3765">
        <v>659425715</v>
      </c>
      <c r="M3765">
        <v>267019482</v>
      </c>
      <c r="N3765">
        <v>202899515</v>
      </c>
      <c r="O3765">
        <v>167525165</v>
      </c>
      <c r="P3765">
        <v>107</v>
      </c>
      <c r="Q3765" t="s">
        <v>7876</v>
      </c>
    </row>
    <row r="3766" spans="1:17" x14ac:dyDescent="0.3">
      <c r="A3766" t="s">
        <v>4664</v>
      </c>
      <c r="B3766" t="str">
        <f>"300009"</f>
        <v>300009</v>
      </c>
      <c r="C3766" t="s">
        <v>7877</v>
      </c>
      <c r="D3766" t="s">
        <v>1379</v>
      </c>
      <c r="F3766">
        <v>1439809595</v>
      </c>
      <c r="G3766">
        <v>1176569659</v>
      </c>
      <c r="H3766">
        <v>1115643699</v>
      </c>
      <c r="I3766">
        <v>968247352</v>
      </c>
      <c r="J3766">
        <v>740584119</v>
      </c>
      <c r="K3766">
        <v>595856904</v>
      </c>
      <c r="L3766">
        <v>442200611</v>
      </c>
      <c r="M3766">
        <v>380988762</v>
      </c>
      <c r="N3766">
        <v>301271133</v>
      </c>
      <c r="O3766">
        <v>251957347</v>
      </c>
      <c r="P3766">
        <v>840</v>
      </c>
      <c r="Q3766" t="s">
        <v>7878</v>
      </c>
    </row>
    <row r="3767" spans="1:17" x14ac:dyDescent="0.3">
      <c r="A3767" t="s">
        <v>4664</v>
      </c>
      <c r="B3767" t="str">
        <f>"300010"</f>
        <v>300010</v>
      </c>
      <c r="C3767" t="s">
        <v>7879</v>
      </c>
      <c r="D3767" t="s">
        <v>1336</v>
      </c>
      <c r="F3767">
        <v>941342656</v>
      </c>
      <c r="G3767">
        <v>1398874388</v>
      </c>
      <c r="H3767">
        <v>1307881253</v>
      </c>
      <c r="I3767">
        <v>1227059069</v>
      </c>
      <c r="J3767">
        <v>1107470770</v>
      </c>
      <c r="K3767">
        <v>857109458</v>
      </c>
      <c r="L3767">
        <v>652744583</v>
      </c>
      <c r="M3767">
        <v>467615998</v>
      </c>
      <c r="N3767">
        <v>348373304</v>
      </c>
      <c r="O3767">
        <v>364957932</v>
      </c>
      <c r="P3767">
        <v>262</v>
      </c>
      <c r="Q3767" t="s">
        <v>7880</v>
      </c>
    </row>
    <row r="3768" spans="1:17" x14ac:dyDescent="0.3">
      <c r="A3768" t="s">
        <v>4664</v>
      </c>
      <c r="B3768" t="str">
        <f>"300011"</f>
        <v>300011</v>
      </c>
      <c r="C3768" t="s">
        <v>7881</v>
      </c>
      <c r="D3768" t="s">
        <v>1012</v>
      </c>
      <c r="F3768">
        <v>843449630</v>
      </c>
      <c r="G3768">
        <v>930792379</v>
      </c>
      <c r="H3768">
        <v>1100434053</v>
      </c>
      <c r="I3768">
        <v>924328508</v>
      </c>
      <c r="J3768">
        <v>791043153</v>
      </c>
      <c r="K3768">
        <v>655523655</v>
      </c>
      <c r="L3768">
        <v>594605334</v>
      </c>
      <c r="M3768">
        <v>332228807</v>
      </c>
      <c r="N3768">
        <v>271860002</v>
      </c>
      <c r="O3768">
        <v>136683796</v>
      </c>
      <c r="P3768">
        <v>109</v>
      </c>
      <c r="Q3768" t="s">
        <v>7882</v>
      </c>
    </row>
    <row r="3769" spans="1:17" x14ac:dyDescent="0.3">
      <c r="A3769" t="s">
        <v>4664</v>
      </c>
      <c r="B3769" t="str">
        <f>"300012"</f>
        <v>300012</v>
      </c>
      <c r="C3769" t="s">
        <v>7883</v>
      </c>
      <c r="D3769" t="s">
        <v>2499</v>
      </c>
      <c r="F3769">
        <v>2853597237</v>
      </c>
      <c r="G3769">
        <v>2295853782</v>
      </c>
      <c r="H3769">
        <v>1993344617</v>
      </c>
      <c r="I3769">
        <v>1752002204</v>
      </c>
      <c r="J3769">
        <v>1396555681</v>
      </c>
      <c r="K3769">
        <v>1060186929</v>
      </c>
      <c r="L3769">
        <v>836638127</v>
      </c>
      <c r="M3769">
        <v>623563903</v>
      </c>
      <c r="N3769">
        <v>553708385</v>
      </c>
      <c r="O3769">
        <v>418999195</v>
      </c>
      <c r="P3769">
        <v>1300</v>
      </c>
      <c r="Q3769" t="s">
        <v>7884</v>
      </c>
    </row>
    <row r="3770" spans="1:17" x14ac:dyDescent="0.3">
      <c r="A3770" t="s">
        <v>4664</v>
      </c>
      <c r="B3770" t="str">
        <f>"300013"</f>
        <v>300013</v>
      </c>
      <c r="C3770" t="s">
        <v>7885</v>
      </c>
      <c r="D3770" t="s">
        <v>3098</v>
      </c>
      <c r="F3770">
        <v>674553647</v>
      </c>
      <c r="G3770">
        <v>659543662</v>
      </c>
      <c r="H3770">
        <v>695613159</v>
      </c>
      <c r="I3770">
        <v>657854488</v>
      </c>
      <c r="J3770">
        <v>574940800</v>
      </c>
      <c r="K3770">
        <v>583327362</v>
      </c>
      <c r="L3770">
        <v>349293855</v>
      </c>
      <c r="M3770">
        <v>326673764</v>
      </c>
      <c r="N3770">
        <v>267287565</v>
      </c>
      <c r="O3770">
        <v>235559520</v>
      </c>
      <c r="P3770">
        <v>70</v>
      </c>
      <c r="Q3770" t="s">
        <v>7886</v>
      </c>
    </row>
    <row r="3771" spans="1:17" x14ac:dyDescent="0.3">
      <c r="A3771" t="s">
        <v>4664</v>
      </c>
      <c r="B3771" t="str">
        <f>"300014"</f>
        <v>300014</v>
      </c>
      <c r="C3771" t="s">
        <v>7887</v>
      </c>
      <c r="D3771" t="s">
        <v>359</v>
      </c>
      <c r="F3771">
        <v>8735459877</v>
      </c>
      <c r="G3771">
        <v>4627369979</v>
      </c>
      <c r="H3771">
        <v>3527969042</v>
      </c>
      <c r="I3771">
        <v>2154414919</v>
      </c>
      <c r="J3771">
        <v>1658247276</v>
      </c>
      <c r="K3771">
        <v>1260191944</v>
      </c>
      <c r="L3771">
        <v>919688549</v>
      </c>
      <c r="M3771">
        <v>978035720</v>
      </c>
      <c r="N3771">
        <v>661379577</v>
      </c>
      <c r="O3771">
        <v>277293556</v>
      </c>
      <c r="P3771">
        <v>2493</v>
      </c>
      <c r="Q3771" t="s">
        <v>7888</v>
      </c>
    </row>
    <row r="3772" spans="1:17" x14ac:dyDescent="0.3">
      <c r="A3772" t="s">
        <v>4664</v>
      </c>
      <c r="B3772" t="str">
        <f>"300015"</f>
        <v>300015</v>
      </c>
      <c r="C3772" t="s">
        <v>7889</v>
      </c>
      <c r="D3772" t="s">
        <v>1147</v>
      </c>
      <c r="F3772">
        <v>11477936612</v>
      </c>
      <c r="G3772">
        <v>8449587191</v>
      </c>
      <c r="H3772">
        <v>7492203650</v>
      </c>
      <c r="I3772">
        <v>5896942757</v>
      </c>
      <c r="J3772">
        <v>4190356690</v>
      </c>
      <c r="K3772">
        <v>2999634714</v>
      </c>
      <c r="L3772">
        <v>2398274101</v>
      </c>
      <c r="M3772">
        <v>1826969545</v>
      </c>
      <c r="N3772">
        <v>1488691396</v>
      </c>
      <c r="O3772">
        <v>1185122621</v>
      </c>
      <c r="P3772">
        <v>11096</v>
      </c>
      <c r="Q3772" t="s">
        <v>7890</v>
      </c>
    </row>
    <row r="3773" spans="1:17" x14ac:dyDescent="0.3">
      <c r="A3773" t="s">
        <v>4664</v>
      </c>
      <c r="B3773" t="str">
        <f>"300016"</f>
        <v>300016</v>
      </c>
      <c r="C3773" t="s">
        <v>7891</v>
      </c>
      <c r="D3773" t="s">
        <v>143</v>
      </c>
      <c r="F3773">
        <v>749450904</v>
      </c>
      <c r="G3773">
        <v>612135790</v>
      </c>
      <c r="H3773">
        <v>637635248</v>
      </c>
      <c r="I3773">
        <v>489101421</v>
      </c>
      <c r="J3773">
        <v>423209228</v>
      </c>
      <c r="K3773">
        <v>431218561</v>
      </c>
      <c r="L3773">
        <v>383203745</v>
      </c>
      <c r="M3773">
        <v>279708260</v>
      </c>
      <c r="N3773">
        <v>221875480</v>
      </c>
      <c r="O3773">
        <v>193158103</v>
      </c>
      <c r="P3773">
        <v>305</v>
      </c>
      <c r="Q3773" t="s">
        <v>7892</v>
      </c>
    </row>
    <row r="3774" spans="1:17" x14ac:dyDescent="0.3">
      <c r="A3774" t="s">
        <v>4664</v>
      </c>
      <c r="B3774" t="str">
        <f>"300017"</f>
        <v>300017</v>
      </c>
      <c r="C3774" t="s">
        <v>7893</v>
      </c>
      <c r="D3774" t="s">
        <v>316</v>
      </c>
      <c r="F3774">
        <v>3569336691</v>
      </c>
      <c r="G3774">
        <v>4609710851</v>
      </c>
      <c r="H3774">
        <v>4175519400</v>
      </c>
      <c r="I3774">
        <v>4242890779</v>
      </c>
      <c r="J3774">
        <v>3765958332</v>
      </c>
      <c r="K3774">
        <v>3044164615</v>
      </c>
      <c r="L3774">
        <v>2043418225</v>
      </c>
      <c r="M3774">
        <v>1261405257</v>
      </c>
      <c r="N3774">
        <v>726723012</v>
      </c>
      <c r="O3774">
        <v>525974800</v>
      </c>
      <c r="P3774">
        <v>759</v>
      </c>
      <c r="Q3774" t="s">
        <v>7894</v>
      </c>
    </row>
    <row r="3775" spans="1:17" x14ac:dyDescent="0.3">
      <c r="A3775" t="s">
        <v>4664</v>
      </c>
      <c r="B3775" t="str">
        <f>"300018"</f>
        <v>300018</v>
      </c>
      <c r="C3775" t="s">
        <v>7895</v>
      </c>
      <c r="D3775" t="s">
        <v>610</v>
      </c>
      <c r="F3775">
        <v>313892676</v>
      </c>
      <c r="G3775">
        <v>276463849</v>
      </c>
      <c r="H3775">
        <v>311541249</v>
      </c>
      <c r="I3775">
        <v>300624758</v>
      </c>
      <c r="J3775">
        <v>263905854</v>
      </c>
      <c r="K3775">
        <v>253862425</v>
      </c>
      <c r="L3775">
        <v>164037401</v>
      </c>
      <c r="M3775">
        <v>153409175</v>
      </c>
      <c r="N3775">
        <v>145820592</v>
      </c>
      <c r="O3775">
        <v>135185053</v>
      </c>
      <c r="P3775">
        <v>127</v>
      </c>
      <c r="Q3775" t="s">
        <v>7896</v>
      </c>
    </row>
    <row r="3776" spans="1:17" x14ac:dyDescent="0.3">
      <c r="A3776" t="s">
        <v>4664</v>
      </c>
      <c r="B3776" t="str">
        <f>"300019"</f>
        <v>300019</v>
      </c>
      <c r="C3776" t="s">
        <v>7897</v>
      </c>
      <c r="D3776" t="s">
        <v>1205</v>
      </c>
      <c r="F3776">
        <v>944073799</v>
      </c>
      <c r="G3776">
        <v>496108001</v>
      </c>
      <c r="H3776">
        <v>385072964</v>
      </c>
      <c r="I3776">
        <v>312769234</v>
      </c>
      <c r="J3776">
        <v>295417954</v>
      </c>
      <c r="K3776">
        <v>264454234</v>
      </c>
      <c r="L3776">
        <v>254382636</v>
      </c>
      <c r="M3776">
        <v>239832867</v>
      </c>
      <c r="N3776">
        <v>200528153</v>
      </c>
      <c r="O3776">
        <v>145935429</v>
      </c>
      <c r="P3776">
        <v>295</v>
      </c>
      <c r="Q3776" t="s">
        <v>7898</v>
      </c>
    </row>
    <row r="3777" spans="1:17" x14ac:dyDescent="0.3">
      <c r="A3777" t="s">
        <v>4664</v>
      </c>
      <c r="B3777" t="str">
        <f>"300020"</f>
        <v>300020</v>
      </c>
      <c r="C3777" t="s">
        <v>7899</v>
      </c>
      <c r="D3777" t="s">
        <v>316</v>
      </c>
      <c r="F3777">
        <v>1326858366</v>
      </c>
      <c r="G3777">
        <v>1365536988</v>
      </c>
      <c r="H3777">
        <v>1267043122</v>
      </c>
      <c r="I3777">
        <v>1453072351</v>
      </c>
      <c r="J3777">
        <v>1159397225</v>
      </c>
      <c r="K3777">
        <v>852563915</v>
      </c>
      <c r="L3777">
        <v>1051996795</v>
      </c>
      <c r="M3777">
        <v>1082563249</v>
      </c>
      <c r="N3777">
        <v>932572732</v>
      </c>
      <c r="O3777">
        <v>1009544639</v>
      </c>
      <c r="P3777">
        <v>237</v>
      </c>
      <c r="Q3777" t="s">
        <v>7900</v>
      </c>
    </row>
    <row r="3778" spans="1:17" x14ac:dyDescent="0.3">
      <c r="A3778" t="s">
        <v>4664</v>
      </c>
      <c r="B3778" t="str">
        <f>"300021"</f>
        <v>300021</v>
      </c>
      <c r="C3778" t="s">
        <v>7901</v>
      </c>
      <c r="D3778" t="s">
        <v>6816</v>
      </c>
      <c r="F3778">
        <v>1708324437</v>
      </c>
      <c r="G3778">
        <v>1077198165</v>
      </c>
      <c r="H3778">
        <v>1184043656</v>
      </c>
      <c r="I3778">
        <v>1185296729</v>
      </c>
      <c r="J3778">
        <v>590764147</v>
      </c>
      <c r="K3778">
        <v>598192034</v>
      </c>
      <c r="L3778">
        <v>691097229</v>
      </c>
      <c r="M3778">
        <v>444001937</v>
      </c>
      <c r="N3778">
        <v>315871502</v>
      </c>
      <c r="O3778">
        <v>351022883</v>
      </c>
      <c r="P3778">
        <v>174</v>
      </c>
      <c r="Q3778" t="s">
        <v>7902</v>
      </c>
    </row>
    <row r="3779" spans="1:17" x14ac:dyDescent="0.3">
      <c r="A3779" t="s">
        <v>4664</v>
      </c>
      <c r="B3779" t="str">
        <f>"300022"</f>
        <v>300022</v>
      </c>
      <c r="C3779" t="s">
        <v>7903</v>
      </c>
      <c r="D3779" t="s">
        <v>295</v>
      </c>
      <c r="F3779">
        <v>1879217718</v>
      </c>
      <c r="G3779">
        <v>1843458295</v>
      </c>
      <c r="H3779">
        <v>1822865594</v>
      </c>
      <c r="I3779">
        <v>2265602769</v>
      </c>
      <c r="J3779">
        <v>2511391204</v>
      </c>
      <c r="K3779">
        <v>2684548444</v>
      </c>
      <c r="L3779">
        <v>2646407594</v>
      </c>
      <c r="M3779">
        <v>3326747074</v>
      </c>
      <c r="N3779">
        <v>4456488953</v>
      </c>
      <c r="O3779">
        <v>3942460382</v>
      </c>
      <c r="P3779">
        <v>63</v>
      </c>
      <c r="Q3779" t="s">
        <v>7904</v>
      </c>
    </row>
    <row r="3780" spans="1:17" x14ac:dyDescent="0.3">
      <c r="A3780" t="s">
        <v>4664</v>
      </c>
      <c r="B3780" t="str">
        <f>"300023"</f>
        <v>300023</v>
      </c>
      <c r="C3780" t="s">
        <v>7905</v>
      </c>
      <c r="D3780" t="s">
        <v>140</v>
      </c>
      <c r="F3780">
        <v>22542235</v>
      </c>
      <c r="G3780">
        <v>26429285</v>
      </c>
      <c r="H3780">
        <v>92571608</v>
      </c>
      <c r="I3780">
        <v>235664046</v>
      </c>
      <c r="J3780">
        <v>526680086</v>
      </c>
      <c r="K3780">
        <v>378484402</v>
      </c>
      <c r="L3780">
        <v>150967369</v>
      </c>
      <c r="M3780">
        <v>46036877</v>
      </c>
      <c r="N3780">
        <v>57613840</v>
      </c>
      <c r="O3780">
        <v>43160850</v>
      </c>
      <c r="P3780">
        <v>61</v>
      </c>
      <c r="Q3780" t="s">
        <v>7906</v>
      </c>
    </row>
    <row r="3781" spans="1:17" x14ac:dyDescent="0.3">
      <c r="A3781" t="s">
        <v>4664</v>
      </c>
      <c r="B3781" t="str">
        <f>"300024"</f>
        <v>300024</v>
      </c>
      <c r="C3781" t="s">
        <v>2911</v>
      </c>
      <c r="D3781" t="s">
        <v>2911</v>
      </c>
      <c r="F3781">
        <v>2332147184</v>
      </c>
      <c r="G3781">
        <v>1648926180</v>
      </c>
      <c r="H3781">
        <v>1634286345</v>
      </c>
      <c r="I3781">
        <v>1854516715</v>
      </c>
      <c r="J3781">
        <v>1342119558</v>
      </c>
      <c r="K3781">
        <v>986016242</v>
      </c>
      <c r="L3781">
        <v>960712771</v>
      </c>
      <c r="M3781">
        <v>774289525</v>
      </c>
      <c r="N3781">
        <v>606058301</v>
      </c>
      <c r="O3781">
        <v>517287970</v>
      </c>
      <c r="P3781">
        <v>547</v>
      </c>
      <c r="Q3781" t="s">
        <v>7907</v>
      </c>
    </row>
    <row r="3782" spans="1:17" x14ac:dyDescent="0.3">
      <c r="A3782" t="s">
        <v>4664</v>
      </c>
      <c r="B3782" t="str">
        <f>"300025"</f>
        <v>300025</v>
      </c>
      <c r="C3782" t="s">
        <v>7908</v>
      </c>
      <c r="D3782" t="s">
        <v>654</v>
      </c>
      <c r="F3782">
        <v>611698804</v>
      </c>
      <c r="G3782">
        <v>718384288</v>
      </c>
      <c r="H3782">
        <v>873291990</v>
      </c>
      <c r="I3782">
        <v>1197249051</v>
      </c>
      <c r="J3782">
        <v>1083771095</v>
      </c>
      <c r="K3782">
        <v>794726097</v>
      </c>
      <c r="L3782">
        <v>647153685</v>
      </c>
      <c r="M3782">
        <v>417707090</v>
      </c>
      <c r="N3782">
        <v>351699460</v>
      </c>
      <c r="O3782">
        <v>316414708</v>
      </c>
      <c r="P3782">
        <v>223</v>
      </c>
      <c r="Q3782" t="s">
        <v>7909</v>
      </c>
    </row>
    <row r="3783" spans="1:17" x14ac:dyDescent="0.3">
      <c r="A3783" t="s">
        <v>4664</v>
      </c>
      <c r="B3783" t="str">
        <f>"300026"</f>
        <v>300026</v>
      </c>
      <c r="C3783" t="s">
        <v>7910</v>
      </c>
      <c r="D3783" t="s">
        <v>188</v>
      </c>
      <c r="F3783">
        <v>5357551733</v>
      </c>
      <c r="G3783">
        <v>4200513229</v>
      </c>
      <c r="H3783">
        <v>3731713270</v>
      </c>
      <c r="I3783">
        <v>3368176043</v>
      </c>
      <c r="J3783">
        <v>2873290272</v>
      </c>
      <c r="K3783">
        <v>2775045698</v>
      </c>
      <c r="L3783">
        <v>2003437290</v>
      </c>
      <c r="M3783">
        <v>1963719818</v>
      </c>
      <c r="N3783">
        <v>1460093792</v>
      </c>
      <c r="O3783">
        <v>766436820</v>
      </c>
      <c r="P3783">
        <v>417</v>
      </c>
      <c r="Q3783" t="s">
        <v>7911</v>
      </c>
    </row>
    <row r="3784" spans="1:17" x14ac:dyDescent="0.3">
      <c r="A3784" t="s">
        <v>4664</v>
      </c>
      <c r="B3784" t="str">
        <f>"300027"</f>
        <v>300027</v>
      </c>
      <c r="C3784" t="s">
        <v>7912</v>
      </c>
      <c r="D3784" t="s">
        <v>113</v>
      </c>
      <c r="F3784">
        <v>1348453536</v>
      </c>
      <c r="G3784">
        <v>762854093</v>
      </c>
      <c r="H3784">
        <v>2232872438</v>
      </c>
      <c r="I3784">
        <v>3970964671</v>
      </c>
      <c r="J3784">
        <v>2411110092</v>
      </c>
      <c r="K3784">
        <v>2689644357</v>
      </c>
      <c r="L3784">
        <v>2690831826</v>
      </c>
      <c r="M3784">
        <v>1731538433</v>
      </c>
      <c r="N3784">
        <v>1501177335</v>
      </c>
      <c r="O3784">
        <v>646279518</v>
      </c>
      <c r="P3784">
        <v>475</v>
      </c>
      <c r="Q3784" t="s">
        <v>7913</v>
      </c>
    </row>
    <row r="3785" spans="1:17" x14ac:dyDescent="0.3">
      <c r="A3785" t="s">
        <v>4664</v>
      </c>
      <c r="B3785" t="str">
        <f>"300028"</f>
        <v>300028</v>
      </c>
      <c r="C3785" t="s">
        <v>7914</v>
      </c>
      <c r="H3785">
        <v>5916848</v>
      </c>
      <c r="I3785">
        <v>18099495</v>
      </c>
      <c r="J3785">
        <v>21216551</v>
      </c>
      <c r="K3785">
        <v>202139563</v>
      </c>
      <c r="L3785">
        <v>182550485</v>
      </c>
      <c r="M3785">
        <v>482454577</v>
      </c>
      <c r="N3785">
        <v>291078833</v>
      </c>
      <c r="O3785">
        <v>249798163</v>
      </c>
      <c r="P3785">
        <v>31</v>
      </c>
      <c r="Q3785" t="s">
        <v>7915</v>
      </c>
    </row>
    <row r="3786" spans="1:17" x14ac:dyDescent="0.3">
      <c r="A3786" t="s">
        <v>4664</v>
      </c>
      <c r="B3786" t="str">
        <f>"300029"</f>
        <v>300029</v>
      </c>
      <c r="C3786" t="s">
        <v>7916</v>
      </c>
      <c r="D3786" t="s">
        <v>2654</v>
      </c>
      <c r="F3786">
        <v>85818433</v>
      </c>
      <c r="G3786">
        <v>1482123</v>
      </c>
      <c r="H3786">
        <v>12607808</v>
      </c>
      <c r="I3786">
        <v>24393795</v>
      </c>
      <c r="J3786">
        <v>78360470</v>
      </c>
      <c r="K3786">
        <v>82939862</v>
      </c>
      <c r="L3786">
        <v>85716810</v>
      </c>
      <c r="M3786">
        <v>137146736</v>
      </c>
      <c r="N3786">
        <v>95736768</v>
      </c>
      <c r="O3786">
        <v>120019902</v>
      </c>
      <c r="P3786">
        <v>66</v>
      </c>
      <c r="Q3786" t="s">
        <v>7917</v>
      </c>
    </row>
    <row r="3787" spans="1:17" x14ac:dyDescent="0.3">
      <c r="A3787" t="s">
        <v>4664</v>
      </c>
      <c r="B3787" t="str">
        <f>"300030"</f>
        <v>300030</v>
      </c>
      <c r="C3787" t="s">
        <v>7918</v>
      </c>
      <c r="D3787" t="s">
        <v>122</v>
      </c>
      <c r="F3787">
        <v>815324201</v>
      </c>
      <c r="G3787">
        <v>685545210</v>
      </c>
      <c r="H3787">
        <v>530948556</v>
      </c>
      <c r="I3787">
        <v>471805484</v>
      </c>
      <c r="J3787">
        <v>587125543</v>
      </c>
      <c r="K3787">
        <v>483850415</v>
      </c>
      <c r="L3787">
        <v>488272255</v>
      </c>
      <c r="M3787">
        <v>311400940</v>
      </c>
      <c r="N3787">
        <v>266329788</v>
      </c>
      <c r="O3787">
        <v>199330526</v>
      </c>
      <c r="P3787">
        <v>182</v>
      </c>
      <c r="Q3787" t="s">
        <v>7919</v>
      </c>
    </row>
    <row r="3788" spans="1:17" x14ac:dyDescent="0.3">
      <c r="A3788" t="s">
        <v>4664</v>
      </c>
      <c r="B3788" t="str">
        <f>"300031"</f>
        <v>300031</v>
      </c>
      <c r="C3788" t="s">
        <v>7920</v>
      </c>
      <c r="D3788" t="s">
        <v>517</v>
      </c>
      <c r="F3788">
        <v>1916394399</v>
      </c>
      <c r="G3788">
        <v>1892911861</v>
      </c>
      <c r="H3788">
        <v>1552061292</v>
      </c>
      <c r="I3788">
        <v>1466596071</v>
      </c>
      <c r="J3788">
        <v>1056120890</v>
      </c>
      <c r="K3788">
        <v>984020681</v>
      </c>
      <c r="L3788">
        <v>321739576</v>
      </c>
      <c r="M3788">
        <v>331237065</v>
      </c>
      <c r="N3788">
        <v>348899599</v>
      </c>
      <c r="O3788">
        <v>212712150</v>
      </c>
      <c r="P3788">
        <v>259</v>
      </c>
      <c r="Q3788" t="s">
        <v>7921</v>
      </c>
    </row>
    <row r="3789" spans="1:17" x14ac:dyDescent="0.3">
      <c r="A3789" t="s">
        <v>4664</v>
      </c>
      <c r="B3789" t="str">
        <f>"300032"</f>
        <v>300032</v>
      </c>
      <c r="C3789" t="s">
        <v>7922</v>
      </c>
      <c r="D3789" t="s">
        <v>313</v>
      </c>
      <c r="F3789">
        <v>1343486047</v>
      </c>
      <c r="G3789">
        <v>1049618681</v>
      </c>
      <c r="H3789">
        <v>1378748067</v>
      </c>
      <c r="I3789">
        <v>2763629109</v>
      </c>
      <c r="J3789">
        <v>2695026485</v>
      </c>
      <c r="K3789">
        <v>2832598328</v>
      </c>
      <c r="L3789">
        <v>2271862912</v>
      </c>
      <c r="M3789">
        <v>453612133</v>
      </c>
      <c r="N3789">
        <v>267042502</v>
      </c>
      <c r="O3789">
        <v>250373967</v>
      </c>
      <c r="P3789">
        <v>152</v>
      </c>
      <c r="Q3789" t="s">
        <v>7923</v>
      </c>
    </row>
    <row r="3790" spans="1:17" x14ac:dyDescent="0.3">
      <c r="A3790" t="s">
        <v>4664</v>
      </c>
      <c r="B3790" t="str">
        <f>"300033"</f>
        <v>300033</v>
      </c>
      <c r="C3790" t="s">
        <v>7924</v>
      </c>
      <c r="D3790" t="s">
        <v>945</v>
      </c>
      <c r="F3790">
        <v>2541683684</v>
      </c>
      <c r="G3790">
        <v>2111691725</v>
      </c>
      <c r="H3790">
        <v>1429156547</v>
      </c>
      <c r="I3790">
        <v>871054877</v>
      </c>
      <c r="J3790">
        <v>1085163665</v>
      </c>
      <c r="K3790">
        <v>1208317399</v>
      </c>
      <c r="L3790">
        <v>1414633467</v>
      </c>
      <c r="M3790">
        <v>225021404</v>
      </c>
      <c r="N3790">
        <v>139621265</v>
      </c>
      <c r="O3790">
        <v>96735277</v>
      </c>
      <c r="P3790">
        <v>2726</v>
      </c>
      <c r="Q3790" t="s">
        <v>7925</v>
      </c>
    </row>
    <row r="3791" spans="1:17" x14ac:dyDescent="0.3">
      <c r="A3791" t="s">
        <v>4664</v>
      </c>
      <c r="B3791" t="str">
        <f>"300034"</f>
        <v>300034</v>
      </c>
      <c r="C3791" t="s">
        <v>7926</v>
      </c>
      <c r="D3791" t="s">
        <v>98</v>
      </c>
      <c r="F3791">
        <v>1083766375</v>
      </c>
      <c r="G3791">
        <v>986303221</v>
      </c>
      <c r="H3791">
        <v>848544257</v>
      </c>
      <c r="I3791">
        <v>396201146</v>
      </c>
      <c r="J3791">
        <v>465834510</v>
      </c>
      <c r="K3791">
        <v>486308305</v>
      </c>
      <c r="L3791">
        <v>447127877</v>
      </c>
      <c r="M3791">
        <v>378361487</v>
      </c>
      <c r="N3791">
        <v>303207391</v>
      </c>
      <c r="O3791">
        <v>286873500</v>
      </c>
      <c r="P3791">
        <v>282</v>
      </c>
      <c r="Q3791" t="s">
        <v>7927</v>
      </c>
    </row>
    <row r="3792" spans="1:17" x14ac:dyDescent="0.3">
      <c r="A3792" t="s">
        <v>4664</v>
      </c>
      <c r="B3792" t="str">
        <f>"300035"</f>
        <v>300035</v>
      </c>
      <c r="C3792" t="s">
        <v>7928</v>
      </c>
      <c r="D3792" t="s">
        <v>1786</v>
      </c>
      <c r="F3792">
        <v>435399174</v>
      </c>
      <c r="G3792">
        <v>423717480</v>
      </c>
      <c r="H3792">
        <v>421721828</v>
      </c>
      <c r="I3792">
        <v>186636274</v>
      </c>
      <c r="J3792">
        <v>221138410</v>
      </c>
      <c r="K3792">
        <v>111711890</v>
      </c>
      <c r="L3792">
        <v>105955310</v>
      </c>
      <c r="M3792">
        <v>110443202</v>
      </c>
      <c r="N3792">
        <v>131503059</v>
      </c>
      <c r="O3792">
        <v>199799257</v>
      </c>
      <c r="P3792">
        <v>272</v>
      </c>
      <c r="Q3792" t="s">
        <v>7929</v>
      </c>
    </row>
    <row r="3793" spans="1:17" x14ac:dyDescent="0.3">
      <c r="A3793" t="s">
        <v>4664</v>
      </c>
      <c r="B3793" t="str">
        <f>"300036"</f>
        <v>300036</v>
      </c>
      <c r="C3793" t="s">
        <v>7930</v>
      </c>
      <c r="D3793" t="s">
        <v>1189</v>
      </c>
      <c r="F3793">
        <v>775055023</v>
      </c>
      <c r="G3793">
        <v>706715104</v>
      </c>
      <c r="H3793">
        <v>699942086</v>
      </c>
      <c r="I3793">
        <v>577537414</v>
      </c>
      <c r="J3793">
        <v>504956735</v>
      </c>
      <c r="K3793">
        <v>285272446</v>
      </c>
      <c r="L3793">
        <v>180312090</v>
      </c>
      <c r="M3793">
        <v>169610495</v>
      </c>
      <c r="N3793">
        <v>133338277</v>
      </c>
      <c r="O3793">
        <v>126297930</v>
      </c>
      <c r="P3793">
        <v>545</v>
      </c>
      <c r="Q3793" t="s">
        <v>7931</v>
      </c>
    </row>
    <row r="3794" spans="1:17" x14ac:dyDescent="0.3">
      <c r="A3794" t="s">
        <v>4664</v>
      </c>
      <c r="B3794" t="str">
        <f>"300037"</f>
        <v>300037</v>
      </c>
      <c r="C3794" t="s">
        <v>7932</v>
      </c>
      <c r="D3794" t="s">
        <v>1786</v>
      </c>
      <c r="F3794">
        <v>2685004510</v>
      </c>
      <c r="G3794">
        <v>1845502872</v>
      </c>
      <c r="H3794">
        <v>1748139170</v>
      </c>
      <c r="I3794">
        <v>1447368822</v>
      </c>
      <c r="J3794">
        <v>1159629110</v>
      </c>
      <c r="K3794">
        <v>972150435</v>
      </c>
      <c r="L3794">
        <v>604723008</v>
      </c>
      <c r="M3794">
        <v>601480791</v>
      </c>
      <c r="N3794">
        <v>539280111</v>
      </c>
      <c r="O3794">
        <v>532312310</v>
      </c>
      <c r="P3794">
        <v>830</v>
      </c>
      <c r="Q3794" t="s">
        <v>7933</v>
      </c>
    </row>
    <row r="3795" spans="1:17" x14ac:dyDescent="0.3">
      <c r="A3795" t="s">
        <v>4664</v>
      </c>
      <c r="B3795" t="str">
        <f>"300038"</f>
        <v>300038</v>
      </c>
      <c r="C3795" t="s">
        <v>7934</v>
      </c>
      <c r="D3795" t="s">
        <v>207</v>
      </c>
      <c r="F3795">
        <v>2177655266</v>
      </c>
      <c r="G3795">
        <v>3835485720</v>
      </c>
      <c r="H3795">
        <v>3728762763</v>
      </c>
      <c r="I3795">
        <v>3329815085</v>
      </c>
      <c r="J3795">
        <v>1794439875</v>
      </c>
      <c r="K3795">
        <v>639327283</v>
      </c>
      <c r="L3795">
        <v>497965884</v>
      </c>
      <c r="M3795">
        <v>359430338</v>
      </c>
      <c r="N3795">
        <v>131135276</v>
      </c>
      <c r="O3795">
        <v>346989004</v>
      </c>
      <c r="P3795">
        <v>263</v>
      </c>
      <c r="Q3795" t="s">
        <v>7935</v>
      </c>
    </row>
    <row r="3796" spans="1:17" x14ac:dyDescent="0.3">
      <c r="A3796" t="s">
        <v>4664</v>
      </c>
      <c r="B3796" t="str">
        <f>"300039"</f>
        <v>300039</v>
      </c>
      <c r="C3796" t="s">
        <v>7936</v>
      </c>
      <c r="D3796" t="s">
        <v>188</v>
      </c>
      <c r="F3796">
        <v>918914669</v>
      </c>
      <c r="G3796">
        <v>930850555</v>
      </c>
      <c r="H3796">
        <v>1273790956</v>
      </c>
      <c r="I3796">
        <v>1343465905</v>
      </c>
      <c r="J3796">
        <v>1360877942</v>
      </c>
      <c r="K3796">
        <v>1285112914</v>
      </c>
      <c r="L3796">
        <v>1150818438</v>
      </c>
      <c r="M3796">
        <v>1163461742</v>
      </c>
      <c r="N3796">
        <v>1095822746</v>
      </c>
      <c r="O3796">
        <v>946241519</v>
      </c>
      <c r="P3796">
        <v>223</v>
      </c>
      <c r="Q3796" t="s">
        <v>7937</v>
      </c>
    </row>
    <row r="3797" spans="1:17" x14ac:dyDescent="0.3">
      <c r="A3797" t="s">
        <v>4664</v>
      </c>
      <c r="B3797" t="str">
        <f>"300040"</f>
        <v>300040</v>
      </c>
      <c r="C3797" t="s">
        <v>7938</v>
      </c>
      <c r="D3797" t="s">
        <v>610</v>
      </c>
      <c r="F3797">
        <v>885605184</v>
      </c>
      <c r="G3797">
        <v>663624676</v>
      </c>
      <c r="H3797">
        <v>463221021</v>
      </c>
      <c r="I3797">
        <v>898987427</v>
      </c>
      <c r="J3797">
        <v>883992821</v>
      </c>
      <c r="K3797">
        <v>677287154</v>
      </c>
      <c r="L3797">
        <v>121327560</v>
      </c>
      <c r="M3797">
        <v>200747356</v>
      </c>
      <c r="N3797">
        <v>200423627</v>
      </c>
      <c r="O3797">
        <v>385143356</v>
      </c>
      <c r="P3797">
        <v>214</v>
      </c>
      <c r="Q3797" t="s">
        <v>7939</v>
      </c>
    </row>
    <row r="3798" spans="1:17" x14ac:dyDescent="0.3">
      <c r="A3798" t="s">
        <v>4664</v>
      </c>
      <c r="B3798" t="str">
        <f>"300041"</f>
        <v>300041</v>
      </c>
      <c r="C3798" t="s">
        <v>7940</v>
      </c>
      <c r="D3798" t="s">
        <v>1205</v>
      </c>
      <c r="F3798">
        <v>1443850841</v>
      </c>
      <c r="G3798">
        <v>1015177032</v>
      </c>
      <c r="H3798">
        <v>834549393</v>
      </c>
      <c r="I3798">
        <v>738756083</v>
      </c>
      <c r="J3798">
        <v>614491043</v>
      </c>
      <c r="K3798">
        <v>547735716</v>
      </c>
      <c r="L3798">
        <v>432276855</v>
      </c>
      <c r="M3798">
        <v>363061325</v>
      </c>
      <c r="N3798">
        <v>287013447</v>
      </c>
      <c r="O3798">
        <v>300396848</v>
      </c>
      <c r="P3798">
        <v>253</v>
      </c>
      <c r="Q3798" t="s">
        <v>7941</v>
      </c>
    </row>
    <row r="3799" spans="1:17" x14ac:dyDescent="0.3">
      <c r="A3799" t="s">
        <v>4664</v>
      </c>
      <c r="B3799" t="str">
        <f>"300042"</f>
        <v>300042</v>
      </c>
      <c r="C3799" t="s">
        <v>7942</v>
      </c>
      <c r="D3799" t="s">
        <v>236</v>
      </c>
      <c r="F3799">
        <v>1370841099</v>
      </c>
      <c r="G3799">
        <v>958345808</v>
      </c>
      <c r="H3799">
        <v>909201189</v>
      </c>
      <c r="I3799">
        <v>679411543</v>
      </c>
      <c r="J3799">
        <v>671914489</v>
      </c>
      <c r="K3799">
        <v>356146520</v>
      </c>
      <c r="L3799">
        <v>273497674</v>
      </c>
      <c r="M3799">
        <v>136279072</v>
      </c>
      <c r="N3799">
        <v>167719629</v>
      </c>
      <c r="O3799">
        <v>154800100</v>
      </c>
      <c r="P3799">
        <v>116</v>
      </c>
      <c r="Q3799" t="s">
        <v>7943</v>
      </c>
    </row>
    <row r="3800" spans="1:17" x14ac:dyDescent="0.3">
      <c r="A3800" t="s">
        <v>4664</v>
      </c>
      <c r="B3800" t="str">
        <f>"300043"</f>
        <v>300043</v>
      </c>
      <c r="C3800" t="s">
        <v>7944</v>
      </c>
      <c r="D3800" t="s">
        <v>517</v>
      </c>
      <c r="F3800">
        <v>1051368958</v>
      </c>
      <c r="G3800">
        <v>1555903140</v>
      </c>
      <c r="H3800">
        <v>2184604913</v>
      </c>
      <c r="I3800">
        <v>2447660653</v>
      </c>
      <c r="J3800">
        <v>2289139606</v>
      </c>
      <c r="K3800">
        <v>1525939828</v>
      </c>
      <c r="L3800">
        <v>1069412270</v>
      </c>
      <c r="M3800">
        <v>2121768022</v>
      </c>
      <c r="N3800">
        <v>1867451065</v>
      </c>
      <c r="O3800">
        <v>692566133</v>
      </c>
      <c r="P3800">
        <v>183</v>
      </c>
      <c r="Q3800" t="s">
        <v>7945</v>
      </c>
    </row>
    <row r="3801" spans="1:17" x14ac:dyDescent="0.3">
      <c r="A3801" t="s">
        <v>4664</v>
      </c>
      <c r="B3801" t="str">
        <f>"300044"</f>
        <v>300044</v>
      </c>
      <c r="C3801" t="s">
        <v>7946</v>
      </c>
      <c r="D3801" t="s">
        <v>316</v>
      </c>
      <c r="F3801">
        <v>417922067</v>
      </c>
      <c r="G3801">
        <v>846574972</v>
      </c>
      <c r="H3801">
        <v>1274280856</v>
      </c>
      <c r="I3801">
        <v>582347663</v>
      </c>
      <c r="J3801">
        <v>641978948</v>
      </c>
      <c r="K3801">
        <v>346862641</v>
      </c>
      <c r="L3801">
        <v>324682446</v>
      </c>
      <c r="M3801">
        <v>304919338</v>
      </c>
      <c r="N3801">
        <v>212459064</v>
      </c>
      <c r="O3801">
        <v>214308755</v>
      </c>
      <c r="P3801">
        <v>289</v>
      </c>
      <c r="Q3801" t="s">
        <v>7947</v>
      </c>
    </row>
    <row r="3802" spans="1:17" x14ac:dyDescent="0.3">
      <c r="A3802" t="s">
        <v>4664</v>
      </c>
      <c r="B3802" t="str">
        <f>"300045"</f>
        <v>300045</v>
      </c>
      <c r="C3802" t="s">
        <v>7948</v>
      </c>
      <c r="D3802" t="s">
        <v>1136</v>
      </c>
      <c r="F3802">
        <v>444924950</v>
      </c>
      <c r="G3802">
        <v>533281403</v>
      </c>
      <c r="H3802">
        <v>385951215</v>
      </c>
      <c r="I3802">
        <v>294435741</v>
      </c>
      <c r="J3802">
        <v>213004908</v>
      </c>
      <c r="K3802">
        <v>220600497</v>
      </c>
      <c r="L3802">
        <v>158973833</v>
      </c>
      <c r="M3802">
        <v>222298617</v>
      </c>
      <c r="N3802">
        <v>202663438</v>
      </c>
      <c r="O3802">
        <v>172226702</v>
      </c>
      <c r="P3802">
        <v>158</v>
      </c>
      <c r="Q3802" t="s">
        <v>7949</v>
      </c>
    </row>
    <row r="3803" spans="1:17" x14ac:dyDescent="0.3">
      <c r="A3803" t="s">
        <v>4664</v>
      </c>
      <c r="B3803" t="str">
        <f>"300046"</f>
        <v>300046</v>
      </c>
      <c r="C3803" t="s">
        <v>7950</v>
      </c>
      <c r="D3803" t="s">
        <v>795</v>
      </c>
      <c r="F3803">
        <v>144102165</v>
      </c>
      <c r="G3803">
        <v>145182761</v>
      </c>
      <c r="H3803">
        <v>234511826</v>
      </c>
      <c r="I3803">
        <v>201742034</v>
      </c>
      <c r="J3803">
        <v>200871905</v>
      </c>
      <c r="K3803">
        <v>143230839</v>
      </c>
      <c r="L3803">
        <v>94308098</v>
      </c>
      <c r="M3803">
        <v>134051881</v>
      </c>
      <c r="N3803">
        <v>112197362</v>
      </c>
      <c r="O3803">
        <v>146251252</v>
      </c>
      <c r="P3803">
        <v>225</v>
      </c>
      <c r="Q3803" t="s">
        <v>7951</v>
      </c>
    </row>
    <row r="3804" spans="1:17" x14ac:dyDescent="0.3">
      <c r="A3804" t="s">
        <v>4664</v>
      </c>
      <c r="B3804" t="str">
        <f>"300047"</f>
        <v>300047</v>
      </c>
      <c r="C3804" t="s">
        <v>7952</v>
      </c>
      <c r="D3804" t="s">
        <v>945</v>
      </c>
      <c r="F3804">
        <v>3833827773</v>
      </c>
      <c r="G3804">
        <v>3884113621</v>
      </c>
      <c r="H3804">
        <v>2812358355</v>
      </c>
      <c r="I3804">
        <v>2215347557</v>
      </c>
      <c r="J3804">
        <v>1751235127</v>
      </c>
      <c r="K3804">
        <v>1587149957</v>
      </c>
      <c r="L3804">
        <v>981903031</v>
      </c>
      <c r="M3804">
        <v>709593039</v>
      </c>
      <c r="N3804">
        <v>506474627</v>
      </c>
      <c r="O3804">
        <v>370332947</v>
      </c>
      <c r="P3804">
        <v>338</v>
      </c>
      <c r="Q3804" t="s">
        <v>7953</v>
      </c>
    </row>
    <row r="3805" spans="1:17" x14ac:dyDescent="0.3">
      <c r="A3805" t="s">
        <v>4664</v>
      </c>
      <c r="B3805" t="str">
        <f>"300048"</f>
        <v>300048</v>
      </c>
      <c r="C3805" t="s">
        <v>7954</v>
      </c>
      <c r="D3805" t="s">
        <v>2423</v>
      </c>
      <c r="F3805">
        <v>523428746</v>
      </c>
      <c r="G3805">
        <v>652651137</v>
      </c>
      <c r="H3805">
        <v>605976295</v>
      </c>
      <c r="I3805">
        <v>585395211</v>
      </c>
      <c r="J3805">
        <v>553805424</v>
      </c>
      <c r="K3805">
        <v>607870091</v>
      </c>
      <c r="L3805">
        <v>312851141</v>
      </c>
      <c r="M3805">
        <v>248706696</v>
      </c>
      <c r="N3805">
        <v>210215873</v>
      </c>
      <c r="O3805">
        <v>227090447</v>
      </c>
      <c r="P3805">
        <v>119</v>
      </c>
      <c r="Q3805" t="s">
        <v>7955</v>
      </c>
    </row>
    <row r="3806" spans="1:17" x14ac:dyDescent="0.3">
      <c r="A3806" t="s">
        <v>4664</v>
      </c>
      <c r="B3806" t="str">
        <f>"300049"</f>
        <v>300049</v>
      </c>
      <c r="C3806" t="s">
        <v>7956</v>
      </c>
      <c r="D3806" t="s">
        <v>122</v>
      </c>
      <c r="F3806">
        <v>598305976</v>
      </c>
      <c r="G3806">
        <v>615125970</v>
      </c>
      <c r="H3806">
        <v>679546957</v>
      </c>
      <c r="I3806">
        <v>610748629</v>
      </c>
      <c r="J3806">
        <v>616369656</v>
      </c>
      <c r="K3806">
        <v>584051815</v>
      </c>
      <c r="L3806">
        <v>501828764</v>
      </c>
      <c r="M3806">
        <v>435165709</v>
      </c>
      <c r="N3806">
        <v>405423034</v>
      </c>
      <c r="O3806">
        <v>324618629</v>
      </c>
      <c r="P3806">
        <v>144</v>
      </c>
      <c r="Q3806" t="s">
        <v>7957</v>
      </c>
    </row>
    <row r="3807" spans="1:17" x14ac:dyDescent="0.3">
      <c r="A3807" t="s">
        <v>4664</v>
      </c>
      <c r="B3807" t="str">
        <f>"300050"</f>
        <v>300050</v>
      </c>
      <c r="C3807" t="s">
        <v>7958</v>
      </c>
      <c r="D3807" t="s">
        <v>654</v>
      </c>
      <c r="F3807">
        <v>697248995</v>
      </c>
      <c r="G3807">
        <v>734502337</v>
      </c>
      <c r="H3807">
        <v>770921890</v>
      </c>
      <c r="I3807">
        <v>661917499</v>
      </c>
      <c r="J3807">
        <v>414633500</v>
      </c>
      <c r="K3807">
        <v>486229329</v>
      </c>
      <c r="L3807">
        <v>371059016</v>
      </c>
      <c r="M3807">
        <v>323236452</v>
      </c>
      <c r="N3807">
        <v>270075901</v>
      </c>
      <c r="O3807">
        <v>202208241</v>
      </c>
      <c r="P3807">
        <v>164</v>
      </c>
      <c r="Q3807" t="s">
        <v>7959</v>
      </c>
    </row>
    <row r="3808" spans="1:17" x14ac:dyDescent="0.3">
      <c r="A3808" t="s">
        <v>4664</v>
      </c>
      <c r="B3808" t="str">
        <f>"300051"</f>
        <v>300051</v>
      </c>
      <c r="C3808" t="s">
        <v>7960</v>
      </c>
      <c r="D3808" t="s">
        <v>517</v>
      </c>
      <c r="F3808">
        <v>145970092</v>
      </c>
      <c r="G3808">
        <v>183107225</v>
      </c>
      <c r="H3808">
        <v>229732763</v>
      </c>
      <c r="I3808">
        <v>192745178</v>
      </c>
      <c r="J3808">
        <v>249227292</v>
      </c>
      <c r="K3808">
        <v>240347202</v>
      </c>
      <c r="L3808">
        <v>182860005</v>
      </c>
      <c r="M3808">
        <v>213411437</v>
      </c>
      <c r="N3808">
        <v>212032253</v>
      </c>
      <c r="O3808">
        <v>182887737</v>
      </c>
      <c r="P3808">
        <v>104</v>
      </c>
      <c r="Q3808" t="s">
        <v>7961</v>
      </c>
    </row>
    <row r="3809" spans="1:17" x14ac:dyDescent="0.3">
      <c r="A3809" t="s">
        <v>4664</v>
      </c>
      <c r="B3809" t="str">
        <f>"300052"</f>
        <v>300052</v>
      </c>
      <c r="C3809" t="s">
        <v>7962</v>
      </c>
      <c r="D3809" t="s">
        <v>517</v>
      </c>
      <c r="F3809">
        <v>234288127</v>
      </c>
      <c r="G3809">
        <v>777619331</v>
      </c>
      <c r="H3809">
        <v>297991670</v>
      </c>
      <c r="I3809">
        <v>173041837</v>
      </c>
      <c r="J3809">
        <v>264385699</v>
      </c>
      <c r="K3809">
        <v>205611737</v>
      </c>
      <c r="L3809">
        <v>208722680</v>
      </c>
      <c r="M3809">
        <v>285629544</v>
      </c>
      <c r="N3809">
        <v>182444190</v>
      </c>
      <c r="O3809">
        <v>145680783</v>
      </c>
      <c r="P3809">
        <v>219</v>
      </c>
      <c r="Q3809" t="s">
        <v>7963</v>
      </c>
    </row>
    <row r="3810" spans="1:17" x14ac:dyDescent="0.3">
      <c r="A3810" t="s">
        <v>4664</v>
      </c>
      <c r="B3810" t="str">
        <f>"300053"</f>
        <v>300053</v>
      </c>
      <c r="C3810" t="s">
        <v>7964</v>
      </c>
      <c r="D3810" t="s">
        <v>461</v>
      </c>
      <c r="F3810">
        <v>491176229</v>
      </c>
      <c r="G3810">
        <v>502290835</v>
      </c>
      <c r="H3810">
        <v>520094541</v>
      </c>
      <c r="I3810">
        <v>455487798</v>
      </c>
      <c r="J3810">
        <v>432261104</v>
      </c>
      <c r="K3810">
        <v>235056852</v>
      </c>
      <c r="L3810">
        <v>174172756</v>
      </c>
      <c r="M3810">
        <v>97483079</v>
      </c>
      <c r="N3810">
        <v>54181259</v>
      </c>
      <c r="O3810">
        <v>106230861</v>
      </c>
      <c r="P3810">
        <v>264</v>
      </c>
      <c r="Q3810" t="s">
        <v>7965</v>
      </c>
    </row>
    <row r="3811" spans="1:17" x14ac:dyDescent="0.3">
      <c r="A3811" t="s">
        <v>4664</v>
      </c>
      <c r="B3811" t="str">
        <f>"300054"</f>
        <v>300054</v>
      </c>
      <c r="C3811" t="s">
        <v>7966</v>
      </c>
      <c r="D3811" t="s">
        <v>2399</v>
      </c>
      <c r="F3811">
        <v>1679502664</v>
      </c>
      <c r="G3811">
        <v>1277956100</v>
      </c>
      <c r="H3811">
        <v>945944778</v>
      </c>
      <c r="I3811">
        <v>1187057386</v>
      </c>
      <c r="J3811">
        <v>1314614494</v>
      </c>
      <c r="K3811">
        <v>1033539803</v>
      </c>
      <c r="L3811">
        <v>737509259</v>
      </c>
      <c r="M3811">
        <v>657682298</v>
      </c>
      <c r="N3811">
        <v>339802138</v>
      </c>
      <c r="O3811">
        <v>215690838</v>
      </c>
      <c r="P3811">
        <v>367</v>
      </c>
      <c r="Q3811" t="s">
        <v>7967</v>
      </c>
    </row>
    <row r="3812" spans="1:17" x14ac:dyDescent="0.3">
      <c r="A3812" t="s">
        <v>4664</v>
      </c>
      <c r="B3812" t="str">
        <f>"300055"</f>
        <v>300055</v>
      </c>
      <c r="C3812" t="s">
        <v>7968</v>
      </c>
      <c r="D3812" t="s">
        <v>33</v>
      </c>
      <c r="F3812">
        <v>1466637046</v>
      </c>
      <c r="G3812">
        <v>284850824</v>
      </c>
      <c r="H3812">
        <v>698750323</v>
      </c>
      <c r="I3812">
        <v>1092300172</v>
      </c>
      <c r="J3812">
        <v>672946980</v>
      </c>
      <c r="K3812">
        <v>581041557</v>
      </c>
      <c r="L3812">
        <v>532296652</v>
      </c>
      <c r="M3812">
        <v>241852477</v>
      </c>
      <c r="N3812">
        <v>291337681</v>
      </c>
      <c r="O3812">
        <v>346651367</v>
      </c>
      <c r="P3812">
        <v>163</v>
      </c>
      <c r="Q3812" t="s">
        <v>7969</v>
      </c>
    </row>
    <row r="3813" spans="1:17" x14ac:dyDescent="0.3">
      <c r="A3813" t="s">
        <v>4664</v>
      </c>
      <c r="B3813" t="str">
        <f>"300056"</f>
        <v>300056</v>
      </c>
      <c r="C3813" t="s">
        <v>7970</v>
      </c>
      <c r="D3813" t="s">
        <v>663</v>
      </c>
      <c r="F3813">
        <v>833926369</v>
      </c>
      <c r="G3813">
        <v>1541244243</v>
      </c>
      <c r="H3813">
        <v>2419469270</v>
      </c>
      <c r="I3813">
        <v>972109834</v>
      </c>
      <c r="J3813">
        <v>920863819</v>
      </c>
      <c r="K3813">
        <v>446521952</v>
      </c>
      <c r="L3813">
        <v>469153085</v>
      </c>
      <c r="M3813">
        <v>291509188</v>
      </c>
      <c r="N3813">
        <v>231574168</v>
      </c>
      <c r="O3813">
        <v>206431946</v>
      </c>
      <c r="P3813">
        <v>87</v>
      </c>
      <c r="Q3813" t="s">
        <v>7971</v>
      </c>
    </row>
    <row r="3814" spans="1:17" x14ac:dyDescent="0.3">
      <c r="A3814" t="s">
        <v>4664</v>
      </c>
      <c r="B3814" t="str">
        <f>"300057"</f>
        <v>300057</v>
      </c>
      <c r="C3814" t="s">
        <v>7972</v>
      </c>
      <c r="D3814" t="s">
        <v>504</v>
      </c>
      <c r="F3814">
        <v>4646127660</v>
      </c>
      <c r="G3814">
        <v>4042455797</v>
      </c>
      <c r="H3814">
        <v>3379164042</v>
      </c>
      <c r="I3814">
        <v>3252842164</v>
      </c>
      <c r="J3814">
        <v>2186162574</v>
      </c>
      <c r="K3814">
        <v>1737226233</v>
      </c>
      <c r="L3814">
        <v>1791579307</v>
      </c>
      <c r="M3814">
        <v>1557136657</v>
      </c>
      <c r="N3814">
        <v>1350684560</v>
      </c>
      <c r="O3814">
        <v>1256164925</v>
      </c>
      <c r="P3814">
        <v>438</v>
      </c>
      <c r="Q3814" t="s">
        <v>7973</v>
      </c>
    </row>
    <row r="3815" spans="1:17" x14ac:dyDescent="0.3">
      <c r="A3815" t="s">
        <v>4664</v>
      </c>
      <c r="B3815" t="str">
        <f>"300058"</f>
        <v>300058</v>
      </c>
      <c r="C3815" t="s">
        <v>7974</v>
      </c>
      <c r="D3815" t="s">
        <v>207</v>
      </c>
      <c r="F3815">
        <v>33503640009</v>
      </c>
      <c r="G3815">
        <v>31640860943</v>
      </c>
      <c r="H3815">
        <v>21672269416</v>
      </c>
      <c r="I3815">
        <v>18809072173</v>
      </c>
      <c r="J3815">
        <v>11997414060</v>
      </c>
      <c r="K3815">
        <v>9508871444</v>
      </c>
      <c r="L3815">
        <v>5577541641</v>
      </c>
      <c r="M3815">
        <v>3930328357</v>
      </c>
      <c r="N3815">
        <v>2157047675</v>
      </c>
      <c r="O3815">
        <v>1229120797</v>
      </c>
      <c r="P3815">
        <v>457</v>
      </c>
      <c r="Q3815" t="s">
        <v>7975</v>
      </c>
    </row>
    <row r="3816" spans="1:17" x14ac:dyDescent="0.3">
      <c r="A3816" t="s">
        <v>4664</v>
      </c>
      <c r="B3816" t="str">
        <f>"300059"</f>
        <v>300059</v>
      </c>
      <c r="C3816" t="s">
        <v>7976</v>
      </c>
      <c r="D3816" t="s">
        <v>80</v>
      </c>
      <c r="F3816">
        <v>3422926504</v>
      </c>
      <c r="G3816">
        <v>2118075801</v>
      </c>
      <c r="H3816">
        <v>1046239205</v>
      </c>
      <c r="I3816">
        <v>1011466800</v>
      </c>
      <c r="J3816">
        <v>762877697</v>
      </c>
      <c r="K3816">
        <v>1007076442</v>
      </c>
      <c r="L3816">
        <v>2155918273</v>
      </c>
      <c r="M3816">
        <v>188555815</v>
      </c>
      <c r="N3816">
        <v>171197520</v>
      </c>
      <c r="O3816">
        <v>110225286</v>
      </c>
      <c r="P3816">
        <v>5893</v>
      </c>
      <c r="Q3816" t="s">
        <v>7977</v>
      </c>
    </row>
    <row r="3817" spans="1:17" x14ac:dyDescent="0.3">
      <c r="A3817" t="s">
        <v>4664</v>
      </c>
      <c r="B3817" t="str">
        <f>"300061"</f>
        <v>300061</v>
      </c>
      <c r="C3817" t="s">
        <v>7978</v>
      </c>
      <c r="D3817" t="s">
        <v>207</v>
      </c>
      <c r="F3817">
        <v>813521598</v>
      </c>
      <c r="G3817">
        <v>883572917</v>
      </c>
      <c r="H3817">
        <v>969055641</v>
      </c>
      <c r="I3817">
        <v>1444016314</v>
      </c>
      <c r="J3817">
        <v>1366917186</v>
      </c>
      <c r="K3817">
        <v>600801648</v>
      </c>
      <c r="L3817">
        <v>490031475</v>
      </c>
      <c r="M3817">
        <v>469080234</v>
      </c>
      <c r="N3817">
        <v>305984986</v>
      </c>
      <c r="O3817">
        <v>248326603</v>
      </c>
      <c r="P3817">
        <v>120</v>
      </c>
      <c r="Q3817" t="s">
        <v>7979</v>
      </c>
    </row>
    <row r="3818" spans="1:17" x14ac:dyDescent="0.3">
      <c r="A3818" t="s">
        <v>4664</v>
      </c>
      <c r="B3818" t="str">
        <f>"300062"</f>
        <v>300062</v>
      </c>
      <c r="C3818" t="s">
        <v>7980</v>
      </c>
      <c r="D3818" t="s">
        <v>210</v>
      </c>
      <c r="F3818">
        <v>611084047</v>
      </c>
      <c r="G3818">
        <v>537364970</v>
      </c>
      <c r="H3818">
        <v>667833480</v>
      </c>
      <c r="I3818">
        <v>739413726</v>
      </c>
      <c r="J3818">
        <v>487787198</v>
      </c>
      <c r="K3818">
        <v>645146700</v>
      </c>
      <c r="L3818">
        <v>359257251</v>
      </c>
      <c r="M3818">
        <v>357402864</v>
      </c>
      <c r="N3818">
        <v>308582357</v>
      </c>
      <c r="O3818">
        <v>235956728</v>
      </c>
      <c r="P3818">
        <v>125</v>
      </c>
      <c r="Q3818" t="s">
        <v>7981</v>
      </c>
    </row>
    <row r="3819" spans="1:17" x14ac:dyDescent="0.3">
      <c r="A3819" t="s">
        <v>4664</v>
      </c>
      <c r="B3819" t="str">
        <f>"300063"</f>
        <v>300063</v>
      </c>
      <c r="C3819" t="s">
        <v>7982</v>
      </c>
      <c r="D3819" t="s">
        <v>207</v>
      </c>
      <c r="F3819">
        <v>8355708763</v>
      </c>
      <c r="G3819">
        <v>7956338849</v>
      </c>
      <c r="H3819">
        <v>5904579369</v>
      </c>
      <c r="I3819">
        <v>6286606394</v>
      </c>
      <c r="J3819">
        <v>4750202060</v>
      </c>
      <c r="K3819">
        <v>3995868257</v>
      </c>
      <c r="L3819">
        <v>679594268</v>
      </c>
      <c r="M3819">
        <v>548691545</v>
      </c>
      <c r="N3819">
        <v>303663153</v>
      </c>
      <c r="O3819">
        <v>204634937</v>
      </c>
      <c r="P3819">
        <v>109</v>
      </c>
      <c r="Q3819" t="s">
        <v>7983</v>
      </c>
    </row>
    <row r="3820" spans="1:17" x14ac:dyDescent="0.3">
      <c r="A3820" t="s">
        <v>4664</v>
      </c>
      <c r="B3820" t="str">
        <f>"300064"</f>
        <v>300064</v>
      </c>
      <c r="C3820" t="s">
        <v>7984</v>
      </c>
      <c r="D3820" t="s">
        <v>404</v>
      </c>
      <c r="F3820">
        <v>415159790</v>
      </c>
      <c r="G3820">
        <v>238240436</v>
      </c>
      <c r="H3820">
        <v>501068570</v>
      </c>
      <c r="I3820">
        <v>721797698</v>
      </c>
      <c r="J3820">
        <v>562254379</v>
      </c>
      <c r="K3820">
        <v>688264757</v>
      </c>
      <c r="L3820">
        <v>422045980</v>
      </c>
      <c r="M3820">
        <v>312619201</v>
      </c>
      <c r="N3820">
        <v>199683074</v>
      </c>
      <c r="O3820">
        <v>291961886</v>
      </c>
      <c r="P3820">
        <v>77</v>
      </c>
      <c r="Q3820" t="s">
        <v>7985</v>
      </c>
    </row>
    <row r="3821" spans="1:17" x14ac:dyDescent="0.3">
      <c r="A3821" t="s">
        <v>4664</v>
      </c>
      <c r="B3821" t="str">
        <f>"300065"</f>
        <v>300065</v>
      </c>
      <c r="C3821" t="s">
        <v>7986</v>
      </c>
      <c r="D3821" t="s">
        <v>167</v>
      </c>
      <c r="F3821">
        <v>447809186</v>
      </c>
      <c r="G3821">
        <v>463815354</v>
      </c>
      <c r="H3821">
        <v>530977073</v>
      </c>
      <c r="I3821">
        <v>453388795</v>
      </c>
      <c r="J3821">
        <v>479191739</v>
      </c>
      <c r="K3821">
        <v>493356011</v>
      </c>
      <c r="L3821">
        <v>177603613</v>
      </c>
      <c r="M3821">
        <v>220698877</v>
      </c>
      <c r="N3821">
        <v>195575135</v>
      </c>
      <c r="O3821">
        <v>186335775</v>
      </c>
      <c r="P3821">
        <v>152</v>
      </c>
      <c r="Q3821" t="s">
        <v>7987</v>
      </c>
    </row>
    <row r="3822" spans="1:17" x14ac:dyDescent="0.3">
      <c r="A3822" t="s">
        <v>4664</v>
      </c>
      <c r="B3822" t="str">
        <f>"300066"</f>
        <v>300066</v>
      </c>
      <c r="C3822" t="s">
        <v>7988</v>
      </c>
      <c r="D3822" t="s">
        <v>2551</v>
      </c>
      <c r="F3822">
        <v>649560384</v>
      </c>
      <c r="G3822">
        <v>562754947</v>
      </c>
      <c r="H3822">
        <v>506387005</v>
      </c>
      <c r="I3822">
        <v>459710195</v>
      </c>
      <c r="J3822">
        <v>434975850</v>
      </c>
      <c r="K3822">
        <v>480765725</v>
      </c>
      <c r="L3822">
        <v>491587854</v>
      </c>
      <c r="M3822">
        <v>483297943</v>
      </c>
      <c r="N3822">
        <v>464627896</v>
      </c>
      <c r="O3822">
        <v>439629985</v>
      </c>
      <c r="P3822">
        <v>190</v>
      </c>
      <c r="Q3822" t="s">
        <v>7989</v>
      </c>
    </row>
    <row r="3823" spans="1:17" x14ac:dyDescent="0.3">
      <c r="A3823" t="s">
        <v>4664</v>
      </c>
      <c r="B3823" t="str">
        <f>"300067"</f>
        <v>300067</v>
      </c>
      <c r="C3823" t="s">
        <v>7990</v>
      </c>
      <c r="D3823" t="s">
        <v>779</v>
      </c>
      <c r="F3823">
        <v>432997251</v>
      </c>
      <c r="G3823">
        <v>355123746</v>
      </c>
      <c r="H3823">
        <v>427567081</v>
      </c>
      <c r="I3823">
        <v>376834656</v>
      </c>
      <c r="J3823">
        <v>573270654</v>
      </c>
      <c r="K3823">
        <v>284503781</v>
      </c>
      <c r="L3823">
        <v>247546531</v>
      </c>
      <c r="M3823">
        <v>238534217</v>
      </c>
      <c r="N3823">
        <v>114035825</v>
      </c>
      <c r="O3823">
        <v>95423821</v>
      </c>
      <c r="P3823">
        <v>100</v>
      </c>
      <c r="Q3823" t="s">
        <v>7991</v>
      </c>
    </row>
    <row r="3824" spans="1:17" x14ac:dyDescent="0.3">
      <c r="A3824" t="s">
        <v>4664</v>
      </c>
      <c r="B3824" t="str">
        <f>"300068"</f>
        <v>300068</v>
      </c>
      <c r="C3824" t="s">
        <v>7992</v>
      </c>
      <c r="D3824" t="s">
        <v>555</v>
      </c>
      <c r="F3824">
        <v>9679259505</v>
      </c>
      <c r="G3824">
        <v>6506534490</v>
      </c>
      <c r="H3824">
        <v>6465830550</v>
      </c>
      <c r="I3824">
        <v>6092627472</v>
      </c>
      <c r="J3824">
        <v>6607296892</v>
      </c>
      <c r="K3824">
        <v>5067363748</v>
      </c>
      <c r="L3824">
        <v>2988484706</v>
      </c>
      <c r="M3824">
        <v>2674857192</v>
      </c>
      <c r="N3824">
        <v>2424140434</v>
      </c>
      <c r="O3824">
        <v>2242017166</v>
      </c>
      <c r="P3824">
        <v>305</v>
      </c>
      <c r="Q3824" t="s">
        <v>7993</v>
      </c>
    </row>
    <row r="3825" spans="1:17" x14ac:dyDescent="0.3">
      <c r="A3825" t="s">
        <v>4664</v>
      </c>
      <c r="B3825" t="str">
        <f>"300069"</f>
        <v>300069</v>
      </c>
      <c r="C3825" t="s">
        <v>7994</v>
      </c>
      <c r="D3825" t="s">
        <v>1164</v>
      </c>
      <c r="F3825">
        <v>147237062</v>
      </c>
      <c r="G3825">
        <v>109464487</v>
      </c>
      <c r="H3825">
        <v>164260750</v>
      </c>
      <c r="I3825">
        <v>191723514</v>
      </c>
      <c r="J3825">
        <v>313318572</v>
      </c>
      <c r="K3825">
        <v>192604859</v>
      </c>
      <c r="L3825">
        <v>132833698</v>
      </c>
      <c r="M3825">
        <v>110557956</v>
      </c>
      <c r="N3825">
        <v>235763103</v>
      </c>
      <c r="O3825">
        <v>66351779</v>
      </c>
      <c r="P3825">
        <v>57</v>
      </c>
      <c r="Q3825" t="s">
        <v>7995</v>
      </c>
    </row>
    <row r="3826" spans="1:17" x14ac:dyDescent="0.3">
      <c r="A3826" t="s">
        <v>4664</v>
      </c>
      <c r="B3826" t="str">
        <f>"300070"</f>
        <v>300070</v>
      </c>
      <c r="C3826" t="s">
        <v>7996</v>
      </c>
      <c r="D3826" t="s">
        <v>33</v>
      </c>
      <c r="F3826">
        <v>5316782025</v>
      </c>
      <c r="G3826">
        <v>8071575522</v>
      </c>
      <c r="H3826">
        <v>8782847928</v>
      </c>
      <c r="I3826">
        <v>6590235311</v>
      </c>
      <c r="J3826">
        <v>4265562586</v>
      </c>
      <c r="K3826">
        <v>2873481085</v>
      </c>
      <c r="L3826">
        <v>1467193036</v>
      </c>
      <c r="M3826">
        <v>1186176765</v>
      </c>
      <c r="N3826">
        <v>902145608</v>
      </c>
      <c r="O3826">
        <v>597565019</v>
      </c>
      <c r="P3826">
        <v>1163</v>
      </c>
      <c r="Q3826" t="s">
        <v>7997</v>
      </c>
    </row>
    <row r="3827" spans="1:17" x14ac:dyDescent="0.3">
      <c r="A3827" t="s">
        <v>4664</v>
      </c>
      <c r="B3827" t="str">
        <f>"300071"</f>
        <v>300071</v>
      </c>
      <c r="C3827" t="s">
        <v>7998</v>
      </c>
      <c r="D3827" t="s">
        <v>207</v>
      </c>
      <c r="F3827">
        <v>751002615</v>
      </c>
      <c r="G3827">
        <v>851851866</v>
      </c>
      <c r="H3827">
        <v>2207995394</v>
      </c>
      <c r="I3827">
        <v>2590246198</v>
      </c>
      <c r="J3827">
        <v>2195760600</v>
      </c>
      <c r="K3827">
        <v>2082233662</v>
      </c>
      <c r="L3827">
        <v>1364101086</v>
      </c>
      <c r="M3827">
        <v>1175915503</v>
      </c>
      <c r="N3827">
        <v>1122770279</v>
      </c>
      <c r="O3827">
        <v>793643376</v>
      </c>
      <c r="P3827">
        <v>84</v>
      </c>
      <c r="Q3827" t="s">
        <v>7999</v>
      </c>
    </row>
    <row r="3828" spans="1:17" x14ac:dyDescent="0.3">
      <c r="A3828" t="s">
        <v>4664</v>
      </c>
      <c r="B3828" t="str">
        <f>"300072"</f>
        <v>300072</v>
      </c>
      <c r="C3828" t="s">
        <v>8000</v>
      </c>
      <c r="D3828" t="s">
        <v>663</v>
      </c>
      <c r="F3828">
        <v>3913982513</v>
      </c>
      <c r="G3828">
        <v>4389636871</v>
      </c>
      <c r="H3828">
        <v>7749757752</v>
      </c>
      <c r="I3828">
        <v>8857666214</v>
      </c>
      <c r="J3828">
        <v>12520029604</v>
      </c>
      <c r="K3828">
        <v>7537710350</v>
      </c>
      <c r="L3828">
        <v>1492601627</v>
      </c>
      <c r="M3828">
        <v>834047264</v>
      </c>
      <c r="N3828">
        <v>666676377</v>
      </c>
      <c r="O3828">
        <v>378170916</v>
      </c>
      <c r="P3828">
        <v>1138</v>
      </c>
      <c r="Q3828" t="s">
        <v>8001</v>
      </c>
    </row>
    <row r="3829" spans="1:17" x14ac:dyDescent="0.3">
      <c r="A3829" t="s">
        <v>4664</v>
      </c>
      <c r="B3829" t="str">
        <f>"300073"</f>
        <v>300073</v>
      </c>
      <c r="C3829" t="s">
        <v>8002</v>
      </c>
      <c r="D3829" t="s">
        <v>1786</v>
      </c>
      <c r="F3829">
        <v>2848604717</v>
      </c>
      <c r="G3829">
        <v>1403255341</v>
      </c>
      <c r="H3829">
        <v>1198559372</v>
      </c>
      <c r="I3829">
        <v>1303752867</v>
      </c>
      <c r="J3829">
        <v>912075847</v>
      </c>
      <c r="K3829">
        <v>485619507</v>
      </c>
      <c r="L3829">
        <v>299035937</v>
      </c>
      <c r="M3829">
        <v>278630501</v>
      </c>
      <c r="N3829">
        <v>176536223</v>
      </c>
      <c r="O3829">
        <v>319586787</v>
      </c>
      <c r="P3829">
        <v>826</v>
      </c>
      <c r="Q3829" t="s">
        <v>8003</v>
      </c>
    </row>
    <row r="3830" spans="1:17" x14ac:dyDescent="0.3">
      <c r="A3830" t="s">
        <v>4664</v>
      </c>
      <c r="B3830" t="str">
        <f>"300074"</f>
        <v>300074</v>
      </c>
      <c r="C3830" t="s">
        <v>8004</v>
      </c>
      <c r="D3830" t="s">
        <v>945</v>
      </c>
      <c r="F3830">
        <v>253962920</v>
      </c>
      <c r="G3830">
        <v>274864154</v>
      </c>
      <c r="H3830">
        <v>232574829</v>
      </c>
      <c r="I3830">
        <v>248203191</v>
      </c>
      <c r="J3830">
        <v>216155776</v>
      </c>
      <c r="K3830">
        <v>194061526</v>
      </c>
      <c r="L3830">
        <v>121263608</v>
      </c>
      <c r="M3830">
        <v>167623750</v>
      </c>
      <c r="N3830">
        <v>169176438</v>
      </c>
      <c r="O3830">
        <v>67321839</v>
      </c>
      <c r="P3830">
        <v>162</v>
      </c>
      <c r="Q3830" t="s">
        <v>8005</v>
      </c>
    </row>
    <row r="3831" spans="1:17" x14ac:dyDescent="0.3">
      <c r="A3831" t="s">
        <v>4664</v>
      </c>
      <c r="B3831" t="str">
        <f>"300075"</f>
        <v>300075</v>
      </c>
      <c r="C3831" t="s">
        <v>8006</v>
      </c>
      <c r="D3831" t="s">
        <v>945</v>
      </c>
      <c r="F3831">
        <v>675581594</v>
      </c>
      <c r="G3831">
        <v>679151520</v>
      </c>
      <c r="H3831">
        <v>726996451</v>
      </c>
      <c r="I3831">
        <v>723779656</v>
      </c>
      <c r="J3831">
        <v>455763928</v>
      </c>
      <c r="K3831">
        <v>364767139</v>
      </c>
      <c r="L3831">
        <v>253070395</v>
      </c>
      <c r="M3831">
        <v>188205027</v>
      </c>
      <c r="N3831">
        <v>155313318</v>
      </c>
      <c r="O3831">
        <v>57767314</v>
      </c>
      <c r="P3831">
        <v>258</v>
      </c>
      <c r="Q3831" t="s">
        <v>8007</v>
      </c>
    </row>
    <row r="3832" spans="1:17" x14ac:dyDescent="0.3">
      <c r="A3832" t="s">
        <v>4664</v>
      </c>
      <c r="B3832" t="str">
        <f>"300076"</f>
        <v>300076</v>
      </c>
      <c r="C3832" t="s">
        <v>8008</v>
      </c>
      <c r="D3832" t="s">
        <v>1117</v>
      </c>
      <c r="F3832">
        <v>85557463</v>
      </c>
      <c r="G3832">
        <v>78892703</v>
      </c>
      <c r="H3832">
        <v>75319332</v>
      </c>
      <c r="I3832">
        <v>131761081</v>
      </c>
      <c r="J3832">
        <v>112894468</v>
      </c>
      <c r="K3832">
        <v>138491316</v>
      </c>
      <c r="L3832">
        <v>160956082</v>
      </c>
      <c r="M3832">
        <v>163011199</v>
      </c>
      <c r="N3832">
        <v>207411759</v>
      </c>
      <c r="O3832">
        <v>184745123</v>
      </c>
      <c r="P3832">
        <v>93</v>
      </c>
      <c r="Q3832" t="s">
        <v>8009</v>
      </c>
    </row>
    <row r="3833" spans="1:17" x14ac:dyDescent="0.3">
      <c r="A3833" t="s">
        <v>4664</v>
      </c>
      <c r="B3833" t="str">
        <f>"300077"</f>
        <v>300077</v>
      </c>
      <c r="C3833" t="s">
        <v>8010</v>
      </c>
      <c r="D3833" t="s">
        <v>461</v>
      </c>
      <c r="F3833">
        <v>519127657</v>
      </c>
      <c r="G3833">
        <v>264262468</v>
      </c>
      <c r="H3833">
        <v>389368675</v>
      </c>
      <c r="I3833">
        <v>757064982</v>
      </c>
      <c r="J3833">
        <v>565651498</v>
      </c>
      <c r="K3833">
        <v>409605668</v>
      </c>
      <c r="L3833">
        <v>328576524</v>
      </c>
      <c r="M3833">
        <v>306964599</v>
      </c>
      <c r="N3833">
        <v>321301319</v>
      </c>
      <c r="O3833">
        <v>353821671</v>
      </c>
      <c r="P3833">
        <v>3150</v>
      </c>
      <c r="Q3833" t="s">
        <v>8011</v>
      </c>
    </row>
    <row r="3834" spans="1:17" x14ac:dyDescent="0.3">
      <c r="A3834" t="s">
        <v>4664</v>
      </c>
      <c r="B3834" t="str">
        <f>"300078"</f>
        <v>300078</v>
      </c>
      <c r="C3834" t="s">
        <v>8012</v>
      </c>
      <c r="D3834" t="s">
        <v>316</v>
      </c>
      <c r="F3834">
        <v>759372192</v>
      </c>
      <c r="G3834">
        <v>1011232819</v>
      </c>
      <c r="H3834">
        <v>913360666</v>
      </c>
      <c r="I3834">
        <v>805129418</v>
      </c>
      <c r="J3834">
        <v>663677908</v>
      </c>
      <c r="K3834">
        <v>660001346</v>
      </c>
      <c r="L3834">
        <v>496618254</v>
      </c>
      <c r="M3834">
        <v>357930853</v>
      </c>
      <c r="N3834">
        <v>312758970</v>
      </c>
      <c r="O3834">
        <v>245183766</v>
      </c>
      <c r="P3834">
        <v>296</v>
      </c>
      <c r="Q3834" t="s">
        <v>8013</v>
      </c>
    </row>
    <row r="3835" spans="1:17" x14ac:dyDescent="0.3">
      <c r="A3835" t="s">
        <v>4664</v>
      </c>
      <c r="B3835" t="str">
        <f>"300079"</f>
        <v>300079</v>
      </c>
      <c r="C3835" t="s">
        <v>8014</v>
      </c>
      <c r="D3835" t="s">
        <v>316</v>
      </c>
      <c r="F3835">
        <v>842988860</v>
      </c>
      <c r="G3835">
        <v>684874578</v>
      </c>
      <c r="H3835">
        <v>1100350820</v>
      </c>
      <c r="I3835">
        <v>954109015</v>
      </c>
      <c r="J3835">
        <v>762482537</v>
      </c>
      <c r="K3835">
        <v>821529186</v>
      </c>
      <c r="L3835">
        <v>582097357</v>
      </c>
      <c r="M3835">
        <v>384757645</v>
      </c>
      <c r="N3835">
        <v>281313887</v>
      </c>
      <c r="O3835">
        <v>296283654</v>
      </c>
      <c r="P3835">
        <v>261</v>
      </c>
      <c r="Q3835" t="s">
        <v>8015</v>
      </c>
    </row>
    <row r="3836" spans="1:17" x14ac:dyDescent="0.3">
      <c r="A3836" t="s">
        <v>4664</v>
      </c>
      <c r="B3836" t="str">
        <f>"300080"</f>
        <v>300080</v>
      </c>
      <c r="C3836" t="s">
        <v>8016</v>
      </c>
      <c r="D3836" t="s">
        <v>404</v>
      </c>
      <c r="F3836">
        <v>1562140027</v>
      </c>
      <c r="G3836">
        <v>1929026566</v>
      </c>
      <c r="H3836">
        <v>4200969082</v>
      </c>
      <c r="I3836">
        <v>876658037</v>
      </c>
      <c r="J3836">
        <v>780703056</v>
      </c>
      <c r="K3836">
        <v>1254005740</v>
      </c>
      <c r="L3836">
        <v>685273599</v>
      </c>
      <c r="M3836">
        <v>669562555</v>
      </c>
      <c r="N3836">
        <v>1046676566</v>
      </c>
      <c r="O3836">
        <v>595768361</v>
      </c>
      <c r="P3836">
        <v>111</v>
      </c>
      <c r="Q3836" t="s">
        <v>8017</v>
      </c>
    </row>
    <row r="3837" spans="1:17" x14ac:dyDescent="0.3">
      <c r="A3837" t="s">
        <v>4664</v>
      </c>
      <c r="B3837" t="str">
        <f>"300081"</f>
        <v>300081</v>
      </c>
      <c r="C3837" t="s">
        <v>8018</v>
      </c>
      <c r="D3837" t="s">
        <v>5597</v>
      </c>
      <c r="F3837">
        <v>358503811</v>
      </c>
      <c r="G3837">
        <v>350562663</v>
      </c>
      <c r="H3837">
        <v>406149435</v>
      </c>
      <c r="I3837">
        <v>392567743</v>
      </c>
      <c r="J3837">
        <v>263775047</v>
      </c>
      <c r="K3837">
        <v>267550932</v>
      </c>
      <c r="L3837">
        <v>389763779</v>
      </c>
      <c r="M3837">
        <v>563413210</v>
      </c>
      <c r="N3837">
        <v>811688892</v>
      </c>
      <c r="O3837">
        <v>957034113</v>
      </c>
      <c r="P3837">
        <v>160</v>
      </c>
      <c r="Q3837" t="s">
        <v>8019</v>
      </c>
    </row>
    <row r="3838" spans="1:17" x14ac:dyDescent="0.3">
      <c r="A3838" t="s">
        <v>4664</v>
      </c>
      <c r="B3838" t="str">
        <f>"300082"</f>
        <v>300082</v>
      </c>
      <c r="C3838" t="s">
        <v>8020</v>
      </c>
      <c r="D3838" t="s">
        <v>1233</v>
      </c>
      <c r="F3838">
        <v>4378155942</v>
      </c>
      <c r="G3838">
        <v>3808993348</v>
      </c>
      <c r="H3838">
        <v>4777668237</v>
      </c>
      <c r="I3838">
        <v>5134081324</v>
      </c>
      <c r="J3838">
        <v>3690882349</v>
      </c>
      <c r="K3838">
        <v>2571443920</v>
      </c>
      <c r="L3838">
        <v>1793007734</v>
      </c>
      <c r="M3838">
        <v>1471125773</v>
      </c>
      <c r="N3838">
        <v>1184052852</v>
      </c>
      <c r="O3838">
        <v>1071284114</v>
      </c>
      <c r="P3838">
        <v>176</v>
      </c>
      <c r="Q3838" t="s">
        <v>8021</v>
      </c>
    </row>
    <row r="3839" spans="1:17" x14ac:dyDescent="0.3">
      <c r="A3839" t="s">
        <v>4664</v>
      </c>
      <c r="B3839" t="str">
        <f>"300083"</f>
        <v>300083</v>
      </c>
      <c r="C3839" t="s">
        <v>8022</v>
      </c>
      <c r="D3839" t="s">
        <v>2423</v>
      </c>
      <c r="F3839">
        <v>3715483865</v>
      </c>
      <c r="G3839">
        <v>2102905823</v>
      </c>
      <c r="H3839">
        <v>3834953199</v>
      </c>
      <c r="I3839">
        <v>4770176238</v>
      </c>
      <c r="J3839">
        <v>4569866388</v>
      </c>
      <c r="K3839">
        <v>3563268004</v>
      </c>
      <c r="L3839">
        <v>2588571258</v>
      </c>
      <c r="M3839">
        <v>2930467433</v>
      </c>
      <c r="N3839">
        <v>2620473031</v>
      </c>
      <c r="O3839">
        <v>1299521541</v>
      </c>
      <c r="P3839">
        <v>487</v>
      </c>
      <c r="Q3839" t="s">
        <v>8023</v>
      </c>
    </row>
    <row r="3840" spans="1:17" x14ac:dyDescent="0.3">
      <c r="A3840" t="s">
        <v>4664</v>
      </c>
      <c r="B3840" t="str">
        <f>"300084"</f>
        <v>300084</v>
      </c>
      <c r="C3840" t="s">
        <v>8024</v>
      </c>
      <c r="D3840" t="s">
        <v>395</v>
      </c>
      <c r="F3840">
        <v>436604443</v>
      </c>
      <c r="G3840">
        <v>419725122</v>
      </c>
      <c r="H3840">
        <v>390185526</v>
      </c>
      <c r="I3840">
        <v>428522785</v>
      </c>
      <c r="J3840">
        <v>255917851</v>
      </c>
      <c r="K3840">
        <v>193902146</v>
      </c>
      <c r="L3840">
        <v>350568941</v>
      </c>
      <c r="M3840">
        <v>167323855</v>
      </c>
      <c r="N3840">
        <v>151398644</v>
      </c>
      <c r="O3840">
        <v>113542590</v>
      </c>
      <c r="P3840">
        <v>69</v>
      </c>
      <c r="Q3840" t="s">
        <v>8025</v>
      </c>
    </row>
    <row r="3841" spans="1:17" x14ac:dyDescent="0.3">
      <c r="A3841" t="s">
        <v>4664</v>
      </c>
      <c r="B3841" t="str">
        <f>"300085"</f>
        <v>300085</v>
      </c>
      <c r="C3841" t="s">
        <v>8026</v>
      </c>
      <c r="D3841" t="s">
        <v>945</v>
      </c>
      <c r="F3841">
        <v>932334167</v>
      </c>
      <c r="G3841">
        <v>915294135</v>
      </c>
      <c r="H3841">
        <v>762932074</v>
      </c>
      <c r="I3841">
        <v>762951606</v>
      </c>
      <c r="J3841">
        <v>730328221</v>
      </c>
      <c r="K3841">
        <v>534518061</v>
      </c>
      <c r="L3841">
        <v>334038713</v>
      </c>
      <c r="M3841">
        <v>43814329</v>
      </c>
      <c r="N3841">
        <v>41374555</v>
      </c>
      <c r="O3841">
        <v>41138006</v>
      </c>
      <c r="P3841">
        <v>255</v>
      </c>
      <c r="Q3841" t="s">
        <v>8027</v>
      </c>
    </row>
    <row r="3842" spans="1:17" x14ac:dyDescent="0.3">
      <c r="A3842" t="s">
        <v>4664</v>
      </c>
      <c r="B3842" t="str">
        <f>"300086"</f>
        <v>300086</v>
      </c>
      <c r="C3842" t="s">
        <v>8028</v>
      </c>
      <c r="D3842" t="s">
        <v>143</v>
      </c>
      <c r="F3842">
        <v>696843792</v>
      </c>
      <c r="G3842">
        <v>626254066</v>
      </c>
      <c r="H3842">
        <v>773098241</v>
      </c>
      <c r="I3842">
        <v>684514095</v>
      </c>
      <c r="J3842">
        <v>358125142</v>
      </c>
      <c r="K3842">
        <v>401919275</v>
      </c>
      <c r="L3842">
        <v>232127548</v>
      </c>
      <c r="M3842">
        <v>287242806</v>
      </c>
      <c r="N3842">
        <v>249939387</v>
      </c>
      <c r="O3842">
        <v>359266503</v>
      </c>
      <c r="P3842">
        <v>106</v>
      </c>
      <c r="Q3842" t="s">
        <v>8029</v>
      </c>
    </row>
    <row r="3843" spans="1:17" x14ac:dyDescent="0.3">
      <c r="A3843" t="s">
        <v>4664</v>
      </c>
      <c r="B3843" t="str">
        <f>"300087"</f>
        <v>300087</v>
      </c>
      <c r="C3843" t="s">
        <v>8030</v>
      </c>
      <c r="D3843" t="s">
        <v>706</v>
      </c>
      <c r="F3843">
        <v>1830299554</v>
      </c>
      <c r="G3843">
        <v>1252211745</v>
      </c>
      <c r="H3843">
        <v>703935061</v>
      </c>
      <c r="I3843">
        <v>670154836</v>
      </c>
      <c r="J3843">
        <v>605979907</v>
      </c>
      <c r="K3843">
        <v>457635934</v>
      </c>
      <c r="L3843">
        <v>326536486</v>
      </c>
      <c r="M3843">
        <v>268156155</v>
      </c>
      <c r="N3843">
        <v>235496288</v>
      </c>
      <c r="O3843">
        <v>273758039</v>
      </c>
      <c r="P3843">
        <v>231</v>
      </c>
      <c r="Q3843" t="s">
        <v>8031</v>
      </c>
    </row>
    <row r="3844" spans="1:17" x14ac:dyDescent="0.3">
      <c r="A3844" t="s">
        <v>4664</v>
      </c>
      <c r="B3844" t="str">
        <f>"300088"</f>
        <v>300088</v>
      </c>
      <c r="C3844" t="s">
        <v>8032</v>
      </c>
      <c r="D3844" t="s">
        <v>1117</v>
      </c>
      <c r="F3844">
        <v>3555718450</v>
      </c>
      <c r="G3844">
        <v>3726815599</v>
      </c>
      <c r="H3844">
        <v>4221943153</v>
      </c>
      <c r="I3844">
        <v>4730576141</v>
      </c>
      <c r="J3844">
        <v>2746466088</v>
      </c>
      <c r="K3844">
        <v>1550910731</v>
      </c>
      <c r="L3844">
        <v>1244305944</v>
      </c>
      <c r="M3844">
        <v>849210892</v>
      </c>
      <c r="N3844">
        <v>775961056</v>
      </c>
      <c r="O3844">
        <v>667872892</v>
      </c>
      <c r="P3844">
        <v>950</v>
      </c>
      <c r="Q3844" t="s">
        <v>8033</v>
      </c>
    </row>
    <row r="3845" spans="1:17" x14ac:dyDescent="0.3">
      <c r="A3845" t="s">
        <v>4664</v>
      </c>
      <c r="B3845" t="str">
        <f>"300089"</f>
        <v>300089</v>
      </c>
      <c r="C3845" t="s">
        <v>8034</v>
      </c>
      <c r="D3845" t="s">
        <v>1336</v>
      </c>
      <c r="F3845">
        <v>67262867</v>
      </c>
      <c r="G3845">
        <v>61188559</v>
      </c>
      <c r="H3845">
        <v>238262185</v>
      </c>
      <c r="I3845">
        <v>256161075</v>
      </c>
      <c r="J3845">
        <v>283190284</v>
      </c>
      <c r="K3845">
        <v>264457259</v>
      </c>
      <c r="L3845">
        <v>283151038</v>
      </c>
      <c r="M3845">
        <v>329623170</v>
      </c>
      <c r="N3845">
        <v>287522032</v>
      </c>
      <c r="O3845">
        <v>304800564</v>
      </c>
      <c r="P3845">
        <v>101</v>
      </c>
      <c r="Q3845" t="s">
        <v>8035</v>
      </c>
    </row>
    <row r="3846" spans="1:17" x14ac:dyDescent="0.3">
      <c r="A3846" t="s">
        <v>4664</v>
      </c>
      <c r="B3846" t="str">
        <f>"300090"</f>
        <v>300090</v>
      </c>
      <c r="C3846" t="s">
        <v>8036</v>
      </c>
      <c r="H3846">
        <v>362890946</v>
      </c>
      <c r="I3846">
        <v>542571613</v>
      </c>
      <c r="J3846">
        <v>686917399</v>
      </c>
      <c r="K3846">
        <v>921098733</v>
      </c>
      <c r="L3846">
        <v>907452072</v>
      </c>
      <c r="M3846">
        <v>703567453</v>
      </c>
      <c r="N3846">
        <v>685318312</v>
      </c>
      <c r="O3846">
        <v>707028491</v>
      </c>
      <c r="P3846">
        <v>72</v>
      </c>
      <c r="Q3846" t="s">
        <v>8037</v>
      </c>
    </row>
    <row r="3847" spans="1:17" x14ac:dyDescent="0.3">
      <c r="A3847" t="s">
        <v>4664</v>
      </c>
      <c r="B3847" t="str">
        <f>"300091"</f>
        <v>300091</v>
      </c>
      <c r="C3847" t="s">
        <v>8038</v>
      </c>
      <c r="D3847" t="s">
        <v>560</v>
      </c>
      <c r="F3847">
        <v>1165463009</v>
      </c>
      <c r="G3847">
        <v>785550595</v>
      </c>
      <c r="H3847">
        <v>960090144</v>
      </c>
      <c r="I3847">
        <v>779573167</v>
      </c>
      <c r="J3847">
        <v>591539485</v>
      </c>
      <c r="K3847">
        <v>512818909</v>
      </c>
      <c r="L3847">
        <v>554758875</v>
      </c>
      <c r="M3847">
        <v>612866589</v>
      </c>
      <c r="N3847">
        <v>454930542</v>
      </c>
      <c r="O3847">
        <v>368005618</v>
      </c>
      <c r="P3847">
        <v>101</v>
      </c>
      <c r="Q3847" t="s">
        <v>8039</v>
      </c>
    </row>
    <row r="3848" spans="1:17" x14ac:dyDescent="0.3">
      <c r="A3848" t="s">
        <v>4664</v>
      </c>
      <c r="B3848" t="str">
        <f>"300092"</f>
        <v>300092</v>
      </c>
      <c r="C3848" t="s">
        <v>8040</v>
      </c>
      <c r="D3848" t="s">
        <v>274</v>
      </c>
      <c r="F3848">
        <v>507177055</v>
      </c>
      <c r="G3848">
        <v>449439668</v>
      </c>
      <c r="H3848">
        <v>295721322</v>
      </c>
      <c r="I3848">
        <v>215971423</v>
      </c>
      <c r="J3848">
        <v>131727804</v>
      </c>
      <c r="K3848">
        <v>96164923</v>
      </c>
      <c r="L3848">
        <v>161717306</v>
      </c>
      <c r="M3848">
        <v>131514486</v>
      </c>
      <c r="N3848">
        <v>124610329</v>
      </c>
      <c r="O3848">
        <v>117623177</v>
      </c>
      <c r="P3848">
        <v>81</v>
      </c>
      <c r="Q3848" t="s">
        <v>8041</v>
      </c>
    </row>
    <row r="3849" spans="1:17" x14ac:dyDescent="0.3">
      <c r="A3849" t="s">
        <v>4664</v>
      </c>
      <c r="B3849" t="str">
        <f>"300093"</f>
        <v>300093</v>
      </c>
      <c r="C3849" t="s">
        <v>8042</v>
      </c>
      <c r="D3849" t="s">
        <v>666</v>
      </c>
      <c r="F3849">
        <v>255051369</v>
      </c>
      <c r="G3849">
        <v>192446988</v>
      </c>
      <c r="H3849">
        <v>297874938</v>
      </c>
      <c r="I3849">
        <v>559233501</v>
      </c>
      <c r="J3849">
        <v>392062631</v>
      </c>
      <c r="K3849">
        <v>252151283</v>
      </c>
      <c r="L3849">
        <v>332666837</v>
      </c>
      <c r="M3849">
        <v>367060966</v>
      </c>
      <c r="N3849">
        <v>405934451</v>
      </c>
      <c r="O3849">
        <v>280425125</v>
      </c>
      <c r="P3849">
        <v>80</v>
      </c>
      <c r="Q3849" t="s">
        <v>8043</v>
      </c>
    </row>
    <row r="3850" spans="1:17" x14ac:dyDescent="0.3">
      <c r="A3850" t="s">
        <v>4664</v>
      </c>
      <c r="B3850" t="str">
        <f>"300094"</f>
        <v>300094</v>
      </c>
      <c r="C3850" t="s">
        <v>8044</v>
      </c>
      <c r="D3850" t="s">
        <v>587</v>
      </c>
      <c r="F3850">
        <v>3456210647</v>
      </c>
      <c r="G3850">
        <v>3486534338</v>
      </c>
      <c r="H3850">
        <v>4252334731</v>
      </c>
      <c r="I3850">
        <v>3748840375</v>
      </c>
      <c r="J3850">
        <v>3232101301</v>
      </c>
      <c r="K3850">
        <v>1711846175</v>
      </c>
      <c r="L3850">
        <v>1444557350</v>
      </c>
      <c r="M3850">
        <v>2073107271</v>
      </c>
      <c r="N3850">
        <v>1613189219</v>
      </c>
      <c r="O3850">
        <v>925418585</v>
      </c>
      <c r="P3850">
        <v>123</v>
      </c>
      <c r="Q3850" t="s">
        <v>8045</v>
      </c>
    </row>
    <row r="3851" spans="1:17" x14ac:dyDescent="0.3">
      <c r="A3851" t="s">
        <v>4664</v>
      </c>
      <c r="B3851" t="str">
        <f>"300095"</f>
        <v>300095</v>
      </c>
      <c r="C3851" t="s">
        <v>8046</v>
      </c>
      <c r="D3851" t="s">
        <v>274</v>
      </c>
      <c r="F3851">
        <v>762071345</v>
      </c>
      <c r="G3851">
        <v>692059733</v>
      </c>
      <c r="H3851">
        <v>633390054</v>
      </c>
      <c r="I3851">
        <v>447993998</v>
      </c>
      <c r="J3851">
        <v>398632503</v>
      </c>
      <c r="K3851">
        <v>303417641</v>
      </c>
      <c r="L3851">
        <v>397531408</v>
      </c>
      <c r="M3851">
        <v>401551580</v>
      </c>
      <c r="N3851">
        <v>166544926</v>
      </c>
      <c r="O3851">
        <v>138580089</v>
      </c>
      <c r="P3851">
        <v>128</v>
      </c>
      <c r="Q3851" t="s">
        <v>8047</v>
      </c>
    </row>
    <row r="3852" spans="1:17" x14ac:dyDescent="0.3">
      <c r="A3852" t="s">
        <v>4664</v>
      </c>
      <c r="B3852" t="str">
        <f>"300096"</f>
        <v>300096</v>
      </c>
      <c r="C3852" t="s">
        <v>8048</v>
      </c>
      <c r="D3852" t="s">
        <v>316</v>
      </c>
      <c r="F3852">
        <v>543896623</v>
      </c>
      <c r="G3852">
        <v>555158458</v>
      </c>
      <c r="H3852">
        <v>468376632</v>
      </c>
      <c r="I3852">
        <v>356786070</v>
      </c>
      <c r="J3852">
        <v>293202070</v>
      </c>
      <c r="K3852">
        <v>282262381</v>
      </c>
      <c r="L3852">
        <v>240991169</v>
      </c>
      <c r="M3852">
        <v>222183361</v>
      </c>
      <c r="N3852">
        <v>199541696</v>
      </c>
      <c r="O3852">
        <v>174975338</v>
      </c>
      <c r="P3852">
        <v>169</v>
      </c>
      <c r="Q3852" t="s">
        <v>8049</v>
      </c>
    </row>
    <row r="3853" spans="1:17" x14ac:dyDescent="0.3">
      <c r="A3853" t="s">
        <v>4664</v>
      </c>
      <c r="B3853" t="str">
        <f>"300097"</f>
        <v>300097</v>
      </c>
      <c r="C3853" t="s">
        <v>8050</v>
      </c>
      <c r="D3853" t="s">
        <v>3450</v>
      </c>
      <c r="F3853">
        <v>484637538</v>
      </c>
      <c r="G3853">
        <v>706510512</v>
      </c>
      <c r="H3853">
        <v>460895830</v>
      </c>
      <c r="I3853">
        <v>699953850</v>
      </c>
      <c r="J3853">
        <v>693614280</v>
      </c>
      <c r="K3853">
        <v>456750047</v>
      </c>
      <c r="L3853">
        <v>133475593</v>
      </c>
      <c r="M3853">
        <v>105941467</v>
      </c>
      <c r="N3853">
        <v>122304479</v>
      </c>
      <c r="O3853">
        <v>146628896</v>
      </c>
      <c r="P3853">
        <v>203</v>
      </c>
      <c r="Q3853" t="s">
        <v>8051</v>
      </c>
    </row>
    <row r="3854" spans="1:17" x14ac:dyDescent="0.3">
      <c r="A3854" t="s">
        <v>4664</v>
      </c>
      <c r="B3854" t="str">
        <f>"300098"</f>
        <v>300098</v>
      </c>
      <c r="C3854" t="s">
        <v>8052</v>
      </c>
      <c r="D3854" t="s">
        <v>945</v>
      </c>
      <c r="F3854">
        <v>1921893123</v>
      </c>
      <c r="G3854">
        <v>1688331293</v>
      </c>
      <c r="H3854">
        <v>1797614917</v>
      </c>
      <c r="I3854">
        <v>1508345144</v>
      </c>
      <c r="J3854">
        <v>983814850</v>
      </c>
      <c r="K3854">
        <v>881305038</v>
      </c>
      <c r="L3854">
        <v>367345608</v>
      </c>
      <c r="M3854">
        <v>196725212</v>
      </c>
      <c r="N3854">
        <v>162671486</v>
      </c>
      <c r="O3854">
        <v>163258407</v>
      </c>
      <c r="P3854">
        <v>368</v>
      </c>
      <c r="Q3854" t="s">
        <v>8053</v>
      </c>
    </row>
    <row r="3855" spans="1:17" x14ac:dyDescent="0.3">
      <c r="A3855" t="s">
        <v>4664</v>
      </c>
      <c r="B3855" t="str">
        <f>"300099"</f>
        <v>300099</v>
      </c>
      <c r="C3855" t="s">
        <v>8054</v>
      </c>
      <c r="D3855" t="s">
        <v>395</v>
      </c>
      <c r="F3855">
        <v>355531013</v>
      </c>
      <c r="G3855">
        <v>325826416</v>
      </c>
      <c r="H3855">
        <v>336772547</v>
      </c>
      <c r="I3855">
        <v>259057419</v>
      </c>
      <c r="J3855">
        <v>212756865</v>
      </c>
      <c r="K3855">
        <v>110374530</v>
      </c>
      <c r="L3855">
        <v>98735944</v>
      </c>
      <c r="M3855">
        <v>120417807</v>
      </c>
      <c r="N3855">
        <v>132418163</v>
      </c>
      <c r="O3855">
        <v>125722449</v>
      </c>
      <c r="P3855">
        <v>134</v>
      </c>
      <c r="Q3855" t="s">
        <v>8055</v>
      </c>
    </row>
    <row r="3856" spans="1:17" x14ac:dyDescent="0.3">
      <c r="A3856" t="s">
        <v>4664</v>
      </c>
      <c r="B3856" t="str">
        <f>"300100"</f>
        <v>300100</v>
      </c>
      <c r="C3856" t="s">
        <v>8056</v>
      </c>
      <c r="D3856" t="s">
        <v>191</v>
      </c>
      <c r="F3856">
        <v>2739983697</v>
      </c>
      <c r="G3856">
        <v>2431925606</v>
      </c>
      <c r="H3856">
        <v>2710040367</v>
      </c>
      <c r="I3856">
        <v>3585641228</v>
      </c>
      <c r="J3856">
        <v>2589979618</v>
      </c>
      <c r="K3856">
        <v>1923904284</v>
      </c>
      <c r="L3856">
        <v>1593085641</v>
      </c>
      <c r="M3856">
        <v>990645849</v>
      </c>
      <c r="N3856">
        <v>817084435</v>
      </c>
      <c r="O3856">
        <v>805578152</v>
      </c>
      <c r="P3856">
        <v>129</v>
      </c>
      <c r="Q3856" t="s">
        <v>8057</v>
      </c>
    </row>
    <row r="3857" spans="1:17" x14ac:dyDescent="0.3">
      <c r="A3857" t="s">
        <v>4664</v>
      </c>
      <c r="B3857" t="str">
        <f>"300101"</f>
        <v>300101</v>
      </c>
      <c r="C3857" t="s">
        <v>8058</v>
      </c>
      <c r="D3857" t="s">
        <v>1136</v>
      </c>
      <c r="F3857">
        <v>419441356</v>
      </c>
      <c r="G3857">
        <v>330827375</v>
      </c>
      <c r="H3857">
        <v>248516804</v>
      </c>
      <c r="I3857">
        <v>341928895</v>
      </c>
      <c r="J3857">
        <v>163476061</v>
      </c>
      <c r="K3857">
        <v>148554244</v>
      </c>
      <c r="L3857">
        <v>130881976</v>
      </c>
      <c r="M3857">
        <v>137273085</v>
      </c>
      <c r="N3857">
        <v>137719163</v>
      </c>
      <c r="O3857">
        <v>72760969</v>
      </c>
      <c r="P3857">
        <v>3120</v>
      </c>
      <c r="Q3857" t="s">
        <v>8059</v>
      </c>
    </row>
    <row r="3858" spans="1:17" x14ac:dyDescent="0.3">
      <c r="A3858" t="s">
        <v>4664</v>
      </c>
      <c r="B3858" t="str">
        <f>"300102"</f>
        <v>300102</v>
      </c>
      <c r="C3858" t="s">
        <v>8060</v>
      </c>
      <c r="D3858" t="s">
        <v>803</v>
      </c>
      <c r="F3858">
        <v>868504303</v>
      </c>
      <c r="G3858">
        <v>636477369</v>
      </c>
      <c r="H3858">
        <v>808617733</v>
      </c>
      <c r="I3858">
        <v>787288682</v>
      </c>
      <c r="J3858">
        <v>891646926</v>
      </c>
      <c r="K3858">
        <v>588205957</v>
      </c>
      <c r="L3858">
        <v>335445569</v>
      </c>
      <c r="M3858">
        <v>395842416</v>
      </c>
      <c r="N3858">
        <v>292826552</v>
      </c>
      <c r="O3858">
        <v>173454515</v>
      </c>
      <c r="P3858">
        <v>158</v>
      </c>
      <c r="Q3858" t="s">
        <v>8061</v>
      </c>
    </row>
    <row r="3859" spans="1:17" x14ac:dyDescent="0.3">
      <c r="A3859" t="s">
        <v>4664</v>
      </c>
      <c r="B3859" t="str">
        <f>"300103"</f>
        <v>300103</v>
      </c>
      <c r="C3859" t="s">
        <v>8062</v>
      </c>
      <c r="D3859" t="s">
        <v>741</v>
      </c>
      <c r="F3859">
        <v>826793959</v>
      </c>
      <c r="G3859">
        <v>914010847</v>
      </c>
      <c r="H3859">
        <v>780547776</v>
      </c>
      <c r="I3859">
        <v>176357210</v>
      </c>
      <c r="J3859">
        <v>159432313</v>
      </c>
      <c r="K3859">
        <v>147737333</v>
      </c>
      <c r="L3859">
        <v>222368382</v>
      </c>
      <c r="M3859">
        <v>288103451</v>
      </c>
      <c r="N3859">
        <v>222161471</v>
      </c>
      <c r="O3859">
        <v>240671111</v>
      </c>
      <c r="P3859">
        <v>53</v>
      </c>
      <c r="Q3859" t="s">
        <v>8063</v>
      </c>
    </row>
    <row r="3860" spans="1:17" x14ac:dyDescent="0.3">
      <c r="A3860" t="s">
        <v>4664</v>
      </c>
      <c r="B3860" t="str">
        <f>"300104"</f>
        <v>300104</v>
      </c>
      <c r="C3860" t="s">
        <v>8064</v>
      </c>
      <c r="H3860">
        <v>445466743</v>
      </c>
      <c r="I3860">
        <v>1315751552</v>
      </c>
      <c r="J3860">
        <v>4476235970</v>
      </c>
      <c r="K3860">
        <v>11833407221.01</v>
      </c>
      <c r="L3860">
        <v>5934236703.9200001</v>
      </c>
      <c r="M3860">
        <v>4047776079.9099998</v>
      </c>
      <c r="N3860">
        <v>802194781.51999998</v>
      </c>
      <c r="O3860">
        <v>332605024.97000003</v>
      </c>
      <c r="P3860">
        <v>205</v>
      </c>
      <c r="Q3860" t="s">
        <v>8065</v>
      </c>
    </row>
    <row r="3861" spans="1:17" x14ac:dyDescent="0.3">
      <c r="A3861" t="s">
        <v>4664</v>
      </c>
      <c r="B3861" t="str">
        <f>"300105"</f>
        <v>300105</v>
      </c>
      <c r="C3861" t="s">
        <v>8066</v>
      </c>
      <c r="D3861" t="s">
        <v>470</v>
      </c>
      <c r="F3861">
        <v>414717986</v>
      </c>
      <c r="G3861">
        <v>328461106</v>
      </c>
      <c r="H3861">
        <v>331645495</v>
      </c>
      <c r="I3861">
        <v>432824965</v>
      </c>
      <c r="J3861">
        <v>361302288</v>
      </c>
      <c r="K3861">
        <v>594279832</v>
      </c>
      <c r="L3861">
        <v>845899462</v>
      </c>
      <c r="M3861">
        <v>908750230</v>
      </c>
      <c r="N3861">
        <v>821608416</v>
      </c>
      <c r="O3861">
        <v>719460806</v>
      </c>
      <c r="P3861">
        <v>56</v>
      </c>
      <c r="Q3861" t="s">
        <v>8067</v>
      </c>
    </row>
    <row r="3862" spans="1:17" x14ac:dyDescent="0.3">
      <c r="A3862" t="s">
        <v>4664</v>
      </c>
      <c r="B3862" t="str">
        <f>"300106"</f>
        <v>300106</v>
      </c>
      <c r="C3862" t="s">
        <v>8068</v>
      </c>
      <c r="D3862" t="s">
        <v>900</v>
      </c>
      <c r="F3862">
        <v>851752750</v>
      </c>
      <c r="G3862">
        <v>595459997</v>
      </c>
      <c r="H3862">
        <v>504316213</v>
      </c>
      <c r="I3862">
        <v>541703904</v>
      </c>
      <c r="J3862">
        <v>495242488</v>
      </c>
      <c r="K3862">
        <v>440774486</v>
      </c>
      <c r="L3862">
        <v>691650455</v>
      </c>
      <c r="M3862">
        <v>688708565</v>
      </c>
      <c r="N3862">
        <v>361216532</v>
      </c>
      <c r="O3862">
        <v>322311075</v>
      </c>
      <c r="P3862">
        <v>124</v>
      </c>
      <c r="Q3862" t="s">
        <v>8069</v>
      </c>
    </row>
    <row r="3863" spans="1:17" x14ac:dyDescent="0.3">
      <c r="A3863" t="s">
        <v>4664</v>
      </c>
      <c r="B3863" t="str">
        <f>"300107"</f>
        <v>300107</v>
      </c>
      <c r="C3863" t="s">
        <v>8070</v>
      </c>
      <c r="D3863" t="s">
        <v>779</v>
      </c>
      <c r="F3863">
        <v>257915213</v>
      </c>
      <c r="G3863">
        <v>293008979</v>
      </c>
      <c r="H3863">
        <v>660694796</v>
      </c>
      <c r="I3863">
        <v>770602483</v>
      </c>
      <c r="J3863">
        <v>199472801</v>
      </c>
      <c r="K3863">
        <v>201683997</v>
      </c>
      <c r="L3863">
        <v>188457244</v>
      </c>
      <c r="M3863">
        <v>230258091</v>
      </c>
      <c r="N3863">
        <v>156204487</v>
      </c>
      <c r="O3863">
        <v>132592108</v>
      </c>
      <c r="P3863">
        <v>239</v>
      </c>
      <c r="Q3863" t="s">
        <v>8071</v>
      </c>
    </row>
    <row r="3864" spans="1:17" x14ac:dyDescent="0.3">
      <c r="A3864" t="s">
        <v>4664</v>
      </c>
      <c r="B3864" t="str">
        <f>"300108"</f>
        <v>300108</v>
      </c>
      <c r="C3864" t="s">
        <v>8072</v>
      </c>
      <c r="D3864" t="s">
        <v>188</v>
      </c>
      <c r="F3864">
        <v>399598701</v>
      </c>
      <c r="G3864">
        <v>546617714</v>
      </c>
      <c r="H3864">
        <v>695389952</v>
      </c>
      <c r="I3864">
        <v>528142028</v>
      </c>
      <c r="J3864">
        <v>468636135</v>
      </c>
      <c r="K3864">
        <v>447958707</v>
      </c>
      <c r="L3864">
        <v>394697449</v>
      </c>
      <c r="M3864">
        <v>201876908</v>
      </c>
      <c r="N3864">
        <v>89346064</v>
      </c>
      <c r="O3864">
        <v>114163252</v>
      </c>
      <c r="P3864">
        <v>121</v>
      </c>
      <c r="Q3864" t="s">
        <v>8073</v>
      </c>
    </row>
    <row r="3865" spans="1:17" x14ac:dyDescent="0.3">
      <c r="A3865" t="s">
        <v>4664</v>
      </c>
      <c r="B3865" t="str">
        <f>"300109"</f>
        <v>300109</v>
      </c>
      <c r="C3865" t="s">
        <v>8074</v>
      </c>
      <c r="D3865" t="s">
        <v>386</v>
      </c>
      <c r="F3865">
        <v>870894329</v>
      </c>
      <c r="G3865">
        <v>617165443</v>
      </c>
      <c r="H3865">
        <v>586168103</v>
      </c>
      <c r="I3865">
        <v>429629992</v>
      </c>
      <c r="J3865">
        <v>298481885</v>
      </c>
      <c r="K3865">
        <v>319903786</v>
      </c>
      <c r="L3865">
        <v>186729344</v>
      </c>
      <c r="M3865">
        <v>166538347</v>
      </c>
      <c r="N3865">
        <v>155672832</v>
      </c>
      <c r="O3865">
        <v>183067965</v>
      </c>
      <c r="P3865">
        <v>122</v>
      </c>
      <c r="Q3865" t="s">
        <v>8075</v>
      </c>
    </row>
    <row r="3866" spans="1:17" x14ac:dyDescent="0.3">
      <c r="A3866" t="s">
        <v>4664</v>
      </c>
      <c r="B3866" t="str">
        <f>"300110"</f>
        <v>300110</v>
      </c>
      <c r="C3866" t="s">
        <v>8076</v>
      </c>
      <c r="D3866" t="s">
        <v>143</v>
      </c>
      <c r="F3866">
        <v>1395535504</v>
      </c>
      <c r="G3866">
        <v>985651408</v>
      </c>
      <c r="H3866">
        <v>1091203011</v>
      </c>
      <c r="I3866">
        <v>1075780700</v>
      </c>
      <c r="J3866">
        <v>896888859</v>
      </c>
      <c r="K3866">
        <v>892304888</v>
      </c>
      <c r="L3866">
        <v>674137960</v>
      </c>
      <c r="M3866">
        <v>663156891</v>
      </c>
      <c r="N3866">
        <v>496648314</v>
      </c>
      <c r="O3866">
        <v>320387615</v>
      </c>
      <c r="P3866">
        <v>126</v>
      </c>
      <c r="Q3866" t="s">
        <v>8077</v>
      </c>
    </row>
    <row r="3867" spans="1:17" x14ac:dyDescent="0.3">
      <c r="A3867" t="s">
        <v>4664</v>
      </c>
      <c r="B3867" t="str">
        <f>"300111"</f>
        <v>300111</v>
      </c>
      <c r="C3867" t="s">
        <v>8078</v>
      </c>
      <c r="D3867" t="s">
        <v>356</v>
      </c>
      <c r="F3867">
        <v>163641170</v>
      </c>
      <c r="G3867">
        <v>224402808</v>
      </c>
      <c r="H3867">
        <v>550051947</v>
      </c>
      <c r="I3867">
        <v>447436586</v>
      </c>
      <c r="J3867">
        <v>725246647</v>
      </c>
      <c r="K3867">
        <v>968182669</v>
      </c>
      <c r="L3867">
        <v>683107065</v>
      </c>
      <c r="M3867">
        <v>705068616</v>
      </c>
      <c r="N3867">
        <v>731049991</v>
      </c>
      <c r="O3867">
        <v>720352523</v>
      </c>
      <c r="P3867">
        <v>124</v>
      </c>
      <c r="Q3867" t="s">
        <v>8079</v>
      </c>
    </row>
    <row r="3868" spans="1:17" x14ac:dyDescent="0.3">
      <c r="A3868" t="s">
        <v>4664</v>
      </c>
      <c r="B3868" t="str">
        <f>"300112"</f>
        <v>300112</v>
      </c>
      <c r="C3868" t="s">
        <v>8080</v>
      </c>
      <c r="D3868" t="s">
        <v>2551</v>
      </c>
      <c r="F3868">
        <v>584574974</v>
      </c>
      <c r="G3868">
        <v>486341245</v>
      </c>
      <c r="H3868">
        <v>450786312</v>
      </c>
      <c r="I3868">
        <v>402427717</v>
      </c>
      <c r="J3868">
        <v>412565630</v>
      </c>
      <c r="K3868">
        <v>346903951</v>
      </c>
      <c r="L3868">
        <v>271021574</v>
      </c>
      <c r="M3868">
        <v>255125981</v>
      </c>
      <c r="N3868">
        <v>234542704</v>
      </c>
      <c r="O3868">
        <v>182867567</v>
      </c>
      <c r="P3868">
        <v>123</v>
      </c>
      <c r="Q3868" t="s">
        <v>8081</v>
      </c>
    </row>
    <row r="3869" spans="1:17" x14ac:dyDescent="0.3">
      <c r="A3869" t="s">
        <v>4664</v>
      </c>
      <c r="B3869" t="str">
        <f>"300113"</f>
        <v>300113</v>
      </c>
      <c r="C3869" t="s">
        <v>8082</v>
      </c>
      <c r="D3869" t="s">
        <v>517</v>
      </c>
      <c r="F3869">
        <v>927383256</v>
      </c>
      <c r="G3869">
        <v>869411771</v>
      </c>
      <c r="H3869">
        <v>1330259881</v>
      </c>
      <c r="I3869">
        <v>1665439273</v>
      </c>
      <c r="J3869">
        <v>1267049445</v>
      </c>
      <c r="K3869">
        <v>1256688486</v>
      </c>
      <c r="L3869">
        <v>753382270</v>
      </c>
      <c r="M3869">
        <v>416666589</v>
      </c>
      <c r="N3869">
        <v>242040865</v>
      </c>
      <c r="O3869">
        <v>176925202</v>
      </c>
      <c r="P3869">
        <v>481</v>
      </c>
      <c r="Q3869" t="s">
        <v>8083</v>
      </c>
    </row>
    <row r="3870" spans="1:17" x14ac:dyDescent="0.3">
      <c r="A3870" t="s">
        <v>4664</v>
      </c>
      <c r="B3870" t="str">
        <f>"300114"</f>
        <v>300114</v>
      </c>
      <c r="C3870" t="s">
        <v>8084</v>
      </c>
      <c r="D3870" t="s">
        <v>1136</v>
      </c>
      <c r="F3870">
        <v>987688312</v>
      </c>
      <c r="G3870">
        <v>912264603</v>
      </c>
      <c r="H3870">
        <v>1069336748</v>
      </c>
      <c r="I3870">
        <v>772139902</v>
      </c>
      <c r="J3870">
        <v>835729247</v>
      </c>
      <c r="K3870">
        <v>722278480</v>
      </c>
      <c r="L3870">
        <v>633149372</v>
      </c>
      <c r="M3870">
        <v>523579393</v>
      </c>
      <c r="N3870">
        <v>461421483</v>
      </c>
      <c r="O3870">
        <v>330802723</v>
      </c>
      <c r="P3870">
        <v>258</v>
      </c>
      <c r="Q3870" t="s">
        <v>8085</v>
      </c>
    </row>
    <row r="3871" spans="1:17" x14ac:dyDescent="0.3">
      <c r="A3871" t="s">
        <v>4664</v>
      </c>
      <c r="B3871" t="str">
        <f>"300115"</f>
        <v>300115</v>
      </c>
      <c r="C3871" t="s">
        <v>8086</v>
      </c>
      <c r="D3871" t="s">
        <v>313</v>
      </c>
      <c r="F3871">
        <v>8251185080</v>
      </c>
      <c r="G3871">
        <v>6875485149</v>
      </c>
      <c r="H3871">
        <v>6689796095</v>
      </c>
      <c r="I3871">
        <v>6968427662</v>
      </c>
      <c r="J3871">
        <v>6657989752</v>
      </c>
      <c r="K3871">
        <v>4850023488</v>
      </c>
      <c r="L3871">
        <v>3004192190</v>
      </c>
      <c r="M3871">
        <v>1494457837</v>
      </c>
      <c r="N3871">
        <v>1265677170</v>
      </c>
      <c r="O3871">
        <v>837633448</v>
      </c>
      <c r="P3871">
        <v>870</v>
      </c>
      <c r="Q3871" t="s">
        <v>8087</v>
      </c>
    </row>
    <row r="3872" spans="1:17" x14ac:dyDescent="0.3">
      <c r="A3872" t="s">
        <v>4664</v>
      </c>
      <c r="B3872" t="str">
        <f>"300116"</f>
        <v>300116</v>
      </c>
      <c r="C3872" t="s">
        <v>8088</v>
      </c>
      <c r="D3872" t="s">
        <v>359</v>
      </c>
      <c r="F3872">
        <v>127174539</v>
      </c>
      <c r="G3872">
        <v>30460180</v>
      </c>
      <c r="H3872">
        <v>391051235</v>
      </c>
      <c r="I3872">
        <v>1390631268</v>
      </c>
      <c r="J3872">
        <v>2306776445</v>
      </c>
      <c r="K3872">
        <v>589837070</v>
      </c>
      <c r="L3872">
        <v>301075923</v>
      </c>
      <c r="M3872">
        <v>215892023</v>
      </c>
      <c r="N3872">
        <v>120269272</v>
      </c>
      <c r="O3872">
        <v>67733235</v>
      </c>
      <c r="P3872">
        <v>173</v>
      </c>
      <c r="Q3872" t="s">
        <v>8089</v>
      </c>
    </row>
    <row r="3873" spans="1:17" x14ac:dyDescent="0.3">
      <c r="A3873" t="s">
        <v>4664</v>
      </c>
      <c r="B3873" t="str">
        <f>"300117"</f>
        <v>300117</v>
      </c>
      <c r="C3873" t="s">
        <v>8090</v>
      </c>
      <c r="D3873" t="s">
        <v>1986</v>
      </c>
      <c r="F3873">
        <v>1856651047</v>
      </c>
      <c r="G3873">
        <v>1346504199</v>
      </c>
      <c r="H3873">
        <v>1875993583</v>
      </c>
      <c r="I3873">
        <v>2057430590</v>
      </c>
      <c r="J3873">
        <v>1547975825</v>
      </c>
      <c r="K3873">
        <v>1277798049</v>
      </c>
      <c r="L3873">
        <v>1431399096</v>
      </c>
      <c r="M3873">
        <v>1093466149</v>
      </c>
      <c r="N3873">
        <v>761689860</v>
      </c>
      <c r="O3873">
        <v>498542117</v>
      </c>
      <c r="P3873">
        <v>179</v>
      </c>
      <c r="Q3873" t="s">
        <v>8091</v>
      </c>
    </row>
    <row r="3874" spans="1:17" x14ac:dyDescent="0.3">
      <c r="A3874" t="s">
        <v>4664</v>
      </c>
      <c r="B3874" t="str">
        <f>"300118"</f>
        <v>300118</v>
      </c>
      <c r="C3874" t="s">
        <v>8092</v>
      </c>
      <c r="D3874" t="s">
        <v>356</v>
      </c>
      <c r="F3874">
        <v>11665641204</v>
      </c>
      <c r="G3874">
        <v>8480234023</v>
      </c>
      <c r="H3874">
        <v>8799159770</v>
      </c>
      <c r="I3874">
        <v>5844449826</v>
      </c>
      <c r="J3874">
        <v>5564467768</v>
      </c>
      <c r="K3874">
        <v>3932498304</v>
      </c>
      <c r="L3874">
        <v>2429008608</v>
      </c>
      <c r="M3874">
        <v>940254349</v>
      </c>
      <c r="N3874">
        <v>1078292315</v>
      </c>
      <c r="O3874">
        <v>1104058723</v>
      </c>
      <c r="P3874">
        <v>443</v>
      </c>
      <c r="Q3874" t="s">
        <v>8093</v>
      </c>
    </row>
    <row r="3875" spans="1:17" x14ac:dyDescent="0.3">
      <c r="A3875" t="s">
        <v>4664</v>
      </c>
      <c r="B3875" t="str">
        <f>"300119"</f>
        <v>300119</v>
      </c>
      <c r="C3875" t="s">
        <v>8094</v>
      </c>
      <c r="D3875" t="s">
        <v>453</v>
      </c>
      <c r="F3875">
        <v>1419960281</v>
      </c>
      <c r="G3875">
        <v>1374598496</v>
      </c>
      <c r="H3875">
        <v>994589383</v>
      </c>
      <c r="I3875">
        <v>807935157</v>
      </c>
      <c r="J3875">
        <v>649472779</v>
      </c>
      <c r="K3875">
        <v>639715337</v>
      </c>
      <c r="L3875">
        <v>518312680</v>
      </c>
      <c r="M3875">
        <v>429887537</v>
      </c>
      <c r="N3875">
        <v>407857501</v>
      </c>
      <c r="O3875">
        <v>371515279</v>
      </c>
      <c r="P3875">
        <v>388</v>
      </c>
      <c r="Q3875" t="s">
        <v>8095</v>
      </c>
    </row>
    <row r="3876" spans="1:17" x14ac:dyDescent="0.3">
      <c r="A3876" t="s">
        <v>4664</v>
      </c>
      <c r="B3876" t="str">
        <f>"300120"</f>
        <v>300120</v>
      </c>
      <c r="C3876" t="s">
        <v>8096</v>
      </c>
      <c r="D3876" t="s">
        <v>1117</v>
      </c>
      <c r="F3876">
        <v>2296262512</v>
      </c>
      <c r="G3876">
        <v>1863251026</v>
      </c>
      <c r="H3876">
        <v>1555878367</v>
      </c>
      <c r="I3876">
        <v>1379543485</v>
      </c>
      <c r="J3876">
        <v>485554840</v>
      </c>
      <c r="K3876">
        <v>543286021</v>
      </c>
      <c r="L3876">
        <v>431393590</v>
      </c>
      <c r="M3876">
        <v>363387912</v>
      </c>
      <c r="N3876">
        <v>304195585</v>
      </c>
      <c r="O3876">
        <v>215000944</v>
      </c>
      <c r="P3876">
        <v>105</v>
      </c>
      <c r="Q3876" t="s">
        <v>8097</v>
      </c>
    </row>
    <row r="3877" spans="1:17" x14ac:dyDescent="0.3">
      <c r="A3877" t="s">
        <v>4664</v>
      </c>
      <c r="B3877" t="str">
        <f>"300121"</f>
        <v>300121</v>
      </c>
      <c r="C3877" t="s">
        <v>8098</v>
      </c>
      <c r="D3877" t="s">
        <v>3101</v>
      </c>
      <c r="F3877">
        <v>1185124004</v>
      </c>
      <c r="G3877">
        <v>857827162</v>
      </c>
      <c r="H3877">
        <v>799735243</v>
      </c>
      <c r="I3877">
        <v>944899298</v>
      </c>
      <c r="J3877">
        <v>556859261</v>
      </c>
      <c r="K3877">
        <v>942053144</v>
      </c>
      <c r="L3877">
        <v>661653955</v>
      </c>
      <c r="M3877">
        <v>624412629</v>
      </c>
      <c r="N3877">
        <v>430453825</v>
      </c>
      <c r="O3877">
        <v>400709307</v>
      </c>
      <c r="P3877">
        <v>353</v>
      </c>
      <c r="Q3877" t="s">
        <v>8099</v>
      </c>
    </row>
    <row r="3878" spans="1:17" x14ac:dyDescent="0.3">
      <c r="A3878" t="s">
        <v>4664</v>
      </c>
      <c r="B3878" t="str">
        <f>"300122"</f>
        <v>300122</v>
      </c>
      <c r="C3878" t="s">
        <v>8100</v>
      </c>
      <c r="D3878" t="s">
        <v>1499</v>
      </c>
      <c r="F3878">
        <v>18542562066</v>
      </c>
      <c r="G3878">
        <v>8594045411</v>
      </c>
      <c r="H3878">
        <v>5352223620</v>
      </c>
      <c r="I3878">
        <v>2398636782</v>
      </c>
      <c r="J3878">
        <v>535837761</v>
      </c>
      <c r="K3878">
        <v>268210853</v>
      </c>
      <c r="L3878">
        <v>457551233</v>
      </c>
      <c r="M3878">
        <v>463274187</v>
      </c>
      <c r="N3878">
        <v>485558996</v>
      </c>
      <c r="O3878">
        <v>479205227</v>
      </c>
      <c r="P3878">
        <v>3426</v>
      </c>
      <c r="Q3878" t="s">
        <v>8101</v>
      </c>
    </row>
    <row r="3879" spans="1:17" x14ac:dyDescent="0.3">
      <c r="A3879" t="s">
        <v>4664</v>
      </c>
      <c r="B3879" t="str">
        <f>"300123"</f>
        <v>300123</v>
      </c>
      <c r="C3879" t="s">
        <v>8102</v>
      </c>
      <c r="D3879" t="s">
        <v>1136</v>
      </c>
      <c r="F3879">
        <v>1187383522</v>
      </c>
      <c r="G3879">
        <v>1462013359</v>
      </c>
      <c r="H3879">
        <v>1280339954</v>
      </c>
      <c r="I3879">
        <v>1246403823</v>
      </c>
      <c r="J3879">
        <v>377471846</v>
      </c>
      <c r="K3879">
        <v>345754124</v>
      </c>
      <c r="L3879">
        <v>477563862</v>
      </c>
      <c r="M3879">
        <v>268655569</v>
      </c>
      <c r="N3879">
        <v>335804537</v>
      </c>
      <c r="O3879">
        <v>351092931</v>
      </c>
      <c r="P3879">
        <v>232</v>
      </c>
      <c r="Q3879" t="s">
        <v>8103</v>
      </c>
    </row>
    <row r="3880" spans="1:17" x14ac:dyDescent="0.3">
      <c r="A3880" t="s">
        <v>4664</v>
      </c>
      <c r="B3880" t="str">
        <f>"300124"</f>
        <v>300124</v>
      </c>
      <c r="C3880" t="s">
        <v>8104</v>
      </c>
      <c r="D3880" t="s">
        <v>2423</v>
      </c>
      <c r="F3880">
        <v>8997753476</v>
      </c>
      <c r="G3880">
        <v>5976970759</v>
      </c>
      <c r="H3880">
        <v>4743552575</v>
      </c>
      <c r="I3880">
        <v>3369749480</v>
      </c>
      <c r="J3880">
        <v>2451508254</v>
      </c>
      <c r="K3880">
        <v>1821885765</v>
      </c>
      <c r="L3880">
        <v>1726594309</v>
      </c>
      <c r="M3880">
        <v>853254831</v>
      </c>
      <c r="N3880">
        <v>749100290</v>
      </c>
      <c r="O3880">
        <v>599123647</v>
      </c>
      <c r="P3880">
        <v>2412</v>
      </c>
      <c r="Q3880" t="s">
        <v>8105</v>
      </c>
    </row>
    <row r="3881" spans="1:17" x14ac:dyDescent="0.3">
      <c r="A3881" t="s">
        <v>4664</v>
      </c>
      <c r="B3881" t="str">
        <f>"300125"</f>
        <v>300125</v>
      </c>
      <c r="C3881" t="s">
        <v>8106</v>
      </c>
      <c r="D3881" t="s">
        <v>86</v>
      </c>
      <c r="F3881">
        <v>212092822</v>
      </c>
      <c r="G3881">
        <v>58608979</v>
      </c>
      <c r="H3881">
        <v>60152727</v>
      </c>
      <c r="I3881">
        <v>65985312</v>
      </c>
      <c r="J3881">
        <v>56750528</v>
      </c>
      <c r="K3881">
        <v>94697444</v>
      </c>
      <c r="L3881">
        <v>185506189</v>
      </c>
      <c r="M3881">
        <v>230511179</v>
      </c>
      <c r="N3881">
        <v>290242813</v>
      </c>
      <c r="O3881">
        <v>353003370</v>
      </c>
      <c r="P3881">
        <v>59</v>
      </c>
      <c r="Q3881" t="s">
        <v>8107</v>
      </c>
    </row>
    <row r="3882" spans="1:17" x14ac:dyDescent="0.3">
      <c r="A3882" t="s">
        <v>4664</v>
      </c>
      <c r="B3882" t="str">
        <f>"300126"</f>
        <v>300126</v>
      </c>
      <c r="C3882" t="s">
        <v>8108</v>
      </c>
      <c r="D3882" t="s">
        <v>560</v>
      </c>
      <c r="F3882">
        <v>435078513</v>
      </c>
      <c r="G3882">
        <v>293827354</v>
      </c>
      <c r="H3882">
        <v>374416827</v>
      </c>
      <c r="I3882">
        <v>477276536</v>
      </c>
      <c r="J3882">
        <v>411478767</v>
      </c>
      <c r="K3882">
        <v>397872341</v>
      </c>
      <c r="L3882">
        <v>313452911</v>
      </c>
      <c r="M3882">
        <v>386503982</v>
      </c>
      <c r="N3882">
        <v>427627061</v>
      </c>
      <c r="O3882">
        <v>407991346</v>
      </c>
      <c r="P3882">
        <v>50</v>
      </c>
      <c r="Q3882" t="s">
        <v>8109</v>
      </c>
    </row>
    <row r="3883" spans="1:17" x14ac:dyDescent="0.3">
      <c r="A3883" t="s">
        <v>4664</v>
      </c>
      <c r="B3883" t="str">
        <f>"300127"</f>
        <v>300127</v>
      </c>
      <c r="C3883" t="s">
        <v>8110</v>
      </c>
      <c r="D3883" t="s">
        <v>808</v>
      </c>
      <c r="F3883">
        <v>512582430</v>
      </c>
      <c r="G3883">
        <v>462927938</v>
      </c>
      <c r="H3883">
        <v>522201613</v>
      </c>
      <c r="I3883">
        <v>504343542</v>
      </c>
      <c r="J3883">
        <v>380236993</v>
      </c>
      <c r="K3883">
        <v>340418647</v>
      </c>
      <c r="L3883">
        <v>292402323</v>
      </c>
      <c r="M3883">
        <v>301477164</v>
      </c>
      <c r="N3883">
        <v>282526226</v>
      </c>
      <c r="O3883">
        <v>412376391</v>
      </c>
      <c r="P3883">
        <v>205</v>
      </c>
      <c r="Q3883" t="s">
        <v>8111</v>
      </c>
    </row>
    <row r="3884" spans="1:17" x14ac:dyDescent="0.3">
      <c r="A3884" t="s">
        <v>4664</v>
      </c>
      <c r="B3884" t="str">
        <f>"300128"</f>
        <v>300128</v>
      </c>
      <c r="C3884" t="s">
        <v>8112</v>
      </c>
      <c r="D3884" t="s">
        <v>1117</v>
      </c>
      <c r="F3884">
        <v>776718792</v>
      </c>
      <c r="G3884">
        <v>945808545</v>
      </c>
      <c r="H3884">
        <v>1231323363</v>
      </c>
      <c r="I3884">
        <v>1771693925</v>
      </c>
      <c r="J3884">
        <v>2101210086</v>
      </c>
      <c r="K3884">
        <v>1931481963</v>
      </c>
      <c r="L3884">
        <v>2381839969</v>
      </c>
      <c r="M3884">
        <v>1911232193</v>
      </c>
      <c r="N3884">
        <v>1334204118</v>
      </c>
      <c r="O3884">
        <v>1069777098</v>
      </c>
      <c r="P3884">
        <v>145</v>
      </c>
      <c r="Q3884" t="s">
        <v>8113</v>
      </c>
    </row>
    <row r="3885" spans="1:17" x14ac:dyDescent="0.3">
      <c r="A3885" t="s">
        <v>4664</v>
      </c>
      <c r="B3885" t="str">
        <f>"300129"</f>
        <v>300129</v>
      </c>
      <c r="C3885" t="s">
        <v>8114</v>
      </c>
      <c r="D3885" t="s">
        <v>950</v>
      </c>
      <c r="F3885">
        <v>2368062338</v>
      </c>
      <c r="G3885">
        <v>2211151696</v>
      </c>
      <c r="H3885">
        <v>1508290130</v>
      </c>
      <c r="I3885">
        <v>1171852443</v>
      </c>
      <c r="J3885">
        <v>1020167874</v>
      </c>
      <c r="K3885">
        <v>1234020662</v>
      </c>
      <c r="L3885">
        <v>997047906</v>
      </c>
      <c r="M3885">
        <v>920252382</v>
      </c>
      <c r="N3885">
        <v>673070414</v>
      </c>
      <c r="O3885">
        <v>542313261</v>
      </c>
      <c r="P3885">
        <v>183</v>
      </c>
      <c r="Q3885" t="s">
        <v>8115</v>
      </c>
    </row>
    <row r="3886" spans="1:17" x14ac:dyDescent="0.3">
      <c r="A3886" t="s">
        <v>4664</v>
      </c>
      <c r="B3886" t="str">
        <f>"300130"</f>
        <v>300130</v>
      </c>
      <c r="C3886" t="s">
        <v>8116</v>
      </c>
      <c r="D3886" t="s">
        <v>236</v>
      </c>
      <c r="F3886">
        <v>2915232927</v>
      </c>
      <c r="G3886">
        <v>1918098027</v>
      </c>
      <c r="H3886">
        <v>2206056411</v>
      </c>
      <c r="I3886">
        <v>1585600284</v>
      </c>
      <c r="J3886">
        <v>725604878</v>
      </c>
      <c r="K3886">
        <v>748463763</v>
      </c>
      <c r="L3886">
        <v>599827638</v>
      </c>
      <c r="M3886">
        <v>370078479</v>
      </c>
      <c r="N3886">
        <v>299734776</v>
      </c>
      <c r="O3886">
        <v>238033409</v>
      </c>
      <c r="P3886">
        <v>202</v>
      </c>
      <c r="Q3886" t="s">
        <v>8117</v>
      </c>
    </row>
    <row r="3887" spans="1:17" x14ac:dyDescent="0.3">
      <c r="A3887" t="s">
        <v>4664</v>
      </c>
      <c r="B3887" t="str">
        <f>"300131"</f>
        <v>300131</v>
      </c>
      <c r="C3887" t="s">
        <v>8118</v>
      </c>
      <c r="D3887" t="s">
        <v>313</v>
      </c>
      <c r="F3887">
        <v>5072169155</v>
      </c>
      <c r="G3887">
        <v>10430475266</v>
      </c>
      <c r="H3887">
        <v>10506810964</v>
      </c>
      <c r="I3887">
        <v>9600039173</v>
      </c>
      <c r="J3887">
        <v>4650405831</v>
      </c>
      <c r="K3887">
        <v>2120722108</v>
      </c>
      <c r="L3887">
        <v>738661923</v>
      </c>
      <c r="M3887">
        <v>363033189</v>
      </c>
      <c r="N3887">
        <v>426738217</v>
      </c>
      <c r="O3887">
        <v>423873032</v>
      </c>
      <c r="P3887">
        <v>207</v>
      </c>
      <c r="Q3887" t="s">
        <v>8119</v>
      </c>
    </row>
    <row r="3888" spans="1:17" x14ac:dyDescent="0.3">
      <c r="A3888" t="s">
        <v>4664</v>
      </c>
      <c r="B3888" t="str">
        <f>"300132"</f>
        <v>300132</v>
      </c>
      <c r="C3888" t="s">
        <v>8120</v>
      </c>
      <c r="D3888" t="s">
        <v>5892</v>
      </c>
      <c r="F3888">
        <v>2792694105</v>
      </c>
      <c r="G3888">
        <v>3153010357</v>
      </c>
      <c r="H3888">
        <v>1860903425</v>
      </c>
      <c r="I3888">
        <v>853312510</v>
      </c>
      <c r="J3888">
        <v>436564345</v>
      </c>
      <c r="K3888">
        <v>435987595</v>
      </c>
      <c r="L3888">
        <v>379148245</v>
      </c>
      <c r="M3888">
        <v>437091358</v>
      </c>
      <c r="N3888">
        <v>418377399</v>
      </c>
      <c r="O3888">
        <v>393733620</v>
      </c>
      <c r="P3888">
        <v>399</v>
      </c>
      <c r="Q3888" t="s">
        <v>8121</v>
      </c>
    </row>
    <row r="3889" spans="1:17" x14ac:dyDescent="0.3">
      <c r="A3889" t="s">
        <v>4664</v>
      </c>
      <c r="B3889" t="str">
        <f>"300133"</f>
        <v>300133</v>
      </c>
      <c r="C3889" t="s">
        <v>8122</v>
      </c>
      <c r="D3889" t="s">
        <v>113</v>
      </c>
      <c r="F3889">
        <v>3608327746</v>
      </c>
      <c r="G3889">
        <v>2965013050</v>
      </c>
      <c r="H3889">
        <v>3572389438</v>
      </c>
      <c r="I3889">
        <v>3274069550</v>
      </c>
      <c r="J3889">
        <v>3407410439</v>
      </c>
      <c r="K3889">
        <v>2818794067</v>
      </c>
      <c r="L3889">
        <v>1340346854</v>
      </c>
      <c r="M3889">
        <v>1132516661</v>
      </c>
      <c r="N3889">
        <v>568823062</v>
      </c>
      <c r="O3889">
        <v>345843963</v>
      </c>
      <c r="P3889">
        <v>349</v>
      </c>
      <c r="Q3889" t="s">
        <v>8123</v>
      </c>
    </row>
    <row r="3890" spans="1:17" x14ac:dyDescent="0.3">
      <c r="A3890" t="s">
        <v>4664</v>
      </c>
      <c r="B3890" t="str">
        <f>"300134"</f>
        <v>300134</v>
      </c>
      <c r="C3890" t="s">
        <v>8124</v>
      </c>
      <c r="D3890" t="s">
        <v>1019</v>
      </c>
      <c r="F3890">
        <v>1810217071</v>
      </c>
      <c r="G3890">
        <v>1756060786</v>
      </c>
      <c r="H3890">
        <v>1848612245</v>
      </c>
      <c r="I3890">
        <v>1370249166</v>
      </c>
      <c r="J3890">
        <v>1652698065</v>
      </c>
      <c r="K3890">
        <v>1808305982</v>
      </c>
      <c r="L3890">
        <v>1729440088</v>
      </c>
      <c r="M3890">
        <v>2009454555</v>
      </c>
      <c r="N3890">
        <v>1275709464</v>
      </c>
      <c r="O3890">
        <v>1075880149</v>
      </c>
      <c r="P3890">
        <v>342</v>
      </c>
      <c r="Q3890" t="s">
        <v>8125</v>
      </c>
    </row>
    <row r="3891" spans="1:17" x14ac:dyDescent="0.3">
      <c r="A3891" t="s">
        <v>4664</v>
      </c>
      <c r="B3891" t="str">
        <f>"300135"</f>
        <v>300135</v>
      </c>
      <c r="C3891" t="s">
        <v>8126</v>
      </c>
      <c r="D3891" t="s">
        <v>1615</v>
      </c>
      <c r="F3891">
        <v>1721644086</v>
      </c>
      <c r="G3891">
        <v>1439358235</v>
      </c>
      <c r="H3891">
        <v>1691340959</v>
      </c>
      <c r="I3891">
        <v>1801510441</v>
      </c>
      <c r="J3891">
        <v>1483203780</v>
      </c>
      <c r="K3891">
        <v>1231080248</v>
      </c>
      <c r="L3891">
        <v>1259785015</v>
      </c>
      <c r="M3891">
        <v>1446827147</v>
      </c>
      <c r="N3891">
        <v>1225853635</v>
      </c>
      <c r="O3891">
        <v>1376692659</v>
      </c>
      <c r="P3891">
        <v>49</v>
      </c>
      <c r="Q3891" t="s">
        <v>8127</v>
      </c>
    </row>
    <row r="3892" spans="1:17" x14ac:dyDescent="0.3">
      <c r="A3892" t="s">
        <v>4664</v>
      </c>
      <c r="B3892" t="str">
        <f>"300136"</f>
        <v>300136</v>
      </c>
      <c r="C3892" t="s">
        <v>8128</v>
      </c>
      <c r="D3892" t="s">
        <v>313</v>
      </c>
      <c r="F3892">
        <v>5441846393</v>
      </c>
      <c r="G3892">
        <v>4299625967</v>
      </c>
      <c r="H3892">
        <v>3057568249</v>
      </c>
      <c r="I3892">
        <v>2846502136</v>
      </c>
      <c r="J3892">
        <v>2324847604</v>
      </c>
      <c r="K3892">
        <v>1174778924</v>
      </c>
      <c r="L3892">
        <v>816717178</v>
      </c>
      <c r="M3892">
        <v>513370208</v>
      </c>
      <c r="N3892">
        <v>268778513</v>
      </c>
      <c r="O3892">
        <v>104833100</v>
      </c>
      <c r="P3892">
        <v>2618</v>
      </c>
      <c r="Q3892" t="s">
        <v>8129</v>
      </c>
    </row>
    <row r="3893" spans="1:17" x14ac:dyDescent="0.3">
      <c r="A3893" t="s">
        <v>4664</v>
      </c>
      <c r="B3893" t="str">
        <f>"300137"</f>
        <v>300137</v>
      </c>
      <c r="C3893" t="s">
        <v>8130</v>
      </c>
      <c r="D3893" t="s">
        <v>1070</v>
      </c>
      <c r="F3893">
        <v>664958868</v>
      </c>
      <c r="G3893">
        <v>691133516</v>
      </c>
      <c r="H3893">
        <v>892968306</v>
      </c>
      <c r="I3893">
        <v>514695695</v>
      </c>
      <c r="J3893">
        <v>481788700</v>
      </c>
      <c r="K3893">
        <v>392265324</v>
      </c>
      <c r="L3893">
        <v>271735087</v>
      </c>
      <c r="M3893">
        <v>180045448</v>
      </c>
      <c r="N3893">
        <v>135884064</v>
      </c>
      <c r="O3893">
        <v>118367376</v>
      </c>
      <c r="P3893">
        <v>253</v>
      </c>
      <c r="Q3893" t="s">
        <v>8131</v>
      </c>
    </row>
    <row r="3894" spans="1:17" x14ac:dyDescent="0.3">
      <c r="A3894" t="s">
        <v>4664</v>
      </c>
      <c r="B3894" t="str">
        <f>"300138"</f>
        <v>300138</v>
      </c>
      <c r="C3894" t="s">
        <v>8132</v>
      </c>
      <c r="D3894" t="s">
        <v>445</v>
      </c>
      <c r="F3894">
        <v>3418929629</v>
      </c>
      <c r="G3894">
        <v>3016366855</v>
      </c>
      <c r="H3894">
        <v>2578341654</v>
      </c>
      <c r="I3894">
        <v>2292654424</v>
      </c>
      <c r="J3894">
        <v>2401820700</v>
      </c>
      <c r="K3894">
        <v>1562921775</v>
      </c>
      <c r="L3894">
        <v>968695642</v>
      </c>
      <c r="M3894">
        <v>984267029</v>
      </c>
      <c r="N3894">
        <v>890235430</v>
      </c>
      <c r="O3894">
        <v>741675296</v>
      </c>
      <c r="P3894">
        <v>264</v>
      </c>
      <c r="Q3894" t="s">
        <v>8133</v>
      </c>
    </row>
    <row r="3895" spans="1:17" x14ac:dyDescent="0.3">
      <c r="A3895" t="s">
        <v>4664</v>
      </c>
      <c r="B3895" t="str">
        <f>"300139"</f>
        <v>300139</v>
      </c>
      <c r="C3895" t="s">
        <v>8134</v>
      </c>
      <c r="D3895" t="s">
        <v>86</v>
      </c>
      <c r="F3895">
        <v>329145371</v>
      </c>
      <c r="G3895">
        <v>178679369</v>
      </c>
      <c r="H3895">
        <v>65806098</v>
      </c>
      <c r="I3895">
        <v>156864660</v>
      </c>
      <c r="J3895">
        <v>164404300</v>
      </c>
      <c r="K3895">
        <v>132534930</v>
      </c>
      <c r="L3895">
        <v>138681061</v>
      </c>
      <c r="M3895">
        <v>110051918</v>
      </c>
      <c r="N3895">
        <v>177768174</v>
      </c>
      <c r="O3895">
        <v>164008401</v>
      </c>
      <c r="P3895">
        <v>147</v>
      </c>
      <c r="Q3895" t="s">
        <v>8135</v>
      </c>
    </row>
    <row r="3896" spans="1:17" x14ac:dyDescent="0.3">
      <c r="A3896" t="s">
        <v>4664</v>
      </c>
      <c r="B3896" t="str">
        <f>"300140"</f>
        <v>300140</v>
      </c>
      <c r="C3896" t="s">
        <v>8136</v>
      </c>
      <c r="D3896" t="s">
        <v>1070</v>
      </c>
      <c r="F3896">
        <v>785711933</v>
      </c>
      <c r="G3896">
        <v>1147101228</v>
      </c>
      <c r="H3896">
        <v>1567104243</v>
      </c>
      <c r="I3896">
        <v>1178281259</v>
      </c>
      <c r="J3896">
        <v>1082058758</v>
      </c>
      <c r="K3896">
        <v>202914031</v>
      </c>
      <c r="L3896">
        <v>151981763</v>
      </c>
      <c r="M3896">
        <v>157925171</v>
      </c>
      <c r="N3896">
        <v>117304028</v>
      </c>
      <c r="O3896">
        <v>133875259</v>
      </c>
      <c r="P3896">
        <v>103</v>
      </c>
      <c r="Q3896" t="s">
        <v>8137</v>
      </c>
    </row>
    <row r="3897" spans="1:17" x14ac:dyDescent="0.3">
      <c r="A3897" t="s">
        <v>4664</v>
      </c>
      <c r="B3897" t="str">
        <f>"300141"</f>
        <v>300141</v>
      </c>
      <c r="C3897" t="s">
        <v>8138</v>
      </c>
      <c r="D3897" t="s">
        <v>657</v>
      </c>
      <c r="F3897">
        <v>220671448</v>
      </c>
      <c r="G3897">
        <v>335210260</v>
      </c>
      <c r="H3897">
        <v>306582308</v>
      </c>
      <c r="I3897">
        <v>334962462</v>
      </c>
      <c r="J3897">
        <v>250312281</v>
      </c>
      <c r="K3897">
        <v>231913460</v>
      </c>
      <c r="L3897">
        <v>167837658</v>
      </c>
      <c r="M3897">
        <v>148638533</v>
      </c>
      <c r="N3897">
        <v>49817871</v>
      </c>
      <c r="O3897">
        <v>144825605</v>
      </c>
      <c r="P3897">
        <v>91</v>
      </c>
      <c r="Q3897" t="s">
        <v>8139</v>
      </c>
    </row>
    <row r="3898" spans="1:17" x14ac:dyDescent="0.3">
      <c r="A3898" t="s">
        <v>4664</v>
      </c>
      <c r="B3898" t="str">
        <f>"300142"</f>
        <v>300142</v>
      </c>
      <c r="C3898" t="s">
        <v>8140</v>
      </c>
      <c r="D3898" t="s">
        <v>1499</v>
      </c>
      <c r="F3898">
        <v>1980049121</v>
      </c>
      <c r="G3898">
        <v>794890192</v>
      </c>
      <c r="H3898">
        <v>702620894</v>
      </c>
      <c r="I3898">
        <v>494430013</v>
      </c>
      <c r="J3898">
        <v>436105918</v>
      </c>
      <c r="K3898">
        <v>449219278</v>
      </c>
      <c r="L3898">
        <v>562499894</v>
      </c>
      <c r="M3898">
        <v>566889011</v>
      </c>
      <c r="N3898">
        <v>250608717</v>
      </c>
      <c r="O3898">
        <v>233930248</v>
      </c>
      <c r="P3898">
        <v>1230</v>
      </c>
      <c r="Q3898" t="s">
        <v>8141</v>
      </c>
    </row>
    <row r="3899" spans="1:17" x14ac:dyDescent="0.3">
      <c r="A3899" t="s">
        <v>4664</v>
      </c>
      <c r="B3899" t="str">
        <f>"300143"</f>
        <v>300143</v>
      </c>
      <c r="C3899" t="s">
        <v>8142</v>
      </c>
      <c r="D3899" t="s">
        <v>1147</v>
      </c>
      <c r="F3899">
        <v>532447651</v>
      </c>
      <c r="G3899">
        <v>503971460</v>
      </c>
      <c r="H3899">
        <v>376973958</v>
      </c>
      <c r="I3899">
        <v>354184648</v>
      </c>
      <c r="J3899">
        <v>261547094</v>
      </c>
      <c r="K3899">
        <v>193238857</v>
      </c>
      <c r="L3899">
        <v>199501684</v>
      </c>
      <c r="M3899">
        <v>209614372</v>
      </c>
      <c r="N3899">
        <v>179231761</v>
      </c>
      <c r="O3899">
        <v>145149841</v>
      </c>
      <c r="P3899">
        <v>150</v>
      </c>
      <c r="Q3899" t="s">
        <v>8143</v>
      </c>
    </row>
    <row r="3900" spans="1:17" x14ac:dyDescent="0.3">
      <c r="A3900" t="s">
        <v>4664</v>
      </c>
      <c r="B3900" t="str">
        <f>"300144"</f>
        <v>300144</v>
      </c>
      <c r="C3900" t="s">
        <v>8144</v>
      </c>
      <c r="D3900" t="s">
        <v>333</v>
      </c>
      <c r="F3900">
        <v>987918119</v>
      </c>
      <c r="G3900">
        <v>424299331</v>
      </c>
      <c r="H3900">
        <v>2268607377</v>
      </c>
      <c r="I3900">
        <v>2762208711</v>
      </c>
      <c r="J3900">
        <v>2710060732</v>
      </c>
      <c r="K3900">
        <v>2374407011</v>
      </c>
      <c r="L3900">
        <v>1216926691</v>
      </c>
      <c r="M3900">
        <v>728019843</v>
      </c>
      <c r="N3900">
        <v>497135070</v>
      </c>
      <c r="O3900">
        <v>455073832</v>
      </c>
      <c r="P3900">
        <v>3022</v>
      </c>
      <c r="Q3900" t="s">
        <v>8145</v>
      </c>
    </row>
    <row r="3901" spans="1:17" x14ac:dyDescent="0.3">
      <c r="A3901" t="s">
        <v>4664</v>
      </c>
      <c r="B3901" t="str">
        <f>"300145"</f>
        <v>300145</v>
      </c>
      <c r="C3901" t="s">
        <v>8146</v>
      </c>
      <c r="D3901" t="s">
        <v>560</v>
      </c>
      <c r="F3901">
        <v>4032151285</v>
      </c>
      <c r="G3901">
        <v>2731267103</v>
      </c>
      <c r="H3901">
        <v>2676085413</v>
      </c>
      <c r="I3901">
        <v>2790469274</v>
      </c>
      <c r="J3901">
        <v>2251279727</v>
      </c>
      <c r="K3901">
        <v>1425165668</v>
      </c>
      <c r="L3901">
        <v>997856363</v>
      </c>
      <c r="M3901">
        <v>936076570</v>
      </c>
      <c r="N3901">
        <v>1067870286</v>
      </c>
      <c r="O3901">
        <v>810667947</v>
      </c>
      <c r="P3901">
        <v>281</v>
      </c>
      <c r="Q3901" t="s">
        <v>8147</v>
      </c>
    </row>
    <row r="3902" spans="1:17" x14ac:dyDescent="0.3">
      <c r="A3902" t="s">
        <v>4664</v>
      </c>
      <c r="B3902" t="str">
        <f>"300146"</f>
        <v>300146</v>
      </c>
      <c r="C3902" t="s">
        <v>8148</v>
      </c>
      <c r="D3902" t="s">
        <v>838</v>
      </c>
      <c r="F3902">
        <v>5837428995</v>
      </c>
      <c r="G3902">
        <v>4834648978</v>
      </c>
      <c r="H3902">
        <v>4390403619</v>
      </c>
      <c r="I3902">
        <v>3614755296</v>
      </c>
      <c r="J3902">
        <v>2415631314</v>
      </c>
      <c r="K3902">
        <v>1985723807</v>
      </c>
      <c r="L3902">
        <v>1865589952</v>
      </c>
      <c r="M3902">
        <v>1423000189</v>
      </c>
      <c r="N3902">
        <v>1218719831</v>
      </c>
      <c r="O3902">
        <v>824723580</v>
      </c>
      <c r="P3902">
        <v>2832</v>
      </c>
      <c r="Q3902" t="s">
        <v>8149</v>
      </c>
    </row>
    <row r="3903" spans="1:17" x14ac:dyDescent="0.3">
      <c r="A3903" t="s">
        <v>4664</v>
      </c>
      <c r="B3903" t="str">
        <f>"300147"</f>
        <v>300147</v>
      </c>
      <c r="C3903" t="s">
        <v>8150</v>
      </c>
      <c r="D3903" t="s">
        <v>188</v>
      </c>
      <c r="F3903">
        <v>2275089148</v>
      </c>
      <c r="G3903">
        <v>2535966666</v>
      </c>
      <c r="H3903">
        <v>2093410530</v>
      </c>
      <c r="I3903">
        <v>1773841820</v>
      </c>
      <c r="J3903">
        <v>1776271889</v>
      </c>
      <c r="K3903">
        <v>1538842272</v>
      </c>
      <c r="L3903">
        <v>1165495102</v>
      </c>
      <c r="M3903">
        <v>1246367506</v>
      </c>
      <c r="N3903">
        <v>865535161</v>
      </c>
      <c r="O3903">
        <v>635234499</v>
      </c>
      <c r="P3903">
        <v>166</v>
      </c>
      <c r="Q3903" t="s">
        <v>8151</v>
      </c>
    </row>
    <row r="3904" spans="1:17" x14ac:dyDescent="0.3">
      <c r="A3904" t="s">
        <v>4664</v>
      </c>
      <c r="B3904" t="str">
        <f>"300148"</f>
        <v>300148</v>
      </c>
      <c r="C3904" t="s">
        <v>8152</v>
      </c>
      <c r="D3904" t="s">
        <v>517</v>
      </c>
      <c r="F3904">
        <v>409171790</v>
      </c>
      <c r="G3904">
        <v>743185582</v>
      </c>
      <c r="H3904">
        <v>769870935</v>
      </c>
      <c r="I3904">
        <v>682567729</v>
      </c>
      <c r="J3904">
        <v>568195285</v>
      </c>
      <c r="K3904">
        <v>330911944</v>
      </c>
      <c r="L3904">
        <v>284955735</v>
      </c>
      <c r="M3904">
        <v>262452505</v>
      </c>
      <c r="N3904">
        <v>151195896</v>
      </c>
      <c r="O3904">
        <v>172317095</v>
      </c>
      <c r="P3904">
        <v>99</v>
      </c>
      <c r="Q3904" t="s">
        <v>8153</v>
      </c>
    </row>
    <row r="3905" spans="1:17" x14ac:dyDescent="0.3">
      <c r="A3905" t="s">
        <v>4664</v>
      </c>
      <c r="B3905" t="str">
        <f>"300149"</f>
        <v>300149</v>
      </c>
      <c r="C3905" t="s">
        <v>8154</v>
      </c>
      <c r="D3905" t="s">
        <v>1461</v>
      </c>
      <c r="F3905">
        <v>1315426855</v>
      </c>
      <c r="G3905">
        <v>1065140303</v>
      </c>
      <c r="H3905">
        <v>895505358</v>
      </c>
      <c r="I3905">
        <v>620493650</v>
      </c>
      <c r="J3905">
        <v>213060759</v>
      </c>
      <c r="K3905">
        <v>212702442</v>
      </c>
      <c r="L3905">
        <v>294831702</v>
      </c>
      <c r="M3905">
        <v>215583308</v>
      </c>
      <c r="N3905">
        <v>213932125</v>
      </c>
      <c r="O3905">
        <v>205405498</v>
      </c>
      <c r="P3905">
        <v>193</v>
      </c>
      <c r="Q3905" t="s">
        <v>8155</v>
      </c>
    </row>
    <row r="3906" spans="1:17" x14ac:dyDescent="0.3">
      <c r="A3906" t="s">
        <v>4664</v>
      </c>
      <c r="B3906" t="str">
        <f>"300150"</f>
        <v>300150</v>
      </c>
      <c r="C3906" t="s">
        <v>8156</v>
      </c>
      <c r="D3906" t="s">
        <v>316</v>
      </c>
      <c r="F3906">
        <v>489434627</v>
      </c>
      <c r="G3906">
        <v>508334795</v>
      </c>
      <c r="H3906">
        <v>484603151</v>
      </c>
      <c r="I3906">
        <v>446003157</v>
      </c>
      <c r="J3906">
        <v>301102802</v>
      </c>
      <c r="K3906">
        <v>308353128</v>
      </c>
      <c r="L3906">
        <v>214169880</v>
      </c>
      <c r="M3906">
        <v>236024960</v>
      </c>
      <c r="N3906">
        <v>125042567</v>
      </c>
      <c r="O3906">
        <v>158853674</v>
      </c>
      <c r="P3906">
        <v>121</v>
      </c>
      <c r="Q3906" t="s">
        <v>8157</v>
      </c>
    </row>
    <row r="3907" spans="1:17" x14ac:dyDescent="0.3">
      <c r="A3907" t="s">
        <v>4664</v>
      </c>
      <c r="B3907" t="str">
        <f>"300151"</f>
        <v>300151</v>
      </c>
      <c r="C3907" t="s">
        <v>8158</v>
      </c>
      <c r="D3907" t="s">
        <v>741</v>
      </c>
      <c r="F3907">
        <v>822733115</v>
      </c>
      <c r="G3907">
        <v>868811565</v>
      </c>
      <c r="H3907">
        <v>570533540</v>
      </c>
      <c r="I3907">
        <v>489919283</v>
      </c>
      <c r="J3907">
        <v>450434880</v>
      </c>
      <c r="K3907">
        <v>430112847</v>
      </c>
      <c r="L3907">
        <v>426412057</v>
      </c>
      <c r="M3907">
        <v>464878440</v>
      </c>
      <c r="N3907">
        <v>455882854</v>
      </c>
      <c r="O3907">
        <v>341870016</v>
      </c>
      <c r="P3907">
        <v>155</v>
      </c>
      <c r="Q3907" t="s">
        <v>8159</v>
      </c>
    </row>
    <row r="3908" spans="1:17" x14ac:dyDescent="0.3">
      <c r="A3908" t="s">
        <v>4664</v>
      </c>
      <c r="B3908" t="str">
        <f>"300152"</f>
        <v>300152</v>
      </c>
      <c r="C3908" t="s">
        <v>8160</v>
      </c>
      <c r="D3908" t="s">
        <v>3548</v>
      </c>
      <c r="F3908">
        <v>102369458</v>
      </c>
      <c r="G3908">
        <v>376475663</v>
      </c>
      <c r="H3908">
        <v>329058666</v>
      </c>
      <c r="I3908">
        <v>387910687</v>
      </c>
      <c r="J3908">
        <v>462264586</v>
      </c>
      <c r="K3908">
        <v>785875011</v>
      </c>
      <c r="L3908">
        <v>505788255</v>
      </c>
      <c r="M3908">
        <v>367542309</v>
      </c>
      <c r="N3908">
        <v>206101809</v>
      </c>
      <c r="O3908">
        <v>162674548</v>
      </c>
      <c r="P3908">
        <v>92</v>
      </c>
      <c r="Q3908" t="s">
        <v>8161</v>
      </c>
    </row>
    <row r="3909" spans="1:17" x14ac:dyDescent="0.3">
      <c r="A3909" t="s">
        <v>4664</v>
      </c>
      <c r="B3909" t="str">
        <f>"300153"</f>
        <v>300153</v>
      </c>
      <c r="C3909" t="s">
        <v>8162</v>
      </c>
      <c r="D3909" t="s">
        <v>880</v>
      </c>
      <c r="F3909">
        <v>770602872</v>
      </c>
      <c r="G3909">
        <v>653812569</v>
      </c>
      <c r="H3909">
        <v>823808499</v>
      </c>
      <c r="I3909">
        <v>776857719</v>
      </c>
      <c r="J3909">
        <v>766838068</v>
      </c>
      <c r="K3909">
        <v>569570220</v>
      </c>
      <c r="L3909">
        <v>449194651</v>
      </c>
      <c r="M3909">
        <v>418667171</v>
      </c>
      <c r="N3909">
        <v>324299691</v>
      </c>
      <c r="O3909">
        <v>354523299</v>
      </c>
      <c r="P3909">
        <v>108</v>
      </c>
      <c r="Q3909" t="s">
        <v>8163</v>
      </c>
    </row>
    <row r="3910" spans="1:17" x14ac:dyDescent="0.3">
      <c r="A3910" t="s">
        <v>4664</v>
      </c>
      <c r="B3910" t="str">
        <f>"300154"</f>
        <v>300154</v>
      </c>
      <c r="C3910" t="s">
        <v>8164</v>
      </c>
      <c r="D3910" t="s">
        <v>560</v>
      </c>
      <c r="F3910">
        <v>706513142</v>
      </c>
      <c r="G3910">
        <v>342282489</v>
      </c>
      <c r="H3910">
        <v>382505801</v>
      </c>
      <c r="I3910">
        <v>411442660</v>
      </c>
      <c r="J3910">
        <v>462351280</v>
      </c>
      <c r="K3910">
        <v>362280876</v>
      </c>
      <c r="L3910">
        <v>310804050</v>
      </c>
      <c r="M3910">
        <v>391149496</v>
      </c>
      <c r="N3910">
        <v>434977347</v>
      </c>
      <c r="O3910">
        <v>412751130</v>
      </c>
      <c r="P3910">
        <v>82</v>
      </c>
      <c r="Q3910" t="s">
        <v>8165</v>
      </c>
    </row>
    <row r="3911" spans="1:17" x14ac:dyDescent="0.3">
      <c r="A3911" t="s">
        <v>4664</v>
      </c>
      <c r="B3911" t="str">
        <f>"300155"</f>
        <v>300155</v>
      </c>
      <c r="C3911" t="s">
        <v>8166</v>
      </c>
      <c r="D3911" t="s">
        <v>2953</v>
      </c>
      <c r="F3911">
        <v>639757065</v>
      </c>
      <c r="G3911">
        <v>588289883</v>
      </c>
      <c r="H3911">
        <v>721690188</v>
      </c>
      <c r="I3911">
        <v>592290299</v>
      </c>
      <c r="J3911">
        <v>598363526</v>
      </c>
      <c r="K3911">
        <v>582892194</v>
      </c>
      <c r="L3911">
        <v>487869942</v>
      </c>
      <c r="M3911">
        <v>397795189</v>
      </c>
      <c r="N3911">
        <v>324646407</v>
      </c>
      <c r="O3911">
        <v>240322989</v>
      </c>
      <c r="P3911">
        <v>68</v>
      </c>
      <c r="Q3911" t="s">
        <v>8167</v>
      </c>
    </row>
    <row r="3912" spans="1:17" x14ac:dyDescent="0.3">
      <c r="A3912" t="s">
        <v>4664</v>
      </c>
      <c r="B3912" t="str">
        <f>"300156"</f>
        <v>300156</v>
      </c>
      <c r="C3912" t="s">
        <v>8168</v>
      </c>
      <c r="H3912">
        <v>12290287</v>
      </c>
      <c r="I3912">
        <v>229407843</v>
      </c>
      <c r="J3912">
        <v>1072066309</v>
      </c>
      <c r="K3912">
        <v>671180678</v>
      </c>
      <c r="L3912">
        <v>541668848</v>
      </c>
      <c r="M3912">
        <v>128150226</v>
      </c>
      <c r="N3912">
        <v>239037341</v>
      </c>
      <c r="O3912">
        <v>493513410</v>
      </c>
      <c r="P3912">
        <v>300</v>
      </c>
      <c r="Q3912" t="s">
        <v>8169</v>
      </c>
    </row>
    <row r="3913" spans="1:17" x14ac:dyDescent="0.3">
      <c r="A3913" t="s">
        <v>4664</v>
      </c>
      <c r="B3913" t="str">
        <f>"300157"</f>
        <v>300157</v>
      </c>
      <c r="C3913" t="s">
        <v>8170</v>
      </c>
      <c r="D3913" t="s">
        <v>762</v>
      </c>
      <c r="F3913">
        <v>296045819</v>
      </c>
      <c r="G3913">
        <v>493796829</v>
      </c>
      <c r="H3913">
        <v>596054344</v>
      </c>
      <c r="I3913">
        <v>1132405364</v>
      </c>
      <c r="J3913">
        <v>1988546871</v>
      </c>
      <c r="K3913">
        <v>606658994</v>
      </c>
      <c r="L3913">
        <v>317768954</v>
      </c>
      <c r="M3913">
        <v>387750340</v>
      </c>
      <c r="N3913">
        <v>311108996</v>
      </c>
      <c r="O3913">
        <v>146315406</v>
      </c>
      <c r="P3913">
        <v>76</v>
      </c>
      <c r="Q3913" t="s">
        <v>8171</v>
      </c>
    </row>
    <row r="3914" spans="1:17" x14ac:dyDescent="0.3">
      <c r="A3914" t="s">
        <v>4664</v>
      </c>
      <c r="B3914" t="str">
        <f>"300158"</f>
        <v>300158</v>
      </c>
      <c r="C3914" t="s">
        <v>8172</v>
      </c>
      <c r="D3914" t="s">
        <v>143</v>
      </c>
      <c r="F3914">
        <v>4248175852</v>
      </c>
      <c r="G3914">
        <v>3397715817</v>
      </c>
      <c r="H3914">
        <v>3235937462</v>
      </c>
      <c r="I3914">
        <v>2886990879</v>
      </c>
      <c r="J3914">
        <v>2017920804</v>
      </c>
      <c r="K3914">
        <v>1792670544</v>
      </c>
      <c r="L3914">
        <v>1451126579</v>
      </c>
      <c r="M3914">
        <v>1227092302</v>
      </c>
      <c r="N3914">
        <v>1445965112</v>
      </c>
      <c r="O3914">
        <v>805352002</v>
      </c>
      <c r="P3914">
        <v>176</v>
      </c>
      <c r="Q3914" t="s">
        <v>8173</v>
      </c>
    </row>
    <row r="3915" spans="1:17" x14ac:dyDescent="0.3">
      <c r="A3915" t="s">
        <v>4664</v>
      </c>
      <c r="B3915" t="str">
        <f>"300159"</f>
        <v>300159</v>
      </c>
      <c r="C3915" t="s">
        <v>8174</v>
      </c>
      <c r="D3915" t="s">
        <v>98</v>
      </c>
      <c r="F3915">
        <v>1095448243</v>
      </c>
      <c r="G3915">
        <v>650185612</v>
      </c>
      <c r="H3915">
        <v>807032956</v>
      </c>
      <c r="I3915">
        <v>798934751</v>
      </c>
      <c r="J3915">
        <v>887824117</v>
      </c>
      <c r="K3915">
        <v>603891878</v>
      </c>
      <c r="L3915">
        <v>451160170</v>
      </c>
      <c r="M3915">
        <v>314257995</v>
      </c>
      <c r="N3915">
        <v>464972722</v>
      </c>
      <c r="O3915">
        <v>262184812</v>
      </c>
      <c r="P3915">
        <v>126</v>
      </c>
      <c r="Q3915" t="s">
        <v>8175</v>
      </c>
    </row>
    <row r="3916" spans="1:17" x14ac:dyDescent="0.3">
      <c r="A3916" t="s">
        <v>4664</v>
      </c>
      <c r="B3916" t="str">
        <f>"300160"</f>
        <v>300160</v>
      </c>
      <c r="C3916" t="s">
        <v>8176</v>
      </c>
      <c r="D3916" t="s">
        <v>1253</v>
      </c>
      <c r="F3916">
        <v>776816484</v>
      </c>
      <c r="G3916">
        <v>604739400</v>
      </c>
      <c r="H3916">
        <v>807519392</v>
      </c>
      <c r="I3916">
        <v>735014693</v>
      </c>
      <c r="J3916">
        <v>632545961</v>
      </c>
      <c r="K3916">
        <v>665826627</v>
      </c>
      <c r="L3916">
        <v>466727987</v>
      </c>
      <c r="M3916">
        <v>471209078</v>
      </c>
      <c r="N3916">
        <v>348576517</v>
      </c>
      <c r="O3916">
        <v>376967360</v>
      </c>
      <c r="P3916">
        <v>150</v>
      </c>
      <c r="Q3916" t="s">
        <v>8177</v>
      </c>
    </row>
    <row r="3917" spans="1:17" x14ac:dyDescent="0.3">
      <c r="A3917" t="s">
        <v>4664</v>
      </c>
      <c r="B3917" t="str">
        <f>"300161"</f>
        <v>300161</v>
      </c>
      <c r="C3917" t="s">
        <v>8178</v>
      </c>
      <c r="D3917" t="s">
        <v>2312</v>
      </c>
      <c r="F3917">
        <v>976377737</v>
      </c>
      <c r="G3917">
        <v>711101032</v>
      </c>
      <c r="H3917">
        <v>431886789</v>
      </c>
      <c r="I3917">
        <v>551088034</v>
      </c>
      <c r="J3917">
        <v>425472351</v>
      </c>
      <c r="K3917">
        <v>240461456</v>
      </c>
      <c r="L3917">
        <v>269017932</v>
      </c>
      <c r="M3917">
        <v>248916466</v>
      </c>
      <c r="N3917">
        <v>202593117</v>
      </c>
      <c r="O3917">
        <v>174711264</v>
      </c>
      <c r="P3917">
        <v>159</v>
      </c>
      <c r="Q3917" t="s">
        <v>8179</v>
      </c>
    </row>
    <row r="3918" spans="1:17" x14ac:dyDescent="0.3">
      <c r="A3918" t="s">
        <v>4664</v>
      </c>
      <c r="B3918" t="str">
        <f>"300162"</f>
        <v>300162</v>
      </c>
      <c r="C3918" t="s">
        <v>8180</v>
      </c>
      <c r="D3918" t="s">
        <v>803</v>
      </c>
      <c r="F3918">
        <v>765179712</v>
      </c>
      <c r="G3918">
        <v>635643541</v>
      </c>
      <c r="H3918">
        <v>665511261</v>
      </c>
      <c r="I3918">
        <v>509728821</v>
      </c>
      <c r="J3918">
        <v>428848746</v>
      </c>
      <c r="K3918">
        <v>373674517</v>
      </c>
      <c r="L3918">
        <v>246186231</v>
      </c>
      <c r="M3918">
        <v>292104165</v>
      </c>
      <c r="N3918">
        <v>201665704</v>
      </c>
      <c r="O3918">
        <v>214329294</v>
      </c>
      <c r="P3918">
        <v>76</v>
      </c>
      <c r="Q3918" t="s">
        <v>8181</v>
      </c>
    </row>
    <row r="3919" spans="1:17" x14ac:dyDescent="0.3">
      <c r="A3919" t="s">
        <v>4664</v>
      </c>
      <c r="B3919" t="str">
        <f>"300163"</f>
        <v>300163</v>
      </c>
      <c r="C3919" t="s">
        <v>8182</v>
      </c>
      <c r="D3919" t="s">
        <v>386</v>
      </c>
      <c r="F3919">
        <v>381905680</v>
      </c>
      <c r="G3919">
        <v>328309108</v>
      </c>
      <c r="H3919">
        <v>393033822</v>
      </c>
      <c r="I3919">
        <v>456468781</v>
      </c>
      <c r="J3919">
        <v>646906744</v>
      </c>
      <c r="K3919">
        <v>569088180</v>
      </c>
      <c r="L3919">
        <v>523265381</v>
      </c>
      <c r="M3919">
        <v>177313982</v>
      </c>
      <c r="N3919">
        <v>150346662</v>
      </c>
      <c r="O3919">
        <v>134963843</v>
      </c>
      <c r="P3919">
        <v>75</v>
      </c>
      <c r="Q3919" t="s">
        <v>8183</v>
      </c>
    </row>
    <row r="3920" spans="1:17" x14ac:dyDescent="0.3">
      <c r="A3920" t="s">
        <v>4664</v>
      </c>
      <c r="B3920" t="str">
        <f>"300164"</f>
        <v>300164</v>
      </c>
      <c r="C3920" t="s">
        <v>8184</v>
      </c>
      <c r="D3920" t="s">
        <v>762</v>
      </c>
      <c r="F3920">
        <v>485829320</v>
      </c>
      <c r="G3920">
        <v>526480561</v>
      </c>
      <c r="H3920">
        <v>1002081943</v>
      </c>
      <c r="I3920">
        <v>1007054658</v>
      </c>
      <c r="J3920">
        <v>362637619</v>
      </c>
      <c r="K3920">
        <v>300664724</v>
      </c>
      <c r="L3920">
        <v>583515417</v>
      </c>
      <c r="M3920">
        <v>210461164</v>
      </c>
      <c r="N3920">
        <v>198816643</v>
      </c>
      <c r="O3920">
        <v>156306925</v>
      </c>
      <c r="P3920">
        <v>82</v>
      </c>
      <c r="Q3920" t="s">
        <v>8185</v>
      </c>
    </row>
    <row r="3921" spans="1:17" x14ac:dyDescent="0.3">
      <c r="A3921" t="s">
        <v>4664</v>
      </c>
      <c r="B3921" t="str">
        <f>"300165"</f>
        <v>300165</v>
      </c>
      <c r="C3921" t="s">
        <v>8186</v>
      </c>
      <c r="D3921" t="s">
        <v>2551</v>
      </c>
      <c r="F3921">
        <v>651007303</v>
      </c>
      <c r="G3921">
        <v>646495746</v>
      </c>
      <c r="H3921">
        <v>707530720</v>
      </c>
      <c r="I3921">
        <v>682456842</v>
      </c>
      <c r="J3921">
        <v>453226110</v>
      </c>
      <c r="K3921">
        <v>299710695</v>
      </c>
      <c r="L3921">
        <v>225552189</v>
      </c>
      <c r="M3921">
        <v>222037511</v>
      </c>
      <c r="N3921">
        <v>237593018</v>
      </c>
      <c r="O3921">
        <v>222045118</v>
      </c>
      <c r="P3921">
        <v>103</v>
      </c>
      <c r="Q3921" t="s">
        <v>8187</v>
      </c>
    </row>
    <row r="3922" spans="1:17" x14ac:dyDescent="0.3">
      <c r="A3922" t="s">
        <v>4664</v>
      </c>
      <c r="B3922" t="str">
        <f>"300166"</f>
        <v>300166</v>
      </c>
      <c r="C3922" t="s">
        <v>8188</v>
      </c>
      <c r="D3922" t="s">
        <v>316</v>
      </c>
      <c r="F3922">
        <v>1455747399</v>
      </c>
      <c r="G3922">
        <v>1282509625</v>
      </c>
      <c r="H3922">
        <v>1128816798</v>
      </c>
      <c r="I3922">
        <v>889014475</v>
      </c>
      <c r="J3922">
        <v>715341483</v>
      </c>
      <c r="K3922">
        <v>783981308</v>
      </c>
      <c r="L3922">
        <v>459960508</v>
      </c>
      <c r="M3922">
        <v>345153695</v>
      </c>
      <c r="N3922">
        <v>246081528</v>
      </c>
      <c r="O3922">
        <v>169053096</v>
      </c>
      <c r="P3922">
        <v>461</v>
      </c>
      <c r="Q3922" t="s">
        <v>8189</v>
      </c>
    </row>
    <row r="3923" spans="1:17" x14ac:dyDescent="0.3">
      <c r="A3923" t="s">
        <v>4664</v>
      </c>
      <c r="B3923" t="str">
        <f>"300167"</f>
        <v>300167</v>
      </c>
      <c r="C3923" t="s">
        <v>8190</v>
      </c>
      <c r="D3923" t="s">
        <v>316</v>
      </c>
      <c r="F3923">
        <v>195645791</v>
      </c>
      <c r="G3923">
        <v>327724364</v>
      </c>
      <c r="H3923">
        <v>379416050</v>
      </c>
      <c r="I3923">
        <v>249805243</v>
      </c>
      <c r="J3923">
        <v>297931540</v>
      </c>
      <c r="K3923">
        <v>365980277</v>
      </c>
      <c r="L3923">
        <v>311656795</v>
      </c>
      <c r="M3923">
        <v>97450184</v>
      </c>
      <c r="N3923">
        <v>172669771</v>
      </c>
      <c r="O3923">
        <v>125985965</v>
      </c>
      <c r="P3923">
        <v>131</v>
      </c>
      <c r="Q3923" t="s">
        <v>8191</v>
      </c>
    </row>
    <row r="3924" spans="1:17" x14ac:dyDescent="0.3">
      <c r="A3924" t="s">
        <v>4664</v>
      </c>
      <c r="B3924" t="str">
        <f>"300168"</f>
        <v>300168</v>
      </c>
      <c r="C3924" t="s">
        <v>8192</v>
      </c>
      <c r="D3924" t="s">
        <v>316</v>
      </c>
      <c r="F3924">
        <v>1683712808</v>
      </c>
      <c r="G3924">
        <v>1497639437</v>
      </c>
      <c r="H3924">
        <v>1132982179</v>
      </c>
      <c r="I3924">
        <v>922228614</v>
      </c>
      <c r="J3924">
        <v>901492916</v>
      </c>
      <c r="K3924">
        <v>879760173</v>
      </c>
      <c r="L3924">
        <v>791193049</v>
      </c>
      <c r="M3924">
        <v>510799897</v>
      </c>
      <c r="N3924">
        <v>427756200</v>
      </c>
      <c r="O3924">
        <v>340631735</v>
      </c>
      <c r="P3924">
        <v>368</v>
      </c>
      <c r="Q3924" t="s">
        <v>8193</v>
      </c>
    </row>
    <row r="3925" spans="1:17" x14ac:dyDescent="0.3">
      <c r="A3925" t="s">
        <v>4664</v>
      </c>
      <c r="B3925" t="str">
        <f>"300169"</f>
        <v>300169</v>
      </c>
      <c r="C3925" t="s">
        <v>8194</v>
      </c>
      <c r="D3925" t="s">
        <v>386</v>
      </c>
      <c r="F3925">
        <v>516759617</v>
      </c>
      <c r="G3925">
        <v>655366991</v>
      </c>
      <c r="H3925">
        <v>618776844</v>
      </c>
      <c r="I3925">
        <v>626809585</v>
      </c>
      <c r="J3925">
        <v>571630633</v>
      </c>
      <c r="K3925">
        <v>417128012</v>
      </c>
      <c r="L3925">
        <v>586622462</v>
      </c>
      <c r="M3925">
        <v>573470814</v>
      </c>
      <c r="N3925">
        <v>351289924</v>
      </c>
      <c r="O3925">
        <v>283777924</v>
      </c>
      <c r="P3925">
        <v>68</v>
      </c>
      <c r="Q3925" t="s">
        <v>8195</v>
      </c>
    </row>
    <row r="3926" spans="1:17" x14ac:dyDescent="0.3">
      <c r="A3926" t="s">
        <v>4664</v>
      </c>
      <c r="B3926" t="str">
        <f>"300170"</f>
        <v>300170</v>
      </c>
      <c r="C3926" t="s">
        <v>8196</v>
      </c>
      <c r="D3926" t="s">
        <v>316</v>
      </c>
      <c r="F3926">
        <v>1900938825</v>
      </c>
      <c r="G3926">
        <v>1822890062</v>
      </c>
      <c r="H3926">
        <v>1772927416</v>
      </c>
      <c r="I3926">
        <v>1605779547</v>
      </c>
      <c r="J3926">
        <v>1282459851</v>
      </c>
      <c r="K3926">
        <v>960440115</v>
      </c>
      <c r="L3926">
        <v>714239700</v>
      </c>
      <c r="M3926">
        <v>550344429</v>
      </c>
      <c r="N3926">
        <v>471154919</v>
      </c>
      <c r="O3926">
        <v>432396965</v>
      </c>
      <c r="P3926">
        <v>3198</v>
      </c>
      <c r="Q3926" t="s">
        <v>8197</v>
      </c>
    </row>
    <row r="3927" spans="1:17" x14ac:dyDescent="0.3">
      <c r="A3927" t="s">
        <v>4664</v>
      </c>
      <c r="B3927" t="str">
        <f>"300171"</f>
        <v>300171</v>
      </c>
      <c r="C3927" t="s">
        <v>8198</v>
      </c>
      <c r="D3927" t="s">
        <v>122</v>
      </c>
      <c r="F3927">
        <v>3882468350</v>
      </c>
      <c r="G3927">
        <v>1920501962</v>
      </c>
      <c r="H3927">
        <v>1825630813</v>
      </c>
      <c r="I3927">
        <v>1512825814</v>
      </c>
      <c r="J3927">
        <v>1104337672</v>
      </c>
      <c r="K3927">
        <v>851671141</v>
      </c>
      <c r="L3927">
        <v>831632215</v>
      </c>
      <c r="M3927">
        <v>736958822</v>
      </c>
      <c r="N3927">
        <v>1297133427</v>
      </c>
      <c r="O3927">
        <v>803463838</v>
      </c>
      <c r="P3927">
        <v>248</v>
      </c>
      <c r="Q3927" t="s">
        <v>8199</v>
      </c>
    </row>
    <row r="3928" spans="1:17" x14ac:dyDescent="0.3">
      <c r="A3928" t="s">
        <v>4664</v>
      </c>
      <c r="B3928" t="str">
        <f>"300172"</f>
        <v>300172</v>
      </c>
      <c r="C3928" t="s">
        <v>8200</v>
      </c>
      <c r="D3928" t="s">
        <v>33</v>
      </c>
      <c r="F3928">
        <v>438239517</v>
      </c>
      <c r="G3928">
        <v>382442226</v>
      </c>
      <c r="H3928">
        <v>453844986</v>
      </c>
      <c r="I3928">
        <v>428026224</v>
      </c>
      <c r="J3928">
        <v>233031879</v>
      </c>
      <c r="K3928">
        <v>347200646</v>
      </c>
      <c r="L3928">
        <v>277737968</v>
      </c>
      <c r="M3928">
        <v>343953488</v>
      </c>
      <c r="N3928">
        <v>255475057</v>
      </c>
      <c r="O3928">
        <v>129427955</v>
      </c>
      <c r="P3928">
        <v>110</v>
      </c>
      <c r="Q3928" t="s">
        <v>8201</v>
      </c>
    </row>
    <row r="3929" spans="1:17" x14ac:dyDescent="0.3">
      <c r="A3929" t="s">
        <v>4664</v>
      </c>
      <c r="B3929" t="str">
        <f>"300173"</f>
        <v>300173</v>
      </c>
      <c r="C3929" t="s">
        <v>8202</v>
      </c>
      <c r="D3929" t="s">
        <v>2423</v>
      </c>
      <c r="F3929">
        <v>892160927</v>
      </c>
      <c r="G3929">
        <v>460060469</v>
      </c>
      <c r="H3929">
        <v>223355643</v>
      </c>
      <c r="I3929">
        <v>452574839</v>
      </c>
      <c r="J3929">
        <v>541769126</v>
      </c>
      <c r="K3929">
        <v>271308812</v>
      </c>
      <c r="L3929">
        <v>349874812</v>
      </c>
      <c r="M3929">
        <v>166736299</v>
      </c>
      <c r="N3929">
        <v>181783134</v>
      </c>
      <c r="O3929">
        <v>193269773</v>
      </c>
      <c r="P3929">
        <v>61</v>
      </c>
      <c r="Q3929" t="s">
        <v>8203</v>
      </c>
    </row>
    <row r="3930" spans="1:17" x14ac:dyDescent="0.3">
      <c r="A3930" t="s">
        <v>4664</v>
      </c>
      <c r="B3930" t="str">
        <f>"300174"</f>
        <v>300174</v>
      </c>
      <c r="C3930" t="s">
        <v>8204</v>
      </c>
      <c r="D3930" t="s">
        <v>386</v>
      </c>
      <c r="F3930">
        <v>1040061507</v>
      </c>
      <c r="G3930">
        <v>697098673</v>
      </c>
      <c r="H3930">
        <v>919673002</v>
      </c>
      <c r="I3930">
        <v>1300898059</v>
      </c>
      <c r="J3930">
        <v>520321624</v>
      </c>
      <c r="K3930">
        <v>407940773</v>
      </c>
      <c r="L3930">
        <v>393434645</v>
      </c>
      <c r="M3930">
        <v>241318291</v>
      </c>
      <c r="N3930">
        <v>235025469</v>
      </c>
      <c r="O3930">
        <v>243637314</v>
      </c>
      <c r="P3930">
        <v>90</v>
      </c>
      <c r="Q3930" t="s">
        <v>8205</v>
      </c>
    </row>
    <row r="3931" spans="1:17" x14ac:dyDescent="0.3">
      <c r="A3931" t="s">
        <v>4664</v>
      </c>
      <c r="B3931" t="str">
        <f>"300175"</f>
        <v>300175</v>
      </c>
      <c r="C3931" t="s">
        <v>8206</v>
      </c>
      <c r="D3931" t="s">
        <v>574</v>
      </c>
      <c r="F3931">
        <v>168478917</v>
      </c>
      <c r="G3931">
        <v>348560787</v>
      </c>
      <c r="H3931">
        <v>326828127</v>
      </c>
      <c r="I3931">
        <v>242984559</v>
      </c>
      <c r="J3931">
        <v>294695046</v>
      </c>
      <c r="K3931">
        <v>541882643</v>
      </c>
      <c r="L3931">
        <v>548775181</v>
      </c>
      <c r="M3931">
        <v>662531917</v>
      </c>
      <c r="N3931">
        <v>495823564</v>
      </c>
      <c r="O3931">
        <v>345287175</v>
      </c>
      <c r="P3931">
        <v>84</v>
      </c>
      <c r="Q3931" t="s">
        <v>8207</v>
      </c>
    </row>
    <row r="3932" spans="1:17" x14ac:dyDescent="0.3">
      <c r="A3932" t="s">
        <v>4664</v>
      </c>
      <c r="B3932" t="str">
        <f>"300176"</f>
        <v>300176</v>
      </c>
      <c r="C3932" t="s">
        <v>8208</v>
      </c>
      <c r="D3932" t="s">
        <v>348</v>
      </c>
      <c r="F3932">
        <v>926518910</v>
      </c>
      <c r="G3932">
        <v>923571437</v>
      </c>
      <c r="H3932">
        <v>1069397088</v>
      </c>
      <c r="I3932">
        <v>2839210265</v>
      </c>
      <c r="J3932">
        <v>2123654804</v>
      </c>
      <c r="K3932">
        <v>1137780791</v>
      </c>
      <c r="L3932">
        <v>1059345901</v>
      </c>
      <c r="M3932">
        <v>907416717</v>
      </c>
      <c r="N3932">
        <v>658880278</v>
      </c>
      <c r="O3932">
        <v>522083568</v>
      </c>
      <c r="P3932">
        <v>151</v>
      </c>
      <c r="Q3932" t="s">
        <v>8209</v>
      </c>
    </row>
    <row r="3933" spans="1:17" x14ac:dyDescent="0.3">
      <c r="A3933" t="s">
        <v>4664</v>
      </c>
      <c r="B3933" t="str">
        <f>"300177"</f>
        <v>300177</v>
      </c>
      <c r="C3933" t="s">
        <v>8210</v>
      </c>
      <c r="D3933" t="s">
        <v>1136</v>
      </c>
      <c r="F3933">
        <v>849296752</v>
      </c>
      <c r="G3933">
        <v>940940048</v>
      </c>
      <c r="H3933">
        <v>893657122</v>
      </c>
      <c r="I3933">
        <v>804298525</v>
      </c>
      <c r="J3933">
        <v>723487213</v>
      </c>
      <c r="K3933">
        <v>550748989</v>
      </c>
      <c r="L3933">
        <v>411290975</v>
      </c>
      <c r="M3933">
        <v>411775140</v>
      </c>
      <c r="N3933">
        <v>330227084</v>
      </c>
      <c r="O3933">
        <v>256544214</v>
      </c>
      <c r="P3933">
        <v>232</v>
      </c>
      <c r="Q3933" t="s">
        <v>8211</v>
      </c>
    </row>
    <row r="3934" spans="1:17" x14ac:dyDescent="0.3">
      <c r="A3934" t="s">
        <v>4664</v>
      </c>
      <c r="B3934" t="str">
        <f>"300178"</f>
        <v>300178</v>
      </c>
      <c r="C3934" t="s">
        <v>8212</v>
      </c>
      <c r="D3934" t="s">
        <v>1120</v>
      </c>
      <c r="F3934">
        <v>1492566841</v>
      </c>
      <c r="G3934">
        <v>190842309</v>
      </c>
      <c r="H3934">
        <v>3116531104</v>
      </c>
      <c r="I3934">
        <v>3669495018</v>
      </c>
      <c r="J3934">
        <v>2442750827</v>
      </c>
      <c r="K3934">
        <v>450946740</v>
      </c>
      <c r="L3934">
        <v>431862167</v>
      </c>
      <c r="M3934">
        <v>180421964</v>
      </c>
      <c r="N3934">
        <v>164948557</v>
      </c>
      <c r="O3934">
        <v>164012932</v>
      </c>
      <c r="P3934">
        <v>152</v>
      </c>
      <c r="Q3934" t="s">
        <v>8213</v>
      </c>
    </row>
    <row r="3935" spans="1:17" x14ac:dyDescent="0.3">
      <c r="A3935" t="s">
        <v>4664</v>
      </c>
      <c r="B3935" t="str">
        <f>"300179"</f>
        <v>300179</v>
      </c>
      <c r="C3935" t="s">
        <v>8214</v>
      </c>
      <c r="D3935" t="s">
        <v>404</v>
      </c>
      <c r="F3935">
        <v>293921449</v>
      </c>
      <c r="G3935">
        <v>291491028</v>
      </c>
      <c r="H3935">
        <v>321467725</v>
      </c>
      <c r="I3935">
        <v>269005025</v>
      </c>
      <c r="J3935">
        <v>219409326</v>
      </c>
      <c r="K3935">
        <v>98489509</v>
      </c>
      <c r="L3935">
        <v>107326355</v>
      </c>
      <c r="M3935">
        <v>113743294</v>
      </c>
      <c r="N3935">
        <v>102405670</v>
      </c>
      <c r="O3935">
        <v>91443779</v>
      </c>
      <c r="P3935">
        <v>166</v>
      </c>
      <c r="Q3935" t="s">
        <v>8215</v>
      </c>
    </row>
    <row r="3936" spans="1:17" x14ac:dyDescent="0.3">
      <c r="A3936" t="s">
        <v>4664</v>
      </c>
      <c r="B3936" t="str">
        <f>"300180"</f>
        <v>300180</v>
      </c>
      <c r="C3936" t="s">
        <v>8216</v>
      </c>
      <c r="D3936" t="s">
        <v>1192</v>
      </c>
      <c r="F3936">
        <v>2215281705</v>
      </c>
      <c r="G3936">
        <v>1979661947</v>
      </c>
      <c r="H3936">
        <v>1768213452</v>
      </c>
      <c r="I3936">
        <v>1301524607</v>
      </c>
      <c r="J3936">
        <v>1163514656</v>
      </c>
      <c r="K3936">
        <v>614527141</v>
      </c>
      <c r="L3936">
        <v>655062300</v>
      </c>
      <c r="M3936">
        <v>614245199</v>
      </c>
      <c r="N3936">
        <v>424377597</v>
      </c>
      <c r="O3936">
        <v>357985898</v>
      </c>
      <c r="P3936">
        <v>141</v>
      </c>
      <c r="Q3936" t="s">
        <v>8217</v>
      </c>
    </row>
    <row r="3937" spans="1:17" x14ac:dyDescent="0.3">
      <c r="A3937" t="s">
        <v>4664</v>
      </c>
      <c r="B3937" t="str">
        <f>"300181"</f>
        <v>300181</v>
      </c>
      <c r="C3937" t="s">
        <v>8218</v>
      </c>
      <c r="D3937" t="s">
        <v>188</v>
      </c>
      <c r="F3937">
        <v>1111249189</v>
      </c>
      <c r="G3937">
        <v>796205176</v>
      </c>
      <c r="H3937">
        <v>612272907</v>
      </c>
      <c r="I3937">
        <v>547427893</v>
      </c>
      <c r="J3937">
        <v>532204552</v>
      </c>
      <c r="K3937">
        <v>476518431</v>
      </c>
      <c r="L3937">
        <v>407844199</v>
      </c>
      <c r="M3937">
        <v>239610174</v>
      </c>
      <c r="N3937">
        <v>234905305</v>
      </c>
      <c r="O3937">
        <v>221233247</v>
      </c>
      <c r="P3937">
        <v>174</v>
      </c>
      <c r="Q3937" t="s">
        <v>8219</v>
      </c>
    </row>
    <row r="3938" spans="1:17" x14ac:dyDescent="0.3">
      <c r="A3938" t="s">
        <v>4664</v>
      </c>
      <c r="B3938" t="str">
        <f>"300182"</f>
        <v>300182</v>
      </c>
      <c r="C3938" t="s">
        <v>8220</v>
      </c>
      <c r="D3938" t="s">
        <v>113</v>
      </c>
      <c r="F3938">
        <v>1955079938</v>
      </c>
      <c r="G3938">
        <v>1510397348</v>
      </c>
      <c r="H3938">
        <v>2385089942</v>
      </c>
      <c r="I3938">
        <v>2680037300</v>
      </c>
      <c r="J3938">
        <v>2130280146</v>
      </c>
      <c r="K3938">
        <v>1647265589</v>
      </c>
      <c r="L3938">
        <v>1250701972</v>
      </c>
      <c r="M3938">
        <v>578664271</v>
      </c>
      <c r="N3938">
        <v>300575399</v>
      </c>
      <c r="O3938">
        <v>440263443</v>
      </c>
      <c r="P3938">
        <v>514</v>
      </c>
      <c r="Q3938" t="s">
        <v>8221</v>
      </c>
    </row>
    <row r="3939" spans="1:17" x14ac:dyDescent="0.3">
      <c r="A3939" t="s">
        <v>4664</v>
      </c>
      <c r="B3939" t="str">
        <f>"300183"</f>
        <v>300183</v>
      </c>
      <c r="C3939" t="s">
        <v>8222</v>
      </c>
      <c r="D3939" t="s">
        <v>595</v>
      </c>
      <c r="F3939">
        <v>705859231</v>
      </c>
      <c r="G3939">
        <v>692494104</v>
      </c>
      <c r="H3939">
        <v>771145953</v>
      </c>
      <c r="I3939">
        <v>756543302</v>
      </c>
      <c r="J3939">
        <v>752556852</v>
      </c>
      <c r="K3939">
        <v>673774278</v>
      </c>
      <c r="L3939">
        <v>550851209</v>
      </c>
      <c r="M3939">
        <v>463763967</v>
      </c>
      <c r="N3939">
        <v>357666852</v>
      </c>
      <c r="O3939">
        <v>295752588</v>
      </c>
      <c r="P3939">
        <v>276</v>
      </c>
      <c r="Q3939" t="s">
        <v>8223</v>
      </c>
    </row>
    <row r="3940" spans="1:17" x14ac:dyDescent="0.3">
      <c r="A3940" t="s">
        <v>4664</v>
      </c>
      <c r="B3940" t="str">
        <f>"300184"</f>
        <v>300184</v>
      </c>
      <c r="C3940" t="s">
        <v>8224</v>
      </c>
      <c r="D3940" t="s">
        <v>651</v>
      </c>
      <c r="F3940">
        <v>8164627400</v>
      </c>
      <c r="G3940">
        <v>8574396067</v>
      </c>
      <c r="H3940">
        <v>10140213633</v>
      </c>
      <c r="I3940">
        <v>8146457917</v>
      </c>
      <c r="J3940">
        <v>5772483693</v>
      </c>
      <c r="K3940">
        <v>1008778518</v>
      </c>
      <c r="L3940">
        <v>659369512</v>
      </c>
      <c r="M3940">
        <v>384573643</v>
      </c>
      <c r="N3940">
        <v>260098543</v>
      </c>
      <c r="O3940">
        <v>227307209</v>
      </c>
      <c r="P3940">
        <v>252</v>
      </c>
      <c r="Q3940" t="s">
        <v>8225</v>
      </c>
    </row>
    <row r="3941" spans="1:17" x14ac:dyDescent="0.3">
      <c r="A3941" t="s">
        <v>4664</v>
      </c>
      <c r="B3941" t="str">
        <f>"300185"</f>
        <v>300185</v>
      </c>
      <c r="C3941" t="s">
        <v>8226</v>
      </c>
      <c r="D3941" t="s">
        <v>950</v>
      </c>
      <c r="F3941">
        <v>3357967081</v>
      </c>
      <c r="G3941">
        <v>3575276472</v>
      </c>
      <c r="H3941">
        <v>1850102597</v>
      </c>
      <c r="I3941">
        <v>1563164978</v>
      </c>
      <c r="J3941">
        <v>1745570433</v>
      </c>
      <c r="K3941">
        <v>1346322439</v>
      </c>
      <c r="L3941">
        <v>1140526999</v>
      </c>
      <c r="M3941">
        <v>772582530</v>
      </c>
      <c r="N3941">
        <v>723499207</v>
      </c>
      <c r="O3941">
        <v>592994900</v>
      </c>
      <c r="P3941">
        <v>201</v>
      </c>
      <c r="Q3941" t="s">
        <v>8227</v>
      </c>
    </row>
    <row r="3942" spans="1:17" x14ac:dyDescent="0.3">
      <c r="A3942" t="s">
        <v>4664</v>
      </c>
      <c r="B3942" t="str">
        <f>"300186"</f>
        <v>300186</v>
      </c>
      <c r="C3942" t="s">
        <v>8228</v>
      </c>
      <c r="L3942">
        <v>819197337.44000006</v>
      </c>
      <c r="M3942">
        <v>707380446.74000001</v>
      </c>
      <c r="N3942">
        <v>595441901.46000004</v>
      </c>
      <c r="O3942">
        <v>502983168.56999999</v>
      </c>
      <c r="P3942">
        <v>5</v>
      </c>
      <c r="Q3942" t="s">
        <v>8229</v>
      </c>
    </row>
    <row r="3943" spans="1:17" x14ac:dyDescent="0.3">
      <c r="A3943" t="s">
        <v>4664</v>
      </c>
      <c r="B3943" t="str">
        <f>"300187"</f>
        <v>300187</v>
      </c>
      <c r="C3943" t="s">
        <v>8230</v>
      </c>
      <c r="D3943" t="s">
        <v>499</v>
      </c>
      <c r="F3943">
        <v>594952854</v>
      </c>
      <c r="G3943">
        <v>529997221</v>
      </c>
      <c r="H3943">
        <v>660283505</v>
      </c>
      <c r="I3943">
        <v>762995139</v>
      </c>
      <c r="J3943">
        <v>932054051</v>
      </c>
      <c r="K3943">
        <v>721612232</v>
      </c>
      <c r="L3943">
        <v>436011045</v>
      </c>
      <c r="M3943">
        <v>479989850</v>
      </c>
      <c r="N3943">
        <v>292939874</v>
      </c>
      <c r="O3943">
        <v>250817481</v>
      </c>
      <c r="P3943">
        <v>110</v>
      </c>
      <c r="Q3943" t="s">
        <v>8231</v>
      </c>
    </row>
    <row r="3944" spans="1:17" x14ac:dyDescent="0.3">
      <c r="A3944" t="s">
        <v>4664</v>
      </c>
      <c r="B3944" t="str">
        <f>"300188"</f>
        <v>300188</v>
      </c>
      <c r="C3944" t="s">
        <v>8232</v>
      </c>
      <c r="D3944" t="s">
        <v>945</v>
      </c>
      <c r="F3944">
        <v>1302798601</v>
      </c>
      <c r="G3944">
        <v>1383080071</v>
      </c>
      <c r="H3944">
        <v>958962273</v>
      </c>
      <c r="I3944">
        <v>579071177</v>
      </c>
      <c r="J3944">
        <v>679867921</v>
      </c>
      <c r="K3944">
        <v>601133520</v>
      </c>
      <c r="L3944">
        <v>323543884</v>
      </c>
      <c r="M3944">
        <v>356217574</v>
      </c>
      <c r="N3944">
        <v>202652262</v>
      </c>
      <c r="O3944">
        <v>188304123</v>
      </c>
      <c r="P3944">
        <v>557</v>
      </c>
      <c r="Q3944" t="s">
        <v>8233</v>
      </c>
    </row>
    <row r="3945" spans="1:17" x14ac:dyDescent="0.3">
      <c r="A3945" t="s">
        <v>4664</v>
      </c>
      <c r="B3945" t="str">
        <f>"300189"</f>
        <v>300189</v>
      </c>
      <c r="C3945" t="s">
        <v>8234</v>
      </c>
      <c r="D3945" t="s">
        <v>706</v>
      </c>
      <c r="F3945">
        <v>122327751</v>
      </c>
      <c r="G3945">
        <v>157427678</v>
      </c>
      <c r="H3945">
        <v>102724761</v>
      </c>
      <c r="I3945">
        <v>669777555</v>
      </c>
      <c r="J3945">
        <v>1056589844</v>
      </c>
      <c r="K3945">
        <v>486708146</v>
      </c>
      <c r="L3945">
        <v>228444885</v>
      </c>
      <c r="M3945">
        <v>248613304</v>
      </c>
      <c r="N3945">
        <v>326004132</v>
      </c>
      <c r="O3945">
        <v>292021599</v>
      </c>
      <c r="P3945">
        <v>111</v>
      </c>
      <c r="Q3945" t="s">
        <v>8235</v>
      </c>
    </row>
    <row r="3946" spans="1:17" x14ac:dyDescent="0.3">
      <c r="A3946" t="s">
        <v>4664</v>
      </c>
      <c r="B3946" t="str">
        <f>"300190"</f>
        <v>300190</v>
      </c>
      <c r="C3946" t="s">
        <v>8236</v>
      </c>
      <c r="D3946" t="s">
        <v>3548</v>
      </c>
      <c r="F3946">
        <v>1867932415</v>
      </c>
      <c r="G3946">
        <v>1478644170</v>
      </c>
      <c r="H3946">
        <v>1544700025</v>
      </c>
      <c r="I3946">
        <v>904496025</v>
      </c>
      <c r="J3946">
        <v>543810049</v>
      </c>
      <c r="K3946">
        <v>317667544</v>
      </c>
      <c r="L3946">
        <v>345732988</v>
      </c>
      <c r="M3946">
        <v>236530510</v>
      </c>
      <c r="N3946">
        <v>167377264</v>
      </c>
      <c r="O3946">
        <v>127891604</v>
      </c>
      <c r="P3946">
        <v>233</v>
      </c>
      <c r="Q3946" t="s">
        <v>8237</v>
      </c>
    </row>
    <row r="3947" spans="1:17" x14ac:dyDescent="0.3">
      <c r="A3947" t="s">
        <v>4664</v>
      </c>
      <c r="B3947" t="str">
        <f>"300191"</f>
        <v>300191</v>
      </c>
      <c r="C3947" t="s">
        <v>8238</v>
      </c>
      <c r="D3947" t="s">
        <v>762</v>
      </c>
      <c r="F3947">
        <v>338203993</v>
      </c>
      <c r="G3947">
        <v>433109240</v>
      </c>
      <c r="H3947">
        <v>55751214</v>
      </c>
      <c r="I3947">
        <v>68133405</v>
      </c>
      <c r="J3947">
        <v>76048985</v>
      </c>
      <c r="K3947">
        <v>13225834</v>
      </c>
      <c r="L3947">
        <v>18458564</v>
      </c>
      <c r="M3947">
        <v>66409916</v>
      </c>
      <c r="N3947">
        <v>85919292</v>
      </c>
      <c r="O3947">
        <v>35744500</v>
      </c>
      <c r="P3947">
        <v>75</v>
      </c>
      <c r="Q3947" t="s">
        <v>8239</v>
      </c>
    </row>
    <row r="3948" spans="1:17" x14ac:dyDescent="0.3">
      <c r="A3948" t="s">
        <v>4664</v>
      </c>
      <c r="B3948" t="str">
        <f>"300192"</f>
        <v>300192</v>
      </c>
      <c r="C3948" t="s">
        <v>8240</v>
      </c>
      <c r="D3948" t="s">
        <v>1336</v>
      </c>
      <c r="F3948">
        <v>588271072</v>
      </c>
      <c r="G3948">
        <v>571980733</v>
      </c>
      <c r="H3948">
        <v>772422792</v>
      </c>
      <c r="I3948">
        <v>792036622</v>
      </c>
      <c r="J3948">
        <v>320328709</v>
      </c>
      <c r="K3948">
        <v>331049437</v>
      </c>
      <c r="L3948">
        <v>380872316</v>
      </c>
      <c r="M3948">
        <v>418888955</v>
      </c>
      <c r="N3948">
        <v>339985014</v>
      </c>
      <c r="O3948">
        <v>225053464</v>
      </c>
      <c r="P3948">
        <v>182</v>
      </c>
      <c r="Q3948" t="s">
        <v>8241</v>
      </c>
    </row>
    <row r="3949" spans="1:17" x14ac:dyDescent="0.3">
      <c r="A3949" t="s">
        <v>4664</v>
      </c>
      <c r="B3949" t="str">
        <f>"300193"</f>
        <v>300193</v>
      </c>
      <c r="C3949" t="s">
        <v>8242</v>
      </c>
      <c r="D3949" t="s">
        <v>560</v>
      </c>
      <c r="F3949">
        <v>839896964</v>
      </c>
      <c r="G3949">
        <v>712905621</v>
      </c>
      <c r="H3949">
        <v>666628590</v>
      </c>
      <c r="I3949">
        <v>664299144</v>
      </c>
      <c r="J3949">
        <v>606127042</v>
      </c>
      <c r="K3949">
        <v>538334212</v>
      </c>
      <c r="L3949">
        <v>447276298</v>
      </c>
      <c r="M3949">
        <v>483093611</v>
      </c>
      <c r="N3949">
        <v>410321805</v>
      </c>
      <c r="O3949">
        <v>408381904</v>
      </c>
      <c r="P3949">
        <v>154</v>
      </c>
      <c r="Q3949" t="s">
        <v>8243</v>
      </c>
    </row>
    <row r="3950" spans="1:17" x14ac:dyDescent="0.3">
      <c r="A3950" t="s">
        <v>4664</v>
      </c>
      <c r="B3950" t="str">
        <f>"300194"</f>
        <v>300194</v>
      </c>
      <c r="C3950" t="s">
        <v>8244</v>
      </c>
      <c r="D3950" t="s">
        <v>143</v>
      </c>
      <c r="F3950">
        <v>1786582602</v>
      </c>
      <c r="G3950">
        <v>1879983131</v>
      </c>
      <c r="H3950">
        <v>2112153436</v>
      </c>
      <c r="I3950">
        <v>1933566518</v>
      </c>
      <c r="J3950">
        <v>1388979919</v>
      </c>
      <c r="K3950">
        <v>849463090</v>
      </c>
      <c r="L3950">
        <v>442763724</v>
      </c>
      <c r="M3950">
        <v>195831476</v>
      </c>
      <c r="N3950">
        <v>275680372</v>
      </c>
      <c r="O3950">
        <v>238969668</v>
      </c>
      <c r="P3950">
        <v>149</v>
      </c>
      <c r="Q3950" t="s">
        <v>8245</v>
      </c>
    </row>
    <row r="3951" spans="1:17" x14ac:dyDescent="0.3">
      <c r="A3951" t="s">
        <v>4664</v>
      </c>
      <c r="B3951" t="str">
        <f>"300195"</f>
        <v>300195</v>
      </c>
      <c r="C3951" t="s">
        <v>8246</v>
      </c>
      <c r="D3951" t="s">
        <v>3388</v>
      </c>
      <c r="F3951">
        <v>1155592151</v>
      </c>
      <c r="G3951">
        <v>1101924928</v>
      </c>
      <c r="H3951">
        <v>1226999471</v>
      </c>
      <c r="I3951">
        <v>1337264570</v>
      </c>
      <c r="J3951">
        <v>1148590655</v>
      </c>
      <c r="K3951">
        <v>966564718</v>
      </c>
      <c r="L3951">
        <v>751507203</v>
      </c>
      <c r="M3951">
        <v>706367440</v>
      </c>
      <c r="N3951">
        <v>407095027</v>
      </c>
      <c r="O3951">
        <v>445152876</v>
      </c>
      <c r="P3951">
        <v>90</v>
      </c>
      <c r="Q3951" t="s">
        <v>8247</v>
      </c>
    </row>
    <row r="3952" spans="1:17" x14ac:dyDescent="0.3">
      <c r="A3952" t="s">
        <v>4664</v>
      </c>
      <c r="B3952" t="str">
        <f>"300196"</f>
        <v>300196</v>
      </c>
      <c r="C3952" t="s">
        <v>8248</v>
      </c>
      <c r="D3952" t="s">
        <v>411</v>
      </c>
      <c r="F3952">
        <v>1503788429</v>
      </c>
      <c r="G3952">
        <v>1159247135</v>
      </c>
      <c r="H3952">
        <v>1251364986</v>
      </c>
      <c r="I3952">
        <v>1102779962</v>
      </c>
      <c r="J3952">
        <v>1052240809</v>
      </c>
      <c r="K3952">
        <v>1422068082</v>
      </c>
      <c r="L3952">
        <v>1181221371</v>
      </c>
      <c r="M3952">
        <v>822863883</v>
      </c>
      <c r="N3952">
        <v>434740904</v>
      </c>
      <c r="O3952">
        <v>475223071</v>
      </c>
      <c r="P3952">
        <v>232</v>
      </c>
      <c r="Q3952" t="s">
        <v>8249</v>
      </c>
    </row>
    <row r="3953" spans="1:17" x14ac:dyDescent="0.3">
      <c r="A3953" t="s">
        <v>4664</v>
      </c>
      <c r="B3953" t="str">
        <f>"300197"</f>
        <v>300197</v>
      </c>
      <c r="C3953" t="s">
        <v>8250</v>
      </c>
      <c r="D3953" t="s">
        <v>2408</v>
      </c>
      <c r="F3953">
        <v>2297925213</v>
      </c>
      <c r="G3953">
        <v>3488011884</v>
      </c>
      <c r="H3953">
        <v>4187526628</v>
      </c>
      <c r="I3953">
        <v>4393577677</v>
      </c>
      <c r="J3953">
        <v>3954639526</v>
      </c>
      <c r="K3953">
        <v>2012513180</v>
      </c>
      <c r="L3953">
        <v>1658539798</v>
      </c>
      <c r="M3953">
        <v>815578885</v>
      </c>
      <c r="N3953">
        <v>382776867</v>
      </c>
      <c r="O3953">
        <v>365635065</v>
      </c>
      <c r="P3953">
        <v>356</v>
      </c>
      <c r="Q3953" t="s">
        <v>8251</v>
      </c>
    </row>
    <row r="3954" spans="1:17" x14ac:dyDescent="0.3">
      <c r="A3954" t="s">
        <v>4664</v>
      </c>
      <c r="B3954" t="str">
        <f>"300198"</f>
        <v>300198</v>
      </c>
      <c r="C3954" t="s">
        <v>8252</v>
      </c>
      <c r="D3954" t="s">
        <v>3320</v>
      </c>
      <c r="F3954">
        <v>542829607</v>
      </c>
      <c r="G3954">
        <v>956898341</v>
      </c>
      <c r="H3954">
        <v>750216799</v>
      </c>
      <c r="I3954">
        <v>1272785567</v>
      </c>
      <c r="J3954">
        <v>1176606800</v>
      </c>
      <c r="K3954">
        <v>705974572</v>
      </c>
      <c r="L3954">
        <v>964691044</v>
      </c>
      <c r="M3954">
        <v>828589949</v>
      </c>
      <c r="N3954">
        <v>451790769</v>
      </c>
      <c r="O3954">
        <v>193847892</v>
      </c>
      <c r="P3954">
        <v>82</v>
      </c>
      <c r="Q3954" t="s">
        <v>8253</v>
      </c>
    </row>
    <row r="3955" spans="1:17" x14ac:dyDescent="0.3">
      <c r="A3955" t="s">
        <v>4664</v>
      </c>
      <c r="B3955" t="str">
        <f>"300199"</f>
        <v>300199</v>
      </c>
      <c r="C3955" t="s">
        <v>8254</v>
      </c>
      <c r="D3955" t="s">
        <v>143</v>
      </c>
      <c r="F3955">
        <v>599091419</v>
      </c>
      <c r="G3955">
        <v>639832527</v>
      </c>
      <c r="H3955">
        <v>713102738</v>
      </c>
      <c r="I3955">
        <v>987649670</v>
      </c>
      <c r="J3955">
        <v>579639121</v>
      </c>
      <c r="K3955">
        <v>469731639</v>
      </c>
      <c r="L3955">
        <v>320245286</v>
      </c>
      <c r="M3955">
        <v>250293288</v>
      </c>
      <c r="N3955">
        <v>169669137</v>
      </c>
      <c r="O3955">
        <v>132406603</v>
      </c>
      <c r="P3955">
        <v>242</v>
      </c>
      <c r="Q3955" t="s">
        <v>8255</v>
      </c>
    </row>
    <row r="3956" spans="1:17" x14ac:dyDescent="0.3">
      <c r="A3956" t="s">
        <v>4664</v>
      </c>
      <c r="B3956" t="str">
        <f>"300200"</f>
        <v>300200</v>
      </c>
      <c r="C3956" t="s">
        <v>8256</v>
      </c>
      <c r="D3956" t="s">
        <v>528</v>
      </c>
      <c r="F3956">
        <v>674133266</v>
      </c>
      <c r="G3956">
        <v>565688353</v>
      </c>
      <c r="H3956">
        <v>622939726</v>
      </c>
      <c r="I3956">
        <v>592137716</v>
      </c>
      <c r="J3956">
        <v>409113091</v>
      </c>
      <c r="K3956">
        <v>469387286</v>
      </c>
      <c r="L3956">
        <v>412526026</v>
      </c>
      <c r="M3956">
        <v>466752691</v>
      </c>
      <c r="N3956">
        <v>378191171</v>
      </c>
      <c r="O3956">
        <v>316628885</v>
      </c>
      <c r="P3956">
        <v>160</v>
      </c>
      <c r="Q3956" t="s">
        <v>8257</v>
      </c>
    </row>
    <row r="3957" spans="1:17" x14ac:dyDescent="0.3">
      <c r="A3957" t="s">
        <v>4664</v>
      </c>
      <c r="B3957" t="str">
        <f>"300201"</f>
        <v>300201</v>
      </c>
      <c r="C3957" t="s">
        <v>8258</v>
      </c>
      <c r="D3957" t="s">
        <v>83</v>
      </c>
      <c r="F3957">
        <v>919786696</v>
      </c>
      <c r="G3957">
        <v>1366512189</v>
      </c>
      <c r="H3957">
        <v>1195703818</v>
      </c>
      <c r="I3957">
        <v>1012469298</v>
      </c>
      <c r="J3957">
        <v>1013549530</v>
      </c>
      <c r="K3957">
        <v>445754540</v>
      </c>
      <c r="L3957">
        <v>440403572</v>
      </c>
      <c r="M3957">
        <v>307680962</v>
      </c>
      <c r="N3957">
        <v>229415469</v>
      </c>
      <c r="O3957">
        <v>200294221</v>
      </c>
      <c r="P3957">
        <v>77</v>
      </c>
      <c r="Q3957" t="s">
        <v>8259</v>
      </c>
    </row>
    <row r="3958" spans="1:17" x14ac:dyDescent="0.3">
      <c r="A3958" t="s">
        <v>4664</v>
      </c>
      <c r="B3958" t="str">
        <f>"300202"</f>
        <v>300202</v>
      </c>
      <c r="C3958" t="s">
        <v>8260</v>
      </c>
      <c r="D3958" t="s">
        <v>236</v>
      </c>
      <c r="F3958">
        <v>236868654</v>
      </c>
      <c r="G3958">
        <v>266997113</v>
      </c>
      <c r="H3958">
        <v>328691883</v>
      </c>
      <c r="I3958">
        <v>387108922</v>
      </c>
      <c r="J3958">
        <v>328864904</v>
      </c>
      <c r="K3958">
        <v>281358138</v>
      </c>
      <c r="L3958">
        <v>388342043</v>
      </c>
      <c r="M3958">
        <v>385109272</v>
      </c>
      <c r="N3958">
        <v>397449900</v>
      </c>
      <c r="O3958">
        <v>162875798</v>
      </c>
      <c r="P3958">
        <v>2978</v>
      </c>
      <c r="Q3958" t="s">
        <v>8261</v>
      </c>
    </row>
    <row r="3959" spans="1:17" x14ac:dyDescent="0.3">
      <c r="A3959" t="s">
        <v>4664</v>
      </c>
      <c r="B3959" t="str">
        <f>"300203"</f>
        <v>300203</v>
      </c>
      <c r="C3959" t="s">
        <v>8262</v>
      </c>
      <c r="D3959" t="s">
        <v>3548</v>
      </c>
      <c r="F3959">
        <v>1938064905</v>
      </c>
      <c r="G3959">
        <v>2347208271</v>
      </c>
      <c r="H3959">
        <v>2247947460</v>
      </c>
      <c r="I3959">
        <v>2239035900</v>
      </c>
      <c r="J3959">
        <v>1494484188</v>
      </c>
      <c r="K3959">
        <v>1000232739</v>
      </c>
      <c r="L3959">
        <v>871767642</v>
      </c>
      <c r="M3959">
        <v>706247041</v>
      </c>
      <c r="N3959">
        <v>612021734</v>
      </c>
      <c r="O3959">
        <v>530609191</v>
      </c>
      <c r="P3959">
        <v>431</v>
      </c>
      <c r="Q3959" t="s">
        <v>8263</v>
      </c>
    </row>
    <row r="3960" spans="1:17" x14ac:dyDescent="0.3">
      <c r="A3960" t="s">
        <v>4664</v>
      </c>
      <c r="B3960" t="str">
        <f>"300204"</f>
        <v>300204</v>
      </c>
      <c r="C3960" t="s">
        <v>8264</v>
      </c>
      <c r="D3960" t="s">
        <v>1379</v>
      </c>
      <c r="F3960">
        <v>422962012</v>
      </c>
      <c r="G3960">
        <v>340101172</v>
      </c>
      <c r="H3960">
        <v>573292431</v>
      </c>
      <c r="I3960">
        <v>808423438</v>
      </c>
      <c r="J3960">
        <v>1109331484</v>
      </c>
      <c r="K3960">
        <v>1008489999</v>
      </c>
      <c r="L3960">
        <v>925525120</v>
      </c>
      <c r="M3960">
        <v>787224419</v>
      </c>
      <c r="N3960">
        <v>614481125</v>
      </c>
      <c r="O3960">
        <v>273864885</v>
      </c>
      <c r="P3960">
        <v>202</v>
      </c>
      <c r="Q3960" t="s">
        <v>8265</v>
      </c>
    </row>
    <row r="3961" spans="1:17" x14ac:dyDescent="0.3">
      <c r="A3961" t="s">
        <v>4664</v>
      </c>
      <c r="B3961" t="str">
        <f>"300205"</f>
        <v>300205</v>
      </c>
      <c r="C3961" t="s">
        <v>8266</v>
      </c>
      <c r="D3961" t="s">
        <v>786</v>
      </c>
      <c r="F3961">
        <v>1273691275</v>
      </c>
      <c r="G3961">
        <v>1110196953</v>
      </c>
      <c r="H3961">
        <v>1248380226</v>
      </c>
      <c r="I3961">
        <v>1273150297</v>
      </c>
      <c r="J3961">
        <v>1239322933</v>
      </c>
      <c r="K3961">
        <v>1098921020</v>
      </c>
      <c r="L3961">
        <v>907337496</v>
      </c>
      <c r="M3961">
        <v>899285875</v>
      </c>
      <c r="N3961">
        <v>733721856</v>
      </c>
      <c r="O3961">
        <v>367401107</v>
      </c>
      <c r="P3961">
        <v>222</v>
      </c>
      <c r="Q3961" t="s">
        <v>8267</v>
      </c>
    </row>
    <row r="3962" spans="1:17" x14ac:dyDescent="0.3">
      <c r="A3962" t="s">
        <v>4664</v>
      </c>
      <c r="B3962" t="str">
        <f>"300206"</f>
        <v>300206</v>
      </c>
      <c r="C3962" t="s">
        <v>8268</v>
      </c>
      <c r="D3962" t="s">
        <v>122</v>
      </c>
      <c r="F3962">
        <v>1375078865</v>
      </c>
      <c r="G3962">
        <v>1896306562</v>
      </c>
      <c r="H3962">
        <v>867519680</v>
      </c>
      <c r="I3962">
        <v>755503598</v>
      </c>
      <c r="J3962">
        <v>670232279</v>
      </c>
      <c r="K3962">
        <v>506126509</v>
      </c>
      <c r="L3962">
        <v>410480784</v>
      </c>
      <c r="M3962">
        <v>387995942</v>
      </c>
      <c r="N3962">
        <v>336947809</v>
      </c>
      <c r="O3962">
        <v>301866725</v>
      </c>
      <c r="P3962">
        <v>426</v>
      </c>
      <c r="Q3962" t="s">
        <v>8269</v>
      </c>
    </row>
    <row r="3963" spans="1:17" x14ac:dyDescent="0.3">
      <c r="A3963" t="s">
        <v>4664</v>
      </c>
      <c r="B3963" t="str">
        <f>"300207"</f>
        <v>300207</v>
      </c>
      <c r="C3963" t="s">
        <v>8270</v>
      </c>
      <c r="D3963" t="s">
        <v>359</v>
      </c>
      <c r="F3963">
        <v>27010892372</v>
      </c>
      <c r="G3963">
        <v>19126364563</v>
      </c>
      <c r="H3963">
        <v>17897833533</v>
      </c>
      <c r="I3963">
        <v>13868315194</v>
      </c>
      <c r="J3963">
        <v>8948051254</v>
      </c>
      <c r="K3963">
        <v>5859907391</v>
      </c>
      <c r="L3963">
        <v>4635420537</v>
      </c>
      <c r="M3963">
        <v>3006796442</v>
      </c>
      <c r="N3963">
        <v>1302742424</v>
      </c>
      <c r="O3963">
        <v>749763824</v>
      </c>
      <c r="P3963">
        <v>1012</v>
      </c>
      <c r="Q3963" t="s">
        <v>8271</v>
      </c>
    </row>
    <row r="3964" spans="1:17" x14ac:dyDescent="0.3">
      <c r="A3964" t="s">
        <v>4664</v>
      </c>
      <c r="B3964" t="str">
        <f>"300208"</f>
        <v>300208</v>
      </c>
      <c r="C3964" t="s">
        <v>8272</v>
      </c>
      <c r="D3964" t="s">
        <v>110</v>
      </c>
      <c r="F3964">
        <v>1278324565</v>
      </c>
      <c r="G3964">
        <v>590231287</v>
      </c>
      <c r="H3964">
        <v>398472579</v>
      </c>
      <c r="I3964">
        <v>217195626</v>
      </c>
      <c r="J3964">
        <v>234776640</v>
      </c>
      <c r="K3964">
        <v>261815367</v>
      </c>
      <c r="L3964">
        <v>561332976</v>
      </c>
      <c r="M3964">
        <v>393843819</v>
      </c>
      <c r="N3964">
        <v>117222426</v>
      </c>
      <c r="O3964">
        <v>149815316</v>
      </c>
      <c r="P3964">
        <v>144</v>
      </c>
      <c r="Q3964" t="s">
        <v>8273</v>
      </c>
    </row>
    <row r="3965" spans="1:17" x14ac:dyDescent="0.3">
      <c r="A3965" t="s">
        <v>4664</v>
      </c>
      <c r="B3965" t="str">
        <f>"300209"</f>
        <v>300209</v>
      </c>
      <c r="C3965" t="s">
        <v>8274</v>
      </c>
      <c r="D3965" t="s">
        <v>945</v>
      </c>
      <c r="F3965">
        <v>2071295221</v>
      </c>
      <c r="G3965">
        <v>3312436519</v>
      </c>
      <c r="H3965">
        <v>2348640741</v>
      </c>
      <c r="I3965">
        <v>535360053</v>
      </c>
      <c r="J3965">
        <v>503508491</v>
      </c>
      <c r="K3965">
        <v>343943556</v>
      </c>
      <c r="L3965">
        <v>195008725</v>
      </c>
      <c r="M3965">
        <v>115341332</v>
      </c>
      <c r="N3965">
        <v>91045391</v>
      </c>
      <c r="O3965">
        <v>78759032</v>
      </c>
      <c r="P3965">
        <v>143</v>
      </c>
      <c r="Q3965" t="s">
        <v>8275</v>
      </c>
    </row>
    <row r="3966" spans="1:17" x14ac:dyDescent="0.3">
      <c r="A3966" t="s">
        <v>4664</v>
      </c>
      <c r="B3966" t="str">
        <f>"300210"</f>
        <v>300210</v>
      </c>
      <c r="C3966" t="s">
        <v>8276</v>
      </c>
      <c r="D3966" t="s">
        <v>1070</v>
      </c>
      <c r="F3966">
        <v>216481139</v>
      </c>
      <c r="G3966">
        <v>207629228</v>
      </c>
      <c r="H3966">
        <v>250881266</v>
      </c>
      <c r="I3966">
        <v>381028124</v>
      </c>
      <c r="J3966">
        <v>304091870</v>
      </c>
      <c r="K3966">
        <v>225069954</v>
      </c>
      <c r="L3966">
        <v>208773922</v>
      </c>
      <c r="M3966">
        <v>268601819</v>
      </c>
      <c r="N3966">
        <v>264382916</v>
      </c>
      <c r="O3966">
        <v>161968736</v>
      </c>
      <c r="P3966">
        <v>50</v>
      </c>
      <c r="Q3966" t="s">
        <v>8277</v>
      </c>
    </row>
    <row r="3967" spans="1:17" x14ac:dyDescent="0.3">
      <c r="A3967" t="s">
        <v>4664</v>
      </c>
      <c r="B3967" t="str">
        <f>"300211"</f>
        <v>300211</v>
      </c>
      <c r="C3967" t="s">
        <v>8278</v>
      </c>
      <c r="D3967" t="s">
        <v>654</v>
      </c>
      <c r="F3967">
        <v>94642503</v>
      </c>
      <c r="G3967">
        <v>85295447</v>
      </c>
      <c r="H3967">
        <v>110766581</v>
      </c>
      <c r="I3967">
        <v>123261272</v>
      </c>
      <c r="J3967">
        <v>128982684</v>
      </c>
      <c r="K3967">
        <v>182737540</v>
      </c>
      <c r="L3967">
        <v>144863339</v>
      </c>
      <c r="M3967">
        <v>155044002</v>
      </c>
      <c r="N3967">
        <v>163789902</v>
      </c>
      <c r="O3967">
        <v>143026571</v>
      </c>
      <c r="P3967">
        <v>63</v>
      </c>
      <c r="Q3967" t="s">
        <v>8279</v>
      </c>
    </row>
    <row r="3968" spans="1:17" x14ac:dyDescent="0.3">
      <c r="A3968" t="s">
        <v>4664</v>
      </c>
      <c r="B3968" t="str">
        <f>"300212"</f>
        <v>300212</v>
      </c>
      <c r="C3968" t="s">
        <v>8280</v>
      </c>
      <c r="D3968" t="s">
        <v>316</v>
      </c>
      <c r="F3968">
        <v>1973021981</v>
      </c>
      <c r="G3968">
        <v>1719796735</v>
      </c>
      <c r="H3968">
        <v>1596077745</v>
      </c>
      <c r="I3968">
        <v>1357346243</v>
      </c>
      <c r="J3968">
        <v>1028362316</v>
      </c>
      <c r="K3968">
        <v>601607855</v>
      </c>
      <c r="L3968">
        <v>426087229</v>
      </c>
      <c r="M3968">
        <v>291804291</v>
      </c>
      <c r="N3968">
        <v>324699598</v>
      </c>
      <c r="O3968">
        <v>148061984</v>
      </c>
      <c r="P3968">
        <v>389</v>
      </c>
      <c r="Q3968" t="s">
        <v>8281</v>
      </c>
    </row>
    <row r="3969" spans="1:17" x14ac:dyDescent="0.3">
      <c r="A3969" t="s">
        <v>4664</v>
      </c>
      <c r="B3969" t="str">
        <f>"300213"</f>
        <v>300213</v>
      </c>
      <c r="C3969" t="s">
        <v>8282</v>
      </c>
      <c r="D3969" t="s">
        <v>595</v>
      </c>
      <c r="F3969">
        <v>690564658</v>
      </c>
      <c r="G3969">
        <v>709865260</v>
      </c>
      <c r="H3969">
        <v>911359211</v>
      </c>
      <c r="I3969">
        <v>962414620</v>
      </c>
      <c r="J3969">
        <v>477126339</v>
      </c>
      <c r="K3969">
        <v>672484155</v>
      </c>
      <c r="L3969">
        <v>640300655</v>
      </c>
      <c r="M3969">
        <v>432954687</v>
      </c>
      <c r="N3969">
        <v>353580245</v>
      </c>
      <c r="O3969">
        <v>232809973</v>
      </c>
      <c r="P3969">
        <v>188</v>
      </c>
      <c r="Q3969" t="s">
        <v>8283</v>
      </c>
    </row>
    <row r="3970" spans="1:17" x14ac:dyDescent="0.3">
      <c r="A3970" t="s">
        <v>4664</v>
      </c>
      <c r="B3970" t="str">
        <f>"300214"</f>
        <v>300214</v>
      </c>
      <c r="C3970" t="s">
        <v>8284</v>
      </c>
      <c r="D3970" t="s">
        <v>1192</v>
      </c>
      <c r="F3970">
        <v>2208966950</v>
      </c>
      <c r="G3970">
        <v>1530626378</v>
      </c>
      <c r="H3970">
        <v>1564855776</v>
      </c>
      <c r="I3970">
        <v>914252949</v>
      </c>
      <c r="J3970">
        <v>1505161348</v>
      </c>
      <c r="K3970">
        <v>990290068</v>
      </c>
      <c r="L3970">
        <v>942346464</v>
      </c>
      <c r="M3970">
        <v>743166689</v>
      </c>
      <c r="N3970">
        <v>708498825</v>
      </c>
      <c r="O3970">
        <v>724701045</v>
      </c>
      <c r="P3970">
        <v>107</v>
      </c>
      <c r="Q3970" t="s">
        <v>8285</v>
      </c>
    </row>
    <row r="3971" spans="1:17" x14ac:dyDescent="0.3">
      <c r="A3971" t="s">
        <v>4664</v>
      </c>
      <c r="B3971" t="str">
        <f>"300215"</f>
        <v>300215</v>
      </c>
      <c r="C3971" t="s">
        <v>8286</v>
      </c>
      <c r="D3971" t="s">
        <v>2499</v>
      </c>
      <c r="F3971">
        <v>651251099</v>
      </c>
      <c r="G3971">
        <v>485605090</v>
      </c>
      <c r="H3971">
        <v>589876642</v>
      </c>
      <c r="I3971">
        <v>518326966</v>
      </c>
      <c r="J3971">
        <v>500442420</v>
      </c>
      <c r="K3971">
        <v>408116237</v>
      </c>
      <c r="L3971">
        <v>293876230</v>
      </c>
      <c r="M3971">
        <v>340580588</v>
      </c>
      <c r="N3971">
        <v>363026025</v>
      </c>
      <c r="O3971">
        <v>284267584</v>
      </c>
      <c r="P3971">
        <v>178</v>
      </c>
      <c r="Q3971" t="s">
        <v>8287</v>
      </c>
    </row>
    <row r="3972" spans="1:17" x14ac:dyDescent="0.3">
      <c r="A3972" t="s">
        <v>4664</v>
      </c>
      <c r="B3972" t="str">
        <f>"300216"</f>
        <v>300216</v>
      </c>
      <c r="C3972" t="s">
        <v>8288</v>
      </c>
      <c r="H3972">
        <v>157802326</v>
      </c>
      <c r="I3972">
        <v>250633620</v>
      </c>
      <c r="J3972">
        <v>221455191</v>
      </c>
      <c r="K3972">
        <v>385463902</v>
      </c>
      <c r="L3972">
        <v>512481569</v>
      </c>
      <c r="M3972">
        <v>292316012</v>
      </c>
      <c r="N3972">
        <v>297336325</v>
      </c>
      <c r="O3972">
        <v>195378294</v>
      </c>
      <c r="P3972">
        <v>53</v>
      </c>
      <c r="Q3972" t="s">
        <v>8289</v>
      </c>
    </row>
    <row r="3973" spans="1:17" x14ac:dyDescent="0.3">
      <c r="A3973" t="s">
        <v>4664</v>
      </c>
      <c r="B3973" t="str">
        <f>"300217"</f>
        <v>300217</v>
      </c>
      <c r="C3973" t="s">
        <v>8290</v>
      </c>
      <c r="D3973" t="s">
        <v>1253</v>
      </c>
      <c r="F3973">
        <v>1477423367</v>
      </c>
      <c r="G3973">
        <v>1061274401</v>
      </c>
      <c r="H3973">
        <v>1157397356</v>
      </c>
      <c r="I3973">
        <v>879660906</v>
      </c>
      <c r="J3973">
        <v>902344132</v>
      </c>
      <c r="K3973">
        <v>676021844</v>
      </c>
      <c r="L3973">
        <v>711184187</v>
      </c>
      <c r="M3973">
        <v>688649640</v>
      </c>
      <c r="N3973">
        <v>473049317</v>
      </c>
      <c r="O3973">
        <v>504193358</v>
      </c>
      <c r="P3973">
        <v>160</v>
      </c>
      <c r="Q3973" t="s">
        <v>8291</v>
      </c>
    </row>
    <row r="3974" spans="1:17" x14ac:dyDescent="0.3">
      <c r="A3974" t="s">
        <v>4664</v>
      </c>
      <c r="B3974" t="str">
        <f>"300218"</f>
        <v>300218</v>
      </c>
      <c r="C3974" t="s">
        <v>8292</v>
      </c>
      <c r="D3974" t="s">
        <v>1192</v>
      </c>
      <c r="F3974">
        <v>1299048284</v>
      </c>
      <c r="G3974">
        <v>1040833913</v>
      </c>
      <c r="H3974">
        <v>1284817670</v>
      </c>
      <c r="I3974">
        <v>1350102127</v>
      </c>
      <c r="J3974">
        <v>1229069564</v>
      </c>
      <c r="K3974">
        <v>1265642336</v>
      </c>
      <c r="L3974">
        <v>1263820426</v>
      </c>
      <c r="M3974">
        <v>1098548196</v>
      </c>
      <c r="N3974">
        <v>858228432</v>
      </c>
      <c r="O3974">
        <v>845225367</v>
      </c>
      <c r="P3974">
        <v>108</v>
      </c>
      <c r="Q3974" t="s">
        <v>8293</v>
      </c>
    </row>
    <row r="3975" spans="1:17" x14ac:dyDescent="0.3">
      <c r="A3975" t="s">
        <v>4664</v>
      </c>
      <c r="B3975" t="str">
        <f>"300219"</f>
        <v>300219</v>
      </c>
      <c r="C3975" t="s">
        <v>8294</v>
      </c>
      <c r="D3975" t="s">
        <v>803</v>
      </c>
      <c r="F3975">
        <v>2395121472</v>
      </c>
      <c r="G3975">
        <v>2004085876</v>
      </c>
      <c r="H3975">
        <v>2464255842</v>
      </c>
      <c r="I3975">
        <v>2569297393</v>
      </c>
      <c r="J3975">
        <v>2304359903</v>
      </c>
      <c r="K3975">
        <v>1277346811</v>
      </c>
      <c r="L3975">
        <v>984153465</v>
      </c>
      <c r="M3975">
        <v>610572209</v>
      </c>
      <c r="N3975">
        <v>471009355</v>
      </c>
      <c r="O3975">
        <v>396209337</v>
      </c>
      <c r="P3975">
        <v>135</v>
      </c>
      <c r="Q3975" t="s">
        <v>8295</v>
      </c>
    </row>
    <row r="3976" spans="1:17" x14ac:dyDescent="0.3">
      <c r="A3976" t="s">
        <v>4664</v>
      </c>
      <c r="B3976" t="str">
        <f>"300220"</f>
        <v>300220</v>
      </c>
      <c r="C3976" t="s">
        <v>8296</v>
      </c>
      <c r="D3976" t="s">
        <v>3784</v>
      </c>
      <c r="F3976">
        <v>265868098</v>
      </c>
      <c r="G3976">
        <v>132413533</v>
      </c>
      <c r="H3976">
        <v>141634589</v>
      </c>
      <c r="I3976">
        <v>140140509</v>
      </c>
      <c r="J3976">
        <v>146972412</v>
      </c>
      <c r="K3976">
        <v>143504635</v>
      </c>
      <c r="L3976">
        <v>149811945</v>
      </c>
      <c r="M3976">
        <v>127103420</v>
      </c>
      <c r="N3976">
        <v>112805646</v>
      </c>
      <c r="O3976">
        <v>118694917</v>
      </c>
      <c r="P3976">
        <v>91</v>
      </c>
      <c r="Q3976" t="s">
        <v>8297</v>
      </c>
    </row>
    <row r="3977" spans="1:17" x14ac:dyDescent="0.3">
      <c r="A3977" t="s">
        <v>4664</v>
      </c>
      <c r="B3977" t="str">
        <f>"300221"</f>
        <v>300221</v>
      </c>
      <c r="C3977" t="s">
        <v>8298</v>
      </c>
      <c r="D3977" t="s">
        <v>341</v>
      </c>
      <c r="F3977">
        <v>1308290873</v>
      </c>
      <c r="G3977">
        <v>1025545113</v>
      </c>
      <c r="H3977">
        <v>1093928325</v>
      </c>
      <c r="I3977">
        <v>1963174295</v>
      </c>
      <c r="J3977">
        <v>1498669560</v>
      </c>
      <c r="K3977">
        <v>935970223</v>
      </c>
      <c r="L3977">
        <v>849599043</v>
      </c>
      <c r="M3977">
        <v>796365884</v>
      </c>
      <c r="N3977">
        <v>662999431</v>
      </c>
      <c r="O3977">
        <v>689667567</v>
      </c>
      <c r="P3977">
        <v>173</v>
      </c>
      <c r="Q3977" t="s">
        <v>8299</v>
      </c>
    </row>
    <row r="3978" spans="1:17" x14ac:dyDescent="0.3">
      <c r="A3978" t="s">
        <v>4664</v>
      </c>
      <c r="B3978" t="str">
        <f>"300222"</f>
        <v>300222</v>
      </c>
      <c r="C3978" t="s">
        <v>8300</v>
      </c>
      <c r="D3978" t="s">
        <v>610</v>
      </c>
      <c r="F3978">
        <v>2167783135</v>
      </c>
      <c r="G3978">
        <v>2131757943</v>
      </c>
      <c r="H3978">
        <v>2351486672</v>
      </c>
      <c r="I3978">
        <v>1797185014</v>
      </c>
      <c r="J3978">
        <v>1595085391</v>
      </c>
      <c r="K3978">
        <v>901782482</v>
      </c>
      <c r="L3978">
        <v>577813439</v>
      </c>
      <c r="M3978">
        <v>477007815</v>
      </c>
      <c r="N3978">
        <v>227365190</v>
      </c>
      <c r="O3978">
        <v>127955371</v>
      </c>
      <c r="P3978">
        <v>221</v>
      </c>
      <c r="Q3978" t="s">
        <v>8301</v>
      </c>
    </row>
    <row r="3979" spans="1:17" x14ac:dyDescent="0.3">
      <c r="A3979" t="s">
        <v>4664</v>
      </c>
      <c r="B3979" t="str">
        <f>"300223"</f>
        <v>300223</v>
      </c>
      <c r="C3979" t="s">
        <v>8302</v>
      </c>
      <c r="D3979" t="s">
        <v>461</v>
      </c>
      <c r="F3979">
        <v>3732237223</v>
      </c>
      <c r="G3979">
        <v>1273276047</v>
      </c>
      <c r="H3979">
        <v>261449052</v>
      </c>
      <c r="I3979">
        <v>191399664</v>
      </c>
      <c r="J3979">
        <v>149741402</v>
      </c>
      <c r="K3979">
        <v>73320581</v>
      </c>
      <c r="L3979">
        <v>51018715</v>
      </c>
      <c r="M3979">
        <v>59754303</v>
      </c>
      <c r="N3979">
        <v>79378021</v>
      </c>
      <c r="O3979">
        <v>112060523</v>
      </c>
      <c r="P3979">
        <v>612</v>
      </c>
      <c r="Q3979" t="s">
        <v>8303</v>
      </c>
    </row>
    <row r="3980" spans="1:17" x14ac:dyDescent="0.3">
      <c r="A3980" t="s">
        <v>4664</v>
      </c>
      <c r="B3980" t="str">
        <f>"300224"</f>
        <v>300224</v>
      </c>
      <c r="C3980" t="s">
        <v>8304</v>
      </c>
      <c r="D3980" t="s">
        <v>808</v>
      </c>
      <c r="F3980">
        <v>2239420724</v>
      </c>
      <c r="G3980">
        <v>1541526525</v>
      </c>
      <c r="H3980">
        <v>1461265416</v>
      </c>
      <c r="I3980">
        <v>1252579773</v>
      </c>
      <c r="J3980">
        <v>1090812380</v>
      </c>
      <c r="K3980">
        <v>1122631977</v>
      </c>
      <c r="L3980">
        <v>897757041</v>
      </c>
      <c r="M3980">
        <v>464031449</v>
      </c>
      <c r="N3980">
        <v>452976337</v>
      </c>
      <c r="O3980">
        <v>750868009</v>
      </c>
      <c r="P3980">
        <v>198</v>
      </c>
      <c r="Q3980" t="s">
        <v>8305</v>
      </c>
    </row>
    <row r="3981" spans="1:17" x14ac:dyDescent="0.3">
      <c r="A3981" t="s">
        <v>4664</v>
      </c>
      <c r="B3981" t="str">
        <f>"300225"</f>
        <v>300225</v>
      </c>
      <c r="C3981" t="s">
        <v>8306</v>
      </c>
      <c r="D3981" t="s">
        <v>2570</v>
      </c>
      <c r="F3981">
        <v>1261713678</v>
      </c>
      <c r="G3981">
        <v>623873369</v>
      </c>
      <c r="H3981">
        <v>616116305</v>
      </c>
      <c r="I3981">
        <v>593056691</v>
      </c>
      <c r="J3981">
        <v>632182948</v>
      </c>
      <c r="K3981">
        <v>613724817</v>
      </c>
      <c r="L3981">
        <v>528956984</v>
      </c>
      <c r="M3981">
        <v>584570469</v>
      </c>
      <c r="N3981">
        <v>473903697</v>
      </c>
      <c r="O3981">
        <v>466683447</v>
      </c>
      <c r="P3981">
        <v>94</v>
      </c>
      <c r="Q3981" t="s">
        <v>8307</v>
      </c>
    </row>
    <row r="3982" spans="1:17" x14ac:dyDescent="0.3">
      <c r="A3982" t="s">
        <v>4664</v>
      </c>
      <c r="B3982" t="str">
        <f>"300226"</f>
        <v>300226</v>
      </c>
      <c r="C3982" t="s">
        <v>8308</v>
      </c>
      <c r="D3982" t="s">
        <v>945</v>
      </c>
      <c r="F3982">
        <v>181099017475</v>
      </c>
      <c r="G3982">
        <v>122654603121</v>
      </c>
      <c r="H3982">
        <v>103261828401</v>
      </c>
      <c r="I3982">
        <v>81649872231</v>
      </c>
      <c r="J3982">
        <v>60614853524</v>
      </c>
      <c r="K3982">
        <v>33040609977</v>
      </c>
      <c r="L3982">
        <v>17303037256</v>
      </c>
      <c r="M3982">
        <v>3425377712</v>
      </c>
      <c r="N3982">
        <v>944989168</v>
      </c>
      <c r="O3982">
        <v>781923042</v>
      </c>
      <c r="P3982">
        <v>253</v>
      </c>
      <c r="Q3982" t="s">
        <v>8309</v>
      </c>
    </row>
    <row r="3983" spans="1:17" x14ac:dyDescent="0.3">
      <c r="A3983" t="s">
        <v>4664</v>
      </c>
      <c r="B3983" t="str">
        <f>"300227"</f>
        <v>300227</v>
      </c>
      <c r="C3983" t="s">
        <v>8310</v>
      </c>
      <c r="D3983" t="s">
        <v>3784</v>
      </c>
      <c r="F3983">
        <v>647210271</v>
      </c>
      <c r="G3983">
        <v>564405876</v>
      </c>
      <c r="H3983">
        <v>516427230</v>
      </c>
      <c r="I3983">
        <v>462870587</v>
      </c>
      <c r="J3983">
        <v>301173776</v>
      </c>
      <c r="K3983">
        <v>174710011</v>
      </c>
      <c r="L3983">
        <v>187964234</v>
      </c>
      <c r="M3983">
        <v>180301994</v>
      </c>
      <c r="N3983">
        <v>141508446</v>
      </c>
      <c r="O3983">
        <v>117960590</v>
      </c>
      <c r="P3983">
        <v>220</v>
      </c>
      <c r="Q3983" t="s">
        <v>8311</v>
      </c>
    </row>
    <row r="3984" spans="1:17" x14ac:dyDescent="0.3">
      <c r="A3984" t="s">
        <v>4664</v>
      </c>
      <c r="B3984" t="str">
        <f>"300228"</f>
        <v>300228</v>
      </c>
      <c r="C3984" t="s">
        <v>8312</v>
      </c>
      <c r="D3984" t="s">
        <v>274</v>
      </c>
      <c r="F3984">
        <v>1463311494</v>
      </c>
      <c r="G3984">
        <v>1384643974</v>
      </c>
      <c r="H3984">
        <v>1276795638</v>
      </c>
      <c r="I3984">
        <v>1264725774</v>
      </c>
      <c r="J3984">
        <v>1353806762</v>
      </c>
      <c r="K3984">
        <v>670123885</v>
      </c>
      <c r="L3984">
        <v>1127203265</v>
      </c>
      <c r="M3984">
        <v>1391221147</v>
      </c>
      <c r="N3984">
        <v>1411252727</v>
      </c>
      <c r="O3984">
        <v>955178556</v>
      </c>
      <c r="P3984">
        <v>128</v>
      </c>
      <c r="Q3984" t="s">
        <v>8313</v>
      </c>
    </row>
    <row r="3985" spans="1:17" x14ac:dyDescent="0.3">
      <c r="A3985" t="s">
        <v>4664</v>
      </c>
      <c r="B3985" t="str">
        <f>"300229"</f>
        <v>300229</v>
      </c>
      <c r="C3985" t="s">
        <v>8314</v>
      </c>
      <c r="D3985" t="s">
        <v>945</v>
      </c>
      <c r="F3985">
        <v>579212080</v>
      </c>
      <c r="G3985">
        <v>541124015</v>
      </c>
      <c r="H3985">
        <v>639749576</v>
      </c>
      <c r="I3985">
        <v>749624210</v>
      </c>
      <c r="J3985">
        <v>494466640</v>
      </c>
      <c r="K3985">
        <v>364155916</v>
      </c>
      <c r="L3985">
        <v>171848066</v>
      </c>
      <c r="M3985">
        <v>143297677</v>
      </c>
      <c r="N3985">
        <v>101017341</v>
      </c>
      <c r="O3985">
        <v>111650837</v>
      </c>
      <c r="P3985">
        <v>209</v>
      </c>
      <c r="Q3985" t="s">
        <v>8315</v>
      </c>
    </row>
    <row r="3986" spans="1:17" x14ac:dyDescent="0.3">
      <c r="A3986" t="s">
        <v>4664</v>
      </c>
      <c r="B3986" t="str">
        <f>"300230"</f>
        <v>300230</v>
      </c>
      <c r="C3986" t="s">
        <v>8316</v>
      </c>
      <c r="D3986" t="s">
        <v>1192</v>
      </c>
      <c r="F3986">
        <v>2501382806</v>
      </c>
      <c r="G3986">
        <v>2156422556</v>
      </c>
      <c r="H3986">
        <v>2231215798</v>
      </c>
      <c r="I3986">
        <v>2354545171</v>
      </c>
      <c r="J3986">
        <v>2153044836</v>
      </c>
      <c r="K3986">
        <v>999096708</v>
      </c>
      <c r="L3986">
        <v>523673391</v>
      </c>
      <c r="M3986">
        <v>266657231</v>
      </c>
      <c r="N3986">
        <v>229973202</v>
      </c>
      <c r="O3986">
        <v>201212836</v>
      </c>
      <c r="P3986">
        <v>169</v>
      </c>
      <c r="Q3986" t="s">
        <v>8317</v>
      </c>
    </row>
    <row r="3987" spans="1:17" x14ac:dyDescent="0.3">
      <c r="A3987" t="s">
        <v>4664</v>
      </c>
      <c r="B3987" t="str">
        <f>"300231"</f>
        <v>300231</v>
      </c>
      <c r="C3987" t="s">
        <v>8318</v>
      </c>
      <c r="D3987" t="s">
        <v>316</v>
      </c>
      <c r="F3987">
        <v>1695629252</v>
      </c>
      <c r="G3987">
        <v>1109305872</v>
      </c>
      <c r="H3987">
        <v>815601226</v>
      </c>
      <c r="I3987">
        <v>783137454</v>
      </c>
      <c r="J3987">
        <v>637098002</v>
      </c>
      <c r="K3987">
        <v>539351263</v>
      </c>
      <c r="L3987">
        <v>350255684</v>
      </c>
      <c r="M3987">
        <v>275631323</v>
      </c>
      <c r="N3987">
        <v>263047705</v>
      </c>
      <c r="O3987">
        <v>154574856</v>
      </c>
      <c r="P3987">
        <v>264</v>
      </c>
      <c r="Q3987" t="s">
        <v>8319</v>
      </c>
    </row>
    <row r="3988" spans="1:17" x14ac:dyDescent="0.3">
      <c r="A3988" t="s">
        <v>4664</v>
      </c>
      <c r="B3988" t="str">
        <f>"300232"</f>
        <v>300232</v>
      </c>
      <c r="C3988" t="s">
        <v>8320</v>
      </c>
      <c r="D3988" t="s">
        <v>803</v>
      </c>
      <c r="F3988">
        <v>4623710799</v>
      </c>
      <c r="G3988">
        <v>3350625983</v>
      </c>
      <c r="H3988">
        <v>3581754827</v>
      </c>
      <c r="I3988">
        <v>2855569371</v>
      </c>
      <c r="J3988">
        <v>1739708376</v>
      </c>
      <c r="K3988">
        <v>1184376757</v>
      </c>
      <c r="L3988">
        <v>857860300</v>
      </c>
      <c r="M3988">
        <v>662687178</v>
      </c>
      <c r="N3988">
        <v>520746430</v>
      </c>
      <c r="O3988">
        <v>375105678</v>
      </c>
      <c r="P3988">
        <v>922</v>
      </c>
      <c r="Q3988" t="s">
        <v>8321</v>
      </c>
    </row>
    <row r="3989" spans="1:17" x14ac:dyDescent="0.3">
      <c r="A3989" t="s">
        <v>4664</v>
      </c>
      <c r="B3989" t="str">
        <f>"300233"</f>
        <v>300233</v>
      </c>
      <c r="C3989" t="s">
        <v>8322</v>
      </c>
      <c r="D3989" t="s">
        <v>143</v>
      </c>
      <c r="F3989">
        <v>1954060912</v>
      </c>
      <c r="G3989">
        <v>1824662557</v>
      </c>
      <c r="H3989">
        <v>1718943249</v>
      </c>
      <c r="I3989">
        <v>1443886375</v>
      </c>
      <c r="J3989">
        <v>918837018</v>
      </c>
      <c r="K3989">
        <v>921818341</v>
      </c>
      <c r="L3989">
        <v>898881394</v>
      </c>
      <c r="M3989">
        <v>845918616</v>
      </c>
      <c r="N3989">
        <v>687839336</v>
      </c>
      <c r="O3989">
        <v>600426387</v>
      </c>
      <c r="P3989">
        <v>202</v>
      </c>
      <c r="Q3989" t="s">
        <v>8323</v>
      </c>
    </row>
    <row r="3990" spans="1:17" x14ac:dyDescent="0.3">
      <c r="A3990" t="s">
        <v>4664</v>
      </c>
      <c r="B3990" t="str">
        <f>"300234"</f>
        <v>300234</v>
      </c>
      <c r="C3990" t="s">
        <v>8324</v>
      </c>
      <c r="D3990" t="s">
        <v>722</v>
      </c>
      <c r="F3990">
        <v>406920277</v>
      </c>
      <c r="G3990">
        <v>336737855</v>
      </c>
      <c r="H3990">
        <v>354304070</v>
      </c>
      <c r="I3990">
        <v>216937191</v>
      </c>
      <c r="J3990">
        <v>310378774</v>
      </c>
      <c r="K3990">
        <v>275157740</v>
      </c>
      <c r="L3990">
        <v>261466642</v>
      </c>
      <c r="M3990">
        <v>285334211</v>
      </c>
      <c r="N3990">
        <v>224677520</v>
      </c>
      <c r="O3990">
        <v>106902482</v>
      </c>
      <c r="P3990">
        <v>111</v>
      </c>
      <c r="Q3990" t="s">
        <v>8325</v>
      </c>
    </row>
    <row r="3991" spans="1:17" x14ac:dyDescent="0.3">
      <c r="A3991" t="s">
        <v>4664</v>
      </c>
      <c r="B3991" t="str">
        <f>"300235"</f>
        <v>300235</v>
      </c>
      <c r="C3991" t="s">
        <v>8326</v>
      </c>
      <c r="D3991" t="s">
        <v>945</v>
      </c>
      <c r="F3991">
        <v>87666496</v>
      </c>
      <c r="G3991">
        <v>70562405</v>
      </c>
      <c r="H3991">
        <v>83260171</v>
      </c>
      <c r="I3991">
        <v>62772348</v>
      </c>
      <c r="J3991">
        <v>57640856</v>
      </c>
      <c r="K3991">
        <v>63928994</v>
      </c>
      <c r="L3991">
        <v>55007353</v>
      </c>
      <c r="M3991">
        <v>55382313</v>
      </c>
      <c r="N3991">
        <v>48425545</v>
      </c>
      <c r="O3991">
        <v>55432787</v>
      </c>
      <c r="P3991">
        <v>114</v>
      </c>
      <c r="Q3991" t="s">
        <v>8327</v>
      </c>
    </row>
    <row r="3992" spans="1:17" x14ac:dyDescent="0.3">
      <c r="A3992" t="s">
        <v>4664</v>
      </c>
      <c r="B3992" t="str">
        <f>"300236"</f>
        <v>300236</v>
      </c>
      <c r="C3992" t="s">
        <v>8328</v>
      </c>
      <c r="D3992" t="s">
        <v>2399</v>
      </c>
      <c r="F3992">
        <v>598711160</v>
      </c>
      <c r="G3992">
        <v>428592996</v>
      </c>
      <c r="H3992">
        <v>391998490</v>
      </c>
      <c r="I3992">
        <v>372552211</v>
      </c>
      <c r="J3992">
        <v>304196712</v>
      </c>
      <c r="K3992">
        <v>266303685</v>
      </c>
      <c r="L3992">
        <v>232879338</v>
      </c>
      <c r="M3992">
        <v>225248538</v>
      </c>
      <c r="N3992">
        <v>117859164</v>
      </c>
      <c r="O3992">
        <v>110783095</v>
      </c>
      <c r="P3992">
        <v>414</v>
      </c>
      <c r="Q3992" t="s">
        <v>8329</v>
      </c>
    </row>
    <row r="3993" spans="1:17" x14ac:dyDescent="0.3">
      <c r="A3993" t="s">
        <v>4664</v>
      </c>
      <c r="B3993" t="str">
        <f>"300237"</f>
        <v>300237</v>
      </c>
      <c r="C3993" t="s">
        <v>8330</v>
      </c>
      <c r="D3993" t="s">
        <v>2408</v>
      </c>
      <c r="F3993">
        <v>1306382592</v>
      </c>
      <c r="G3993">
        <v>1892568975</v>
      </c>
      <c r="H3993">
        <v>1788788500</v>
      </c>
      <c r="I3993">
        <v>2269277399</v>
      </c>
      <c r="J3993">
        <v>1565943567</v>
      </c>
      <c r="K3993">
        <v>2410891328</v>
      </c>
      <c r="L3993">
        <v>896024375</v>
      </c>
      <c r="M3993">
        <v>453512813</v>
      </c>
      <c r="N3993">
        <v>336887702</v>
      </c>
      <c r="O3993">
        <v>279756867</v>
      </c>
      <c r="P3993">
        <v>315</v>
      </c>
      <c r="Q3993" t="s">
        <v>8331</v>
      </c>
    </row>
    <row r="3994" spans="1:17" x14ac:dyDescent="0.3">
      <c r="A3994" t="s">
        <v>4664</v>
      </c>
      <c r="B3994" t="str">
        <f>"300238"</f>
        <v>300238</v>
      </c>
      <c r="C3994" t="s">
        <v>8332</v>
      </c>
      <c r="D3994" t="s">
        <v>1077</v>
      </c>
      <c r="F3994">
        <v>391238721</v>
      </c>
      <c r="G3994">
        <v>362551688</v>
      </c>
      <c r="H3994">
        <v>365565899</v>
      </c>
      <c r="I3994">
        <v>354916284</v>
      </c>
      <c r="J3994">
        <v>315473577</v>
      </c>
      <c r="K3994">
        <v>186032769</v>
      </c>
      <c r="L3994">
        <v>142507191</v>
      </c>
      <c r="M3994">
        <v>131165606</v>
      </c>
      <c r="N3994">
        <v>116843370</v>
      </c>
      <c r="O3994">
        <v>116296423</v>
      </c>
      <c r="P3994">
        <v>195</v>
      </c>
      <c r="Q3994" t="s">
        <v>8333</v>
      </c>
    </row>
    <row r="3995" spans="1:17" x14ac:dyDescent="0.3">
      <c r="A3995" t="s">
        <v>4664</v>
      </c>
      <c r="B3995" t="str">
        <f>"300239"</f>
        <v>300239</v>
      </c>
      <c r="C3995" t="s">
        <v>8334</v>
      </c>
      <c r="D3995" t="s">
        <v>1379</v>
      </c>
      <c r="F3995">
        <v>249580843</v>
      </c>
      <c r="G3995">
        <v>259944498</v>
      </c>
      <c r="H3995">
        <v>192667274</v>
      </c>
      <c r="I3995">
        <v>182697338</v>
      </c>
      <c r="J3995">
        <v>121025270</v>
      </c>
      <c r="K3995">
        <v>119002115</v>
      </c>
      <c r="L3995">
        <v>112376803</v>
      </c>
      <c r="M3995">
        <v>94561236</v>
      </c>
      <c r="N3995">
        <v>259133062</v>
      </c>
      <c r="O3995">
        <v>146766929</v>
      </c>
      <c r="P3995">
        <v>107</v>
      </c>
      <c r="Q3995" t="s">
        <v>8335</v>
      </c>
    </row>
    <row r="3996" spans="1:17" x14ac:dyDescent="0.3">
      <c r="A3996" t="s">
        <v>4664</v>
      </c>
      <c r="B3996" t="str">
        <f>"300240"</f>
        <v>300240</v>
      </c>
      <c r="C3996" t="s">
        <v>8336</v>
      </c>
      <c r="D3996" t="s">
        <v>3098</v>
      </c>
      <c r="F3996">
        <v>4901804461</v>
      </c>
      <c r="G3996">
        <v>2611321981</v>
      </c>
      <c r="H3996">
        <v>2398105137</v>
      </c>
      <c r="I3996">
        <v>2347754717</v>
      </c>
      <c r="J3996">
        <v>2174591583</v>
      </c>
      <c r="K3996">
        <v>1771323298</v>
      </c>
      <c r="L3996">
        <v>1691895236</v>
      </c>
      <c r="M3996">
        <v>2318552296</v>
      </c>
      <c r="N3996">
        <v>1630348677</v>
      </c>
      <c r="O3996">
        <v>1364053358</v>
      </c>
      <c r="P3996">
        <v>67</v>
      </c>
      <c r="Q3996" t="s">
        <v>8337</v>
      </c>
    </row>
    <row r="3997" spans="1:17" x14ac:dyDescent="0.3">
      <c r="A3997" t="s">
        <v>4664</v>
      </c>
      <c r="B3997" t="str">
        <f>"300241"</f>
        <v>300241</v>
      </c>
      <c r="C3997" t="s">
        <v>8338</v>
      </c>
      <c r="D3997" t="s">
        <v>803</v>
      </c>
      <c r="F3997">
        <v>867239663</v>
      </c>
      <c r="G3997">
        <v>706860659</v>
      </c>
      <c r="H3997">
        <v>1001828990</v>
      </c>
      <c r="I3997">
        <v>1078397966</v>
      </c>
      <c r="J3997">
        <v>869350376</v>
      </c>
      <c r="K3997">
        <v>656139483</v>
      </c>
      <c r="L3997">
        <v>654183205</v>
      </c>
      <c r="M3997">
        <v>490347532</v>
      </c>
      <c r="N3997">
        <v>368538762</v>
      </c>
      <c r="O3997">
        <v>235945054</v>
      </c>
      <c r="P3997">
        <v>170</v>
      </c>
      <c r="Q3997" t="s">
        <v>8339</v>
      </c>
    </row>
    <row r="3998" spans="1:17" x14ac:dyDescent="0.3">
      <c r="A3998" t="s">
        <v>4664</v>
      </c>
      <c r="B3998" t="str">
        <f>"300242"</f>
        <v>300242</v>
      </c>
      <c r="C3998" t="s">
        <v>8340</v>
      </c>
      <c r="D3998" t="s">
        <v>207</v>
      </c>
      <c r="F3998">
        <v>5761252345</v>
      </c>
      <c r="G3998">
        <v>5498631265</v>
      </c>
      <c r="H3998">
        <v>4129757955</v>
      </c>
      <c r="I3998">
        <v>4131337436</v>
      </c>
      <c r="J3998">
        <v>2021804397</v>
      </c>
      <c r="K3998">
        <v>1862623568</v>
      </c>
      <c r="L3998">
        <v>496252832</v>
      </c>
      <c r="M3998">
        <v>135777245</v>
      </c>
      <c r="N3998">
        <v>101116807</v>
      </c>
      <c r="O3998">
        <v>124452544</v>
      </c>
      <c r="P3998">
        <v>95</v>
      </c>
      <c r="Q3998" t="s">
        <v>8341</v>
      </c>
    </row>
    <row r="3999" spans="1:17" x14ac:dyDescent="0.3">
      <c r="A3999" t="s">
        <v>4664</v>
      </c>
      <c r="B3999" t="str">
        <f>"300243"</f>
        <v>300243</v>
      </c>
      <c r="C3999" t="s">
        <v>8342</v>
      </c>
      <c r="D3999" t="s">
        <v>1192</v>
      </c>
      <c r="F3999">
        <v>915794226</v>
      </c>
      <c r="G3999">
        <v>662786420</v>
      </c>
      <c r="H3999">
        <v>717040051</v>
      </c>
      <c r="I3999">
        <v>699434986</v>
      </c>
      <c r="J3999">
        <v>714831411</v>
      </c>
      <c r="K3999">
        <v>610631629</v>
      </c>
      <c r="L3999">
        <v>529112278</v>
      </c>
      <c r="M3999">
        <v>470538782</v>
      </c>
      <c r="N3999">
        <v>448615887</v>
      </c>
      <c r="O3999">
        <v>431191913</v>
      </c>
      <c r="P3999">
        <v>103</v>
      </c>
      <c r="Q3999" t="s">
        <v>8343</v>
      </c>
    </row>
    <row r="4000" spans="1:17" x14ac:dyDescent="0.3">
      <c r="A4000" t="s">
        <v>4664</v>
      </c>
      <c r="B4000" t="str">
        <f>"300244"</f>
        <v>300244</v>
      </c>
      <c r="C4000" t="s">
        <v>8344</v>
      </c>
      <c r="D4000" t="s">
        <v>2565</v>
      </c>
      <c r="F4000">
        <v>8542078412</v>
      </c>
      <c r="G4000">
        <v>6683741066</v>
      </c>
      <c r="H4000">
        <v>6059441229</v>
      </c>
      <c r="I4000">
        <v>4758038783</v>
      </c>
      <c r="J4000">
        <v>3750513430</v>
      </c>
      <c r="K4000">
        <v>2593217469</v>
      </c>
      <c r="L4000">
        <v>1255314528</v>
      </c>
      <c r="M4000">
        <v>892071838</v>
      </c>
      <c r="N4000">
        <v>669797428</v>
      </c>
      <c r="O4000">
        <v>475552988</v>
      </c>
      <c r="P4000">
        <v>1268</v>
      </c>
      <c r="Q4000" t="s">
        <v>8345</v>
      </c>
    </row>
    <row r="4001" spans="1:17" x14ac:dyDescent="0.3">
      <c r="A4001" t="s">
        <v>4664</v>
      </c>
      <c r="B4001" t="str">
        <f>"300245"</f>
        <v>300245</v>
      </c>
      <c r="C4001" t="s">
        <v>8346</v>
      </c>
      <c r="D4001" t="s">
        <v>316</v>
      </c>
      <c r="F4001">
        <v>322862779</v>
      </c>
      <c r="G4001">
        <v>286465336</v>
      </c>
      <c r="H4001">
        <v>252583164</v>
      </c>
      <c r="I4001">
        <v>236019233</v>
      </c>
      <c r="J4001">
        <v>247566578</v>
      </c>
      <c r="K4001">
        <v>215264079</v>
      </c>
      <c r="L4001">
        <v>263888454</v>
      </c>
      <c r="M4001">
        <v>255926180</v>
      </c>
      <c r="N4001">
        <v>210092524</v>
      </c>
      <c r="O4001">
        <v>174387526</v>
      </c>
      <c r="P4001">
        <v>128</v>
      </c>
      <c r="Q4001" t="s">
        <v>8347</v>
      </c>
    </row>
    <row r="4002" spans="1:17" x14ac:dyDescent="0.3">
      <c r="A4002" t="s">
        <v>4664</v>
      </c>
      <c r="B4002" t="str">
        <f>"300246"</f>
        <v>300246</v>
      </c>
      <c r="C4002" t="s">
        <v>8348</v>
      </c>
      <c r="D4002" t="s">
        <v>122</v>
      </c>
      <c r="F4002">
        <v>814636484</v>
      </c>
      <c r="G4002">
        <v>1151875719</v>
      </c>
      <c r="H4002">
        <v>637206926</v>
      </c>
      <c r="I4002">
        <v>628616107</v>
      </c>
      <c r="J4002">
        <v>537772239</v>
      </c>
      <c r="K4002">
        <v>403641392</v>
      </c>
      <c r="L4002">
        <v>220797714</v>
      </c>
      <c r="M4002">
        <v>208745033</v>
      </c>
      <c r="N4002">
        <v>177966068</v>
      </c>
      <c r="O4002">
        <v>130289760</v>
      </c>
      <c r="P4002">
        <v>511</v>
      </c>
      <c r="Q4002" t="s">
        <v>8349</v>
      </c>
    </row>
    <row r="4003" spans="1:17" x14ac:dyDescent="0.3">
      <c r="A4003" t="s">
        <v>4664</v>
      </c>
      <c r="B4003" t="str">
        <f>"300247"</f>
        <v>300247</v>
      </c>
      <c r="C4003" t="s">
        <v>8350</v>
      </c>
      <c r="D4003" t="s">
        <v>3015</v>
      </c>
      <c r="F4003">
        <v>418853272</v>
      </c>
      <c r="G4003">
        <v>377534651</v>
      </c>
      <c r="H4003">
        <v>691945575</v>
      </c>
      <c r="I4003">
        <v>892876062</v>
      </c>
      <c r="J4003">
        <v>777352387</v>
      </c>
      <c r="K4003">
        <v>330545206</v>
      </c>
      <c r="L4003">
        <v>272297116</v>
      </c>
      <c r="M4003">
        <v>216961379</v>
      </c>
      <c r="N4003">
        <v>192298129</v>
      </c>
      <c r="O4003">
        <v>164628453</v>
      </c>
      <c r="P4003">
        <v>107</v>
      </c>
      <c r="Q4003" t="s">
        <v>8351</v>
      </c>
    </row>
    <row r="4004" spans="1:17" x14ac:dyDescent="0.3">
      <c r="A4004" t="s">
        <v>4664</v>
      </c>
      <c r="B4004" t="str">
        <f>"300248"</f>
        <v>300248</v>
      </c>
      <c r="C4004" t="s">
        <v>8352</v>
      </c>
      <c r="D4004" t="s">
        <v>236</v>
      </c>
      <c r="F4004">
        <v>549988919</v>
      </c>
      <c r="G4004">
        <v>541320543</v>
      </c>
      <c r="H4004">
        <v>480587330</v>
      </c>
      <c r="I4004">
        <v>392399962</v>
      </c>
      <c r="J4004">
        <v>382453592</v>
      </c>
      <c r="K4004">
        <v>372460004</v>
      </c>
      <c r="L4004">
        <v>243112560</v>
      </c>
      <c r="M4004">
        <v>173194683</v>
      </c>
      <c r="N4004">
        <v>137959244</v>
      </c>
      <c r="O4004">
        <v>109008325</v>
      </c>
      <c r="P4004">
        <v>209</v>
      </c>
      <c r="Q4004" t="s">
        <v>8353</v>
      </c>
    </row>
    <row r="4005" spans="1:17" x14ac:dyDescent="0.3">
      <c r="A4005" t="s">
        <v>4664</v>
      </c>
      <c r="B4005" t="str">
        <f>"300249"</f>
        <v>300249</v>
      </c>
      <c r="C4005" t="s">
        <v>8354</v>
      </c>
      <c r="D4005" t="s">
        <v>236</v>
      </c>
      <c r="F4005">
        <v>919015874</v>
      </c>
      <c r="G4005">
        <v>947565843</v>
      </c>
      <c r="H4005">
        <v>715723068</v>
      </c>
      <c r="I4005">
        <v>990672471</v>
      </c>
      <c r="J4005">
        <v>669209729</v>
      </c>
      <c r="K4005">
        <v>531025971</v>
      </c>
      <c r="L4005">
        <v>399038176</v>
      </c>
      <c r="M4005">
        <v>313459706</v>
      </c>
      <c r="N4005">
        <v>234440049</v>
      </c>
      <c r="O4005">
        <v>142932199</v>
      </c>
      <c r="P4005">
        <v>195</v>
      </c>
      <c r="Q4005" t="s">
        <v>8355</v>
      </c>
    </row>
    <row r="4006" spans="1:17" x14ac:dyDescent="0.3">
      <c r="A4006" t="s">
        <v>4664</v>
      </c>
      <c r="B4006" t="str">
        <f>"300250"</f>
        <v>300250</v>
      </c>
      <c r="C4006" t="s">
        <v>8356</v>
      </c>
      <c r="D4006" t="s">
        <v>316</v>
      </c>
      <c r="F4006">
        <v>293927598</v>
      </c>
      <c r="G4006">
        <v>320729196</v>
      </c>
      <c r="H4006">
        <v>393324570</v>
      </c>
      <c r="I4006">
        <v>288633969</v>
      </c>
      <c r="J4006">
        <v>316245333</v>
      </c>
      <c r="K4006">
        <v>264890696</v>
      </c>
      <c r="L4006">
        <v>227262594</v>
      </c>
      <c r="M4006">
        <v>116429385</v>
      </c>
      <c r="N4006">
        <v>139964582</v>
      </c>
      <c r="O4006">
        <v>111163955</v>
      </c>
      <c r="P4006">
        <v>159</v>
      </c>
      <c r="Q4006" t="s">
        <v>8357</v>
      </c>
    </row>
    <row r="4007" spans="1:17" x14ac:dyDescent="0.3">
      <c r="A4007" t="s">
        <v>4664</v>
      </c>
      <c r="B4007" t="str">
        <f>"300251"</f>
        <v>300251</v>
      </c>
      <c r="C4007" t="s">
        <v>8358</v>
      </c>
      <c r="D4007" t="s">
        <v>113</v>
      </c>
      <c r="F4007">
        <v>1431701388</v>
      </c>
      <c r="G4007">
        <v>589046117</v>
      </c>
      <c r="H4007">
        <v>2694059491</v>
      </c>
      <c r="I4007">
        <v>1565258966</v>
      </c>
      <c r="J4007">
        <v>1818731883</v>
      </c>
      <c r="K4007">
        <v>1510918777</v>
      </c>
      <c r="L4007">
        <v>665635330</v>
      </c>
      <c r="M4007">
        <v>535163063</v>
      </c>
      <c r="N4007">
        <v>1186624279</v>
      </c>
      <c r="O4007">
        <v>467104259</v>
      </c>
      <c r="P4007">
        <v>807</v>
      </c>
      <c r="Q4007" t="s">
        <v>8359</v>
      </c>
    </row>
    <row r="4008" spans="1:17" x14ac:dyDescent="0.3">
      <c r="A4008" t="s">
        <v>4664</v>
      </c>
      <c r="B4008" t="str">
        <f>"300252"</f>
        <v>300252</v>
      </c>
      <c r="C4008" t="s">
        <v>8360</v>
      </c>
      <c r="D4008" t="s">
        <v>1136</v>
      </c>
      <c r="F4008">
        <v>2250784707</v>
      </c>
      <c r="G4008">
        <v>1752134075</v>
      </c>
      <c r="H4008">
        <v>1872211848</v>
      </c>
      <c r="I4008">
        <v>1772791039</v>
      </c>
      <c r="J4008">
        <v>1318626495</v>
      </c>
      <c r="K4008">
        <v>1249056294</v>
      </c>
      <c r="L4008">
        <v>896119381</v>
      </c>
      <c r="M4008">
        <v>734152987</v>
      </c>
      <c r="N4008">
        <v>303144648</v>
      </c>
      <c r="O4008">
        <v>433710051</v>
      </c>
      <c r="P4008">
        <v>217</v>
      </c>
      <c r="Q4008" t="s">
        <v>8361</v>
      </c>
    </row>
    <row r="4009" spans="1:17" x14ac:dyDescent="0.3">
      <c r="A4009" t="s">
        <v>4664</v>
      </c>
      <c r="B4009" t="str">
        <f>"300253"</f>
        <v>300253</v>
      </c>
      <c r="C4009" t="s">
        <v>8362</v>
      </c>
      <c r="D4009" t="s">
        <v>945</v>
      </c>
      <c r="F4009">
        <v>1358823878</v>
      </c>
      <c r="G4009">
        <v>967287272</v>
      </c>
      <c r="H4009">
        <v>888328831</v>
      </c>
      <c r="I4009">
        <v>789999651</v>
      </c>
      <c r="J4009">
        <v>525865578</v>
      </c>
      <c r="K4009">
        <v>501830544</v>
      </c>
      <c r="L4009">
        <v>336626056</v>
      </c>
      <c r="M4009">
        <v>185958855</v>
      </c>
      <c r="N4009">
        <v>148793642</v>
      </c>
      <c r="O4009">
        <v>118249618</v>
      </c>
      <c r="P4009">
        <v>935</v>
      </c>
      <c r="Q4009" t="s">
        <v>8363</v>
      </c>
    </row>
    <row r="4010" spans="1:17" x14ac:dyDescent="0.3">
      <c r="A4010" t="s">
        <v>4664</v>
      </c>
      <c r="B4010" t="str">
        <f>"300254"</f>
        <v>300254</v>
      </c>
      <c r="C4010" t="s">
        <v>8364</v>
      </c>
      <c r="D4010" t="s">
        <v>143</v>
      </c>
      <c r="F4010">
        <v>766404512</v>
      </c>
      <c r="G4010">
        <v>654035390</v>
      </c>
      <c r="H4010">
        <v>907728846</v>
      </c>
      <c r="I4010">
        <v>856663150</v>
      </c>
      <c r="J4010">
        <v>644323843</v>
      </c>
      <c r="K4010">
        <v>545417710</v>
      </c>
      <c r="L4010">
        <v>494768165</v>
      </c>
      <c r="M4010">
        <v>488462644</v>
      </c>
      <c r="N4010">
        <v>352391136</v>
      </c>
      <c r="O4010">
        <v>270206215</v>
      </c>
      <c r="P4010">
        <v>82</v>
      </c>
      <c r="Q4010" t="s">
        <v>8365</v>
      </c>
    </row>
    <row r="4011" spans="1:17" x14ac:dyDescent="0.3">
      <c r="A4011" t="s">
        <v>4664</v>
      </c>
      <c r="B4011" t="str">
        <f>"300255"</f>
        <v>300255</v>
      </c>
      <c r="C4011" t="s">
        <v>8366</v>
      </c>
      <c r="D4011" t="s">
        <v>143</v>
      </c>
      <c r="F4011">
        <v>2385154405</v>
      </c>
      <c r="G4011">
        <v>1670811730</v>
      </c>
      <c r="H4011">
        <v>1593357998</v>
      </c>
      <c r="I4011">
        <v>1440067403</v>
      </c>
      <c r="J4011">
        <v>896541110</v>
      </c>
      <c r="K4011">
        <v>947402753</v>
      </c>
      <c r="L4011">
        <v>735474446</v>
      </c>
      <c r="M4011">
        <v>612872698</v>
      </c>
      <c r="N4011">
        <v>522597998</v>
      </c>
      <c r="O4011">
        <v>374015510</v>
      </c>
      <c r="P4011">
        <v>175</v>
      </c>
      <c r="Q4011" t="s">
        <v>8367</v>
      </c>
    </row>
    <row r="4012" spans="1:17" x14ac:dyDescent="0.3">
      <c r="A4012" t="s">
        <v>4664</v>
      </c>
      <c r="B4012" t="str">
        <f>"300256"</f>
        <v>300256</v>
      </c>
      <c r="C4012" t="s">
        <v>8368</v>
      </c>
      <c r="D4012" t="s">
        <v>313</v>
      </c>
      <c r="F4012">
        <v>3037676912</v>
      </c>
      <c r="G4012">
        <v>4332388016</v>
      </c>
      <c r="H4012">
        <v>3385163592</v>
      </c>
      <c r="I4012">
        <v>3457825425</v>
      </c>
      <c r="J4012">
        <v>3870946794</v>
      </c>
      <c r="K4012">
        <v>3483661580</v>
      </c>
      <c r="L4012">
        <v>1903274343</v>
      </c>
      <c r="M4012">
        <v>1004138017</v>
      </c>
      <c r="N4012">
        <v>372671811</v>
      </c>
      <c r="O4012">
        <v>408455274</v>
      </c>
      <c r="P4012">
        <v>206</v>
      </c>
      <c r="Q4012" t="s">
        <v>8369</v>
      </c>
    </row>
    <row r="4013" spans="1:17" x14ac:dyDescent="0.3">
      <c r="A4013" t="s">
        <v>4664</v>
      </c>
      <c r="B4013" t="str">
        <f>"300257"</f>
        <v>300257</v>
      </c>
      <c r="C4013" t="s">
        <v>8370</v>
      </c>
      <c r="D4013" t="s">
        <v>560</v>
      </c>
      <c r="F4013">
        <v>2699193284</v>
      </c>
      <c r="G4013">
        <v>2243693950</v>
      </c>
      <c r="H4013">
        <v>2011560292</v>
      </c>
      <c r="I4013">
        <v>2167531582</v>
      </c>
      <c r="J4013">
        <v>1581427539</v>
      </c>
      <c r="K4013">
        <v>1222913190</v>
      </c>
      <c r="L4013">
        <v>1265974084</v>
      </c>
      <c r="M4013">
        <v>1583367134</v>
      </c>
      <c r="N4013">
        <v>1664010973</v>
      </c>
      <c r="O4013">
        <v>1418898436</v>
      </c>
      <c r="P4013">
        <v>148</v>
      </c>
      <c r="Q4013" t="s">
        <v>8371</v>
      </c>
    </row>
    <row r="4014" spans="1:17" x14ac:dyDescent="0.3">
      <c r="A4014" t="s">
        <v>4664</v>
      </c>
      <c r="B4014" t="str">
        <f>"300258"</f>
        <v>300258</v>
      </c>
      <c r="C4014" t="s">
        <v>8372</v>
      </c>
      <c r="D4014" t="s">
        <v>348</v>
      </c>
      <c r="F4014">
        <v>1052454281</v>
      </c>
      <c r="G4014">
        <v>838168593</v>
      </c>
      <c r="H4014">
        <v>823408927</v>
      </c>
      <c r="I4014">
        <v>1008896030</v>
      </c>
      <c r="J4014">
        <v>855930104</v>
      </c>
      <c r="K4014">
        <v>666833732</v>
      </c>
      <c r="L4014">
        <v>585202359</v>
      </c>
      <c r="M4014">
        <v>459347775</v>
      </c>
      <c r="N4014">
        <v>393549091</v>
      </c>
      <c r="O4014">
        <v>353715484</v>
      </c>
      <c r="P4014">
        <v>330</v>
      </c>
      <c r="Q4014" t="s">
        <v>8373</v>
      </c>
    </row>
    <row r="4015" spans="1:17" x14ac:dyDescent="0.3">
      <c r="A4015" t="s">
        <v>4664</v>
      </c>
      <c r="B4015" t="str">
        <f>"300259"</f>
        <v>300259</v>
      </c>
      <c r="C4015" t="s">
        <v>8374</v>
      </c>
      <c r="D4015" t="s">
        <v>2551</v>
      </c>
      <c r="F4015">
        <v>750817047</v>
      </c>
      <c r="G4015">
        <v>745541122</v>
      </c>
      <c r="H4015">
        <v>697460974</v>
      </c>
      <c r="I4015">
        <v>522990565</v>
      </c>
      <c r="J4015">
        <v>429527756</v>
      </c>
      <c r="K4015">
        <v>315992273</v>
      </c>
      <c r="L4015">
        <v>266579679</v>
      </c>
      <c r="M4015">
        <v>251663533</v>
      </c>
      <c r="N4015">
        <v>230431247</v>
      </c>
      <c r="O4015">
        <v>170343561</v>
      </c>
      <c r="P4015">
        <v>360</v>
      </c>
      <c r="Q4015" t="s">
        <v>8375</v>
      </c>
    </row>
    <row r="4016" spans="1:17" x14ac:dyDescent="0.3">
      <c r="A4016" t="s">
        <v>4664</v>
      </c>
      <c r="B4016" t="str">
        <f>"300260"</f>
        <v>300260</v>
      </c>
      <c r="C4016" t="s">
        <v>8376</v>
      </c>
      <c r="D4016" t="s">
        <v>274</v>
      </c>
      <c r="F4016">
        <v>1382423162</v>
      </c>
      <c r="G4016">
        <v>937882056</v>
      </c>
      <c r="H4016">
        <v>978959480</v>
      </c>
      <c r="I4016">
        <v>734950128</v>
      </c>
      <c r="J4016">
        <v>381614076</v>
      </c>
      <c r="K4016">
        <v>331784913</v>
      </c>
      <c r="L4016">
        <v>324819141</v>
      </c>
      <c r="M4016">
        <v>301886007</v>
      </c>
      <c r="N4016">
        <v>278701994</v>
      </c>
      <c r="O4016">
        <v>214300689</v>
      </c>
      <c r="P4016">
        <v>211</v>
      </c>
      <c r="Q4016" t="s">
        <v>8377</v>
      </c>
    </row>
    <row r="4017" spans="1:17" x14ac:dyDescent="0.3">
      <c r="A4017" t="s">
        <v>4664</v>
      </c>
      <c r="B4017" t="str">
        <f>"300261"</f>
        <v>300261</v>
      </c>
      <c r="C4017" t="s">
        <v>8378</v>
      </c>
      <c r="D4017" t="s">
        <v>853</v>
      </c>
      <c r="F4017">
        <v>1949619609</v>
      </c>
      <c r="G4017">
        <v>1698046918</v>
      </c>
      <c r="H4017">
        <v>1278996356</v>
      </c>
      <c r="I4017">
        <v>1035453576</v>
      </c>
      <c r="J4017">
        <v>764685677</v>
      </c>
      <c r="K4017">
        <v>492207077</v>
      </c>
      <c r="L4017">
        <v>495081812</v>
      </c>
      <c r="M4017">
        <v>431825637</v>
      </c>
      <c r="N4017">
        <v>242754010</v>
      </c>
      <c r="O4017">
        <v>234000286</v>
      </c>
      <c r="P4017">
        <v>139</v>
      </c>
      <c r="Q4017" t="s">
        <v>8379</v>
      </c>
    </row>
    <row r="4018" spans="1:17" x14ac:dyDescent="0.3">
      <c r="A4018" t="s">
        <v>4664</v>
      </c>
      <c r="B4018" t="str">
        <f>"300262"</f>
        <v>300262</v>
      </c>
      <c r="C4018" t="s">
        <v>8380</v>
      </c>
      <c r="D4018" t="s">
        <v>33</v>
      </c>
      <c r="F4018">
        <v>524256900</v>
      </c>
      <c r="G4018">
        <v>443040783</v>
      </c>
      <c r="H4018">
        <v>514136842</v>
      </c>
      <c r="I4018">
        <v>281512070</v>
      </c>
      <c r="J4018">
        <v>680182748</v>
      </c>
      <c r="K4018">
        <v>240355467</v>
      </c>
      <c r="L4018">
        <v>233117904</v>
      </c>
      <c r="M4018">
        <v>230510992</v>
      </c>
      <c r="N4018">
        <v>75593138</v>
      </c>
      <c r="O4018">
        <v>50606726</v>
      </c>
      <c r="P4018">
        <v>127</v>
      </c>
      <c r="Q4018" t="s">
        <v>8381</v>
      </c>
    </row>
    <row r="4019" spans="1:17" x14ac:dyDescent="0.3">
      <c r="A4019" t="s">
        <v>4664</v>
      </c>
      <c r="B4019" t="str">
        <f>"300263"</f>
        <v>300263</v>
      </c>
      <c r="C4019" t="s">
        <v>8382</v>
      </c>
      <c r="D4019" t="s">
        <v>560</v>
      </c>
      <c r="F4019">
        <v>1320909147</v>
      </c>
      <c r="G4019">
        <v>835292940</v>
      </c>
      <c r="H4019">
        <v>1126445968</v>
      </c>
      <c r="I4019">
        <v>696267211</v>
      </c>
      <c r="J4019">
        <v>992879792</v>
      </c>
      <c r="K4019">
        <v>738993087</v>
      </c>
      <c r="L4019">
        <v>564953238</v>
      </c>
      <c r="M4019">
        <v>460947912</v>
      </c>
      <c r="N4019">
        <v>276107315</v>
      </c>
      <c r="O4019">
        <v>187479128</v>
      </c>
      <c r="P4019">
        <v>232</v>
      </c>
      <c r="Q4019" t="s">
        <v>8383</v>
      </c>
    </row>
    <row r="4020" spans="1:17" x14ac:dyDescent="0.3">
      <c r="A4020" t="s">
        <v>4664</v>
      </c>
      <c r="B4020" t="str">
        <f>"300264"</f>
        <v>300264</v>
      </c>
      <c r="C4020" t="s">
        <v>8384</v>
      </c>
      <c r="D4020" t="s">
        <v>316</v>
      </c>
      <c r="F4020">
        <v>75534843</v>
      </c>
      <c r="G4020">
        <v>142535567</v>
      </c>
      <c r="H4020">
        <v>190664047</v>
      </c>
      <c r="I4020">
        <v>202519991</v>
      </c>
      <c r="J4020">
        <v>117773622</v>
      </c>
      <c r="K4020">
        <v>114184629</v>
      </c>
      <c r="L4020">
        <v>105397333</v>
      </c>
      <c r="M4020">
        <v>74681332</v>
      </c>
      <c r="N4020">
        <v>131378612</v>
      </c>
      <c r="O4020">
        <v>90490132</v>
      </c>
      <c r="P4020">
        <v>132</v>
      </c>
      <c r="Q4020" t="s">
        <v>8385</v>
      </c>
    </row>
    <row r="4021" spans="1:17" x14ac:dyDescent="0.3">
      <c r="A4021" t="s">
        <v>4664</v>
      </c>
      <c r="B4021" t="str">
        <f>"300265"</f>
        <v>300265</v>
      </c>
      <c r="C4021" t="s">
        <v>8386</v>
      </c>
      <c r="D4021" t="s">
        <v>1164</v>
      </c>
      <c r="F4021">
        <v>1243999924</v>
      </c>
      <c r="G4021">
        <v>955745436</v>
      </c>
      <c r="H4021">
        <v>1225038860</v>
      </c>
      <c r="I4021">
        <v>1070797698</v>
      </c>
      <c r="J4021">
        <v>1236511949</v>
      </c>
      <c r="K4021">
        <v>599558167</v>
      </c>
      <c r="L4021">
        <v>590959020</v>
      </c>
      <c r="M4021">
        <v>480012067</v>
      </c>
      <c r="N4021">
        <v>554175355</v>
      </c>
      <c r="O4021">
        <v>427732329</v>
      </c>
      <c r="P4021">
        <v>162</v>
      </c>
      <c r="Q4021" t="s">
        <v>8387</v>
      </c>
    </row>
    <row r="4022" spans="1:17" x14ac:dyDescent="0.3">
      <c r="A4022" t="s">
        <v>4664</v>
      </c>
      <c r="B4022" t="str">
        <f>"300266"</f>
        <v>300266</v>
      </c>
      <c r="C4022" t="s">
        <v>8388</v>
      </c>
      <c r="D4022" t="s">
        <v>33</v>
      </c>
      <c r="F4022">
        <v>1426909091</v>
      </c>
      <c r="G4022">
        <v>1504515613</v>
      </c>
      <c r="H4022">
        <v>1688123656</v>
      </c>
      <c r="I4022">
        <v>1969647999</v>
      </c>
      <c r="J4022">
        <v>1230296677</v>
      </c>
      <c r="K4022">
        <v>917502401</v>
      </c>
      <c r="L4022">
        <v>559131100</v>
      </c>
      <c r="M4022">
        <v>472600697</v>
      </c>
      <c r="N4022">
        <v>252467888</v>
      </c>
      <c r="O4022">
        <v>223452642</v>
      </c>
      <c r="P4022">
        <v>145</v>
      </c>
      <c r="Q4022" t="s">
        <v>8389</v>
      </c>
    </row>
    <row r="4023" spans="1:17" x14ac:dyDescent="0.3">
      <c r="A4023" t="s">
        <v>4664</v>
      </c>
      <c r="B4023" t="str">
        <f>"300267"</f>
        <v>300267</v>
      </c>
      <c r="C4023" t="s">
        <v>8390</v>
      </c>
      <c r="D4023" t="s">
        <v>496</v>
      </c>
      <c r="F4023">
        <v>1585399514</v>
      </c>
      <c r="G4023">
        <v>1837606033</v>
      </c>
      <c r="H4023">
        <v>2048221428</v>
      </c>
      <c r="I4023">
        <v>1633279762</v>
      </c>
      <c r="J4023">
        <v>2233466377</v>
      </c>
      <c r="K4023">
        <v>1850685707</v>
      </c>
      <c r="L4023">
        <v>1210097729</v>
      </c>
      <c r="M4023">
        <v>920669710</v>
      </c>
      <c r="N4023">
        <v>572371937</v>
      </c>
      <c r="O4023">
        <v>700460960</v>
      </c>
      <c r="P4023">
        <v>237</v>
      </c>
      <c r="Q4023" t="s">
        <v>8391</v>
      </c>
    </row>
    <row r="4024" spans="1:17" x14ac:dyDescent="0.3">
      <c r="A4024" t="s">
        <v>4664</v>
      </c>
      <c r="B4024" t="str">
        <f>"300268"</f>
        <v>300268</v>
      </c>
      <c r="C4024" t="s">
        <v>8392</v>
      </c>
      <c r="D4024" t="s">
        <v>445</v>
      </c>
      <c r="F4024">
        <v>3635056327</v>
      </c>
      <c r="G4024">
        <v>3537884289</v>
      </c>
      <c r="H4024">
        <v>3023063038</v>
      </c>
      <c r="I4024">
        <v>1203951800</v>
      </c>
      <c r="J4024">
        <v>180248211</v>
      </c>
      <c r="K4024">
        <v>2323496</v>
      </c>
      <c r="L4024">
        <v>8085914</v>
      </c>
      <c r="M4024">
        <v>75781218</v>
      </c>
      <c r="N4024">
        <v>190185170</v>
      </c>
      <c r="O4024">
        <v>219988308</v>
      </c>
      <c r="P4024">
        <v>87</v>
      </c>
      <c r="Q4024" t="s">
        <v>8393</v>
      </c>
    </row>
    <row r="4025" spans="1:17" x14ac:dyDescent="0.3">
      <c r="A4025" t="s">
        <v>4664</v>
      </c>
      <c r="B4025" t="str">
        <f>"300269"</f>
        <v>300269</v>
      </c>
      <c r="C4025" t="s">
        <v>8394</v>
      </c>
      <c r="D4025" t="s">
        <v>207</v>
      </c>
      <c r="F4025">
        <v>775998393</v>
      </c>
      <c r="G4025">
        <v>976323552</v>
      </c>
      <c r="H4025">
        <v>2557595060</v>
      </c>
      <c r="I4025">
        <v>3000985094</v>
      </c>
      <c r="J4025">
        <v>2781391786</v>
      </c>
      <c r="K4025">
        <v>1894972946</v>
      </c>
      <c r="L4025">
        <v>1068279365</v>
      </c>
      <c r="M4025">
        <v>608427223</v>
      </c>
      <c r="N4025">
        <v>460550578</v>
      </c>
      <c r="O4025">
        <v>367962848</v>
      </c>
      <c r="P4025">
        <v>125</v>
      </c>
      <c r="Q4025" t="s">
        <v>8395</v>
      </c>
    </row>
    <row r="4026" spans="1:17" x14ac:dyDescent="0.3">
      <c r="A4026" t="s">
        <v>4664</v>
      </c>
      <c r="B4026" t="str">
        <f>"300270"</f>
        <v>300270</v>
      </c>
      <c r="C4026" t="s">
        <v>8396</v>
      </c>
      <c r="D4026" t="s">
        <v>2953</v>
      </c>
      <c r="F4026">
        <v>140374829</v>
      </c>
      <c r="G4026">
        <v>200733555</v>
      </c>
      <c r="H4026">
        <v>182584122</v>
      </c>
      <c r="I4026">
        <v>135680643</v>
      </c>
      <c r="J4026">
        <v>129137839</v>
      </c>
      <c r="K4026">
        <v>219967503</v>
      </c>
      <c r="L4026">
        <v>73631681</v>
      </c>
      <c r="M4026">
        <v>57961558</v>
      </c>
      <c r="N4026">
        <v>85724378</v>
      </c>
      <c r="O4026">
        <v>62191283</v>
      </c>
      <c r="P4026">
        <v>136</v>
      </c>
      <c r="Q4026" t="s">
        <v>8397</v>
      </c>
    </row>
    <row r="4027" spans="1:17" x14ac:dyDescent="0.3">
      <c r="A4027" t="s">
        <v>4664</v>
      </c>
      <c r="B4027" t="str">
        <f>"300271"</f>
        <v>300271</v>
      </c>
      <c r="C4027" t="s">
        <v>8398</v>
      </c>
      <c r="D4027" t="s">
        <v>316</v>
      </c>
      <c r="F4027">
        <v>2383331606</v>
      </c>
      <c r="G4027">
        <v>1605831247</v>
      </c>
      <c r="H4027">
        <v>1652443208</v>
      </c>
      <c r="I4027">
        <v>1335733783</v>
      </c>
      <c r="J4027">
        <v>942217047</v>
      </c>
      <c r="K4027">
        <v>858416864</v>
      </c>
      <c r="L4027">
        <v>721773866</v>
      </c>
      <c r="M4027">
        <v>686860709</v>
      </c>
      <c r="N4027">
        <v>323302795</v>
      </c>
      <c r="O4027">
        <v>278999933</v>
      </c>
      <c r="P4027">
        <v>590</v>
      </c>
      <c r="Q4027" t="s">
        <v>8399</v>
      </c>
    </row>
    <row r="4028" spans="1:17" x14ac:dyDescent="0.3">
      <c r="A4028" t="s">
        <v>4664</v>
      </c>
      <c r="B4028" t="str">
        <f>"300272"</f>
        <v>300272</v>
      </c>
      <c r="C4028" t="s">
        <v>8400</v>
      </c>
      <c r="D4028" t="s">
        <v>5712</v>
      </c>
      <c r="F4028">
        <v>1075512486</v>
      </c>
      <c r="G4028">
        <v>803284781</v>
      </c>
      <c r="H4028">
        <v>712239929</v>
      </c>
      <c r="I4028">
        <v>624229761</v>
      </c>
      <c r="J4028">
        <v>471636945</v>
      </c>
      <c r="K4028">
        <v>400565686</v>
      </c>
      <c r="L4028">
        <v>305247767</v>
      </c>
      <c r="M4028">
        <v>275319465</v>
      </c>
      <c r="N4028">
        <v>226801717</v>
      </c>
      <c r="O4028">
        <v>197566898</v>
      </c>
      <c r="P4028">
        <v>131</v>
      </c>
      <c r="Q4028" t="s">
        <v>8401</v>
      </c>
    </row>
    <row r="4029" spans="1:17" x14ac:dyDescent="0.3">
      <c r="A4029" t="s">
        <v>4664</v>
      </c>
      <c r="B4029" t="str">
        <f>"300273"</f>
        <v>300273</v>
      </c>
      <c r="C4029" t="s">
        <v>8402</v>
      </c>
      <c r="D4029" t="s">
        <v>122</v>
      </c>
      <c r="F4029">
        <v>797902503</v>
      </c>
      <c r="G4029">
        <v>1242640420</v>
      </c>
      <c r="H4029">
        <v>1122936771</v>
      </c>
      <c r="I4029">
        <v>1204189095</v>
      </c>
      <c r="J4029">
        <v>1016243282</v>
      </c>
      <c r="K4029">
        <v>726333268</v>
      </c>
      <c r="L4029">
        <v>533061522</v>
      </c>
      <c r="M4029">
        <v>453120841</v>
      </c>
      <c r="N4029">
        <v>323822253</v>
      </c>
      <c r="O4029">
        <v>334161494</v>
      </c>
      <c r="P4029">
        <v>143</v>
      </c>
      <c r="Q4029" t="s">
        <v>8403</v>
      </c>
    </row>
    <row r="4030" spans="1:17" x14ac:dyDescent="0.3">
      <c r="A4030" t="s">
        <v>4664</v>
      </c>
      <c r="B4030" t="str">
        <f>"300274"</f>
        <v>300274</v>
      </c>
      <c r="C4030" t="s">
        <v>8404</v>
      </c>
      <c r="D4030" t="s">
        <v>3797</v>
      </c>
      <c r="F4030">
        <v>14275352966</v>
      </c>
      <c r="G4030">
        <v>12039951078</v>
      </c>
      <c r="H4030">
        <v>8578439187</v>
      </c>
      <c r="I4030">
        <v>5721712687</v>
      </c>
      <c r="J4030">
        <v>5110249773</v>
      </c>
      <c r="K4030">
        <v>3074364913</v>
      </c>
      <c r="L4030">
        <v>2386402001</v>
      </c>
      <c r="M4030">
        <v>1207420135</v>
      </c>
      <c r="N4030">
        <v>1040274899</v>
      </c>
      <c r="O4030">
        <v>445559672</v>
      </c>
      <c r="P4030">
        <v>2195</v>
      </c>
      <c r="Q4030" t="s">
        <v>8405</v>
      </c>
    </row>
    <row r="4031" spans="1:17" x14ac:dyDescent="0.3">
      <c r="A4031" t="s">
        <v>4664</v>
      </c>
      <c r="B4031" t="str">
        <f>"300275"</f>
        <v>300275</v>
      </c>
      <c r="C4031" t="s">
        <v>8406</v>
      </c>
      <c r="D4031" t="s">
        <v>395</v>
      </c>
      <c r="F4031">
        <v>163120119</v>
      </c>
      <c r="G4031">
        <v>123657281</v>
      </c>
      <c r="H4031">
        <v>170427822</v>
      </c>
      <c r="I4031">
        <v>143658408</v>
      </c>
      <c r="J4031">
        <v>160353096</v>
      </c>
      <c r="K4031">
        <v>117233447</v>
      </c>
      <c r="L4031">
        <v>107441864</v>
      </c>
      <c r="M4031">
        <v>107500042</v>
      </c>
      <c r="N4031">
        <v>123156677</v>
      </c>
      <c r="O4031">
        <v>129364419</v>
      </c>
      <c r="P4031">
        <v>89</v>
      </c>
      <c r="Q4031" t="s">
        <v>8407</v>
      </c>
    </row>
    <row r="4032" spans="1:17" x14ac:dyDescent="0.3">
      <c r="A4032" t="s">
        <v>4664</v>
      </c>
      <c r="B4032" t="str">
        <f>"300276"</f>
        <v>300276</v>
      </c>
      <c r="C4032" t="s">
        <v>8408</v>
      </c>
      <c r="D4032" t="s">
        <v>2911</v>
      </c>
      <c r="F4032">
        <v>1068885838</v>
      </c>
      <c r="G4032">
        <v>1124758076</v>
      </c>
      <c r="H4032">
        <v>1494887364</v>
      </c>
      <c r="I4032">
        <v>1610560890</v>
      </c>
      <c r="J4032">
        <v>313195955</v>
      </c>
      <c r="K4032">
        <v>288237476</v>
      </c>
      <c r="L4032">
        <v>280882117</v>
      </c>
      <c r="M4032">
        <v>239875197</v>
      </c>
      <c r="N4032">
        <v>248718773</v>
      </c>
      <c r="O4032">
        <v>141260308</v>
      </c>
      <c r="P4032">
        <v>138</v>
      </c>
      <c r="Q4032" t="s">
        <v>8409</v>
      </c>
    </row>
    <row r="4033" spans="1:17" x14ac:dyDescent="0.3">
      <c r="A4033" t="s">
        <v>4664</v>
      </c>
      <c r="B4033" t="str">
        <f>"300277"</f>
        <v>300277</v>
      </c>
      <c r="C4033" t="s">
        <v>8410</v>
      </c>
      <c r="D4033" t="s">
        <v>316</v>
      </c>
      <c r="F4033">
        <v>193733860</v>
      </c>
      <c r="G4033">
        <v>249835652</v>
      </c>
      <c r="H4033">
        <v>311910313</v>
      </c>
      <c r="I4033">
        <v>245236121</v>
      </c>
      <c r="J4033">
        <v>214568244</v>
      </c>
      <c r="K4033">
        <v>240163667</v>
      </c>
      <c r="L4033">
        <v>274298630</v>
      </c>
      <c r="M4033">
        <v>376661453</v>
      </c>
      <c r="N4033">
        <v>231498562</v>
      </c>
      <c r="O4033">
        <v>170044326</v>
      </c>
      <c r="P4033">
        <v>73</v>
      </c>
      <c r="Q4033" t="s">
        <v>8411</v>
      </c>
    </row>
    <row r="4034" spans="1:17" x14ac:dyDescent="0.3">
      <c r="A4034" t="s">
        <v>4664</v>
      </c>
      <c r="B4034" t="str">
        <f>"300278"</f>
        <v>300278</v>
      </c>
      <c r="C4034" t="s">
        <v>8412</v>
      </c>
      <c r="D4034" t="s">
        <v>2423</v>
      </c>
      <c r="F4034">
        <v>1110910921</v>
      </c>
      <c r="G4034">
        <v>1017690830</v>
      </c>
      <c r="H4034">
        <v>1428005377</v>
      </c>
      <c r="I4034">
        <v>2096580074</v>
      </c>
      <c r="J4034">
        <v>2286057867</v>
      </c>
      <c r="K4034">
        <v>1572312827</v>
      </c>
      <c r="L4034">
        <v>794922673</v>
      </c>
      <c r="M4034">
        <v>166306586</v>
      </c>
      <c r="N4034">
        <v>114338742</v>
      </c>
      <c r="O4034">
        <v>93357628</v>
      </c>
      <c r="P4034">
        <v>98</v>
      </c>
      <c r="Q4034" t="s">
        <v>8413</v>
      </c>
    </row>
    <row r="4035" spans="1:17" x14ac:dyDescent="0.3">
      <c r="A4035" t="s">
        <v>4664</v>
      </c>
      <c r="B4035" t="str">
        <f>"300279"</f>
        <v>300279</v>
      </c>
      <c r="C4035" t="s">
        <v>8414</v>
      </c>
      <c r="D4035" t="s">
        <v>313</v>
      </c>
      <c r="F4035">
        <v>1662352629</v>
      </c>
      <c r="G4035">
        <v>1097070040</v>
      </c>
      <c r="H4035">
        <v>1005115647</v>
      </c>
      <c r="I4035">
        <v>1072897114</v>
      </c>
      <c r="J4035">
        <v>967014377</v>
      </c>
      <c r="K4035">
        <v>902886622</v>
      </c>
      <c r="L4035">
        <v>553714166</v>
      </c>
      <c r="M4035">
        <v>423860416</v>
      </c>
      <c r="N4035">
        <v>255806547</v>
      </c>
      <c r="O4035">
        <v>224496944</v>
      </c>
      <c r="P4035">
        <v>166</v>
      </c>
      <c r="Q4035" t="s">
        <v>8415</v>
      </c>
    </row>
    <row r="4036" spans="1:17" x14ac:dyDescent="0.3">
      <c r="A4036" t="s">
        <v>4664</v>
      </c>
      <c r="B4036" t="str">
        <f>"300280"</f>
        <v>300280</v>
      </c>
      <c r="C4036" t="s">
        <v>8416</v>
      </c>
      <c r="D4036" t="s">
        <v>5063</v>
      </c>
      <c r="F4036">
        <v>716087668</v>
      </c>
      <c r="G4036">
        <v>778994235</v>
      </c>
      <c r="H4036">
        <v>417981645</v>
      </c>
      <c r="I4036">
        <v>534707376</v>
      </c>
      <c r="J4036">
        <v>299334781</v>
      </c>
      <c r="K4036">
        <v>225091898</v>
      </c>
      <c r="L4036">
        <v>217953098</v>
      </c>
      <c r="M4036">
        <v>311436881</v>
      </c>
      <c r="N4036">
        <v>244828880</v>
      </c>
      <c r="O4036">
        <v>307637135</v>
      </c>
      <c r="P4036">
        <v>144</v>
      </c>
      <c r="Q4036" t="s">
        <v>8417</v>
      </c>
    </row>
    <row r="4037" spans="1:17" x14ac:dyDescent="0.3">
      <c r="A4037" t="s">
        <v>4664</v>
      </c>
      <c r="B4037" t="str">
        <f>"300281"</f>
        <v>300281</v>
      </c>
      <c r="C4037" t="s">
        <v>8418</v>
      </c>
      <c r="D4037" t="s">
        <v>741</v>
      </c>
      <c r="F4037">
        <v>391061858</v>
      </c>
      <c r="G4037">
        <v>326752086</v>
      </c>
      <c r="H4037">
        <v>288920892</v>
      </c>
      <c r="I4037">
        <v>369057947</v>
      </c>
      <c r="J4037">
        <v>326218044</v>
      </c>
      <c r="K4037">
        <v>264923998</v>
      </c>
      <c r="L4037">
        <v>249973620</v>
      </c>
      <c r="M4037">
        <v>205357666</v>
      </c>
      <c r="N4037">
        <v>171719301</v>
      </c>
      <c r="O4037">
        <v>141891849</v>
      </c>
      <c r="P4037">
        <v>48</v>
      </c>
      <c r="Q4037" t="s">
        <v>8419</v>
      </c>
    </row>
    <row r="4038" spans="1:17" x14ac:dyDescent="0.3">
      <c r="A4038" t="s">
        <v>4664</v>
      </c>
      <c r="B4038" t="str">
        <f>"300282"</f>
        <v>300282</v>
      </c>
      <c r="C4038" t="s">
        <v>8420</v>
      </c>
      <c r="D4038" t="s">
        <v>1285</v>
      </c>
      <c r="F4038">
        <v>327175479</v>
      </c>
      <c r="G4038">
        <v>327427713</v>
      </c>
      <c r="H4038">
        <v>510368846</v>
      </c>
      <c r="I4038">
        <v>528300357</v>
      </c>
      <c r="J4038">
        <v>1477540681</v>
      </c>
      <c r="K4038">
        <v>1231105552</v>
      </c>
      <c r="L4038">
        <v>1037748651</v>
      </c>
      <c r="M4038">
        <v>1152593583</v>
      </c>
      <c r="N4038">
        <v>78154237</v>
      </c>
      <c r="O4038">
        <v>110400331</v>
      </c>
      <c r="P4038">
        <v>100</v>
      </c>
      <c r="Q4038" t="s">
        <v>8421</v>
      </c>
    </row>
    <row r="4039" spans="1:17" x14ac:dyDescent="0.3">
      <c r="A4039" t="s">
        <v>4664</v>
      </c>
      <c r="B4039" t="str">
        <f>"300283"</f>
        <v>300283</v>
      </c>
      <c r="C4039" t="s">
        <v>8422</v>
      </c>
      <c r="D4039" t="s">
        <v>657</v>
      </c>
      <c r="F4039">
        <v>1903053241</v>
      </c>
      <c r="G4039">
        <v>1209324177</v>
      </c>
      <c r="H4039">
        <v>1358202090</v>
      </c>
      <c r="I4039">
        <v>899005460</v>
      </c>
      <c r="J4039">
        <v>777339565</v>
      </c>
      <c r="K4039">
        <v>595096918</v>
      </c>
      <c r="L4039">
        <v>594514379</v>
      </c>
      <c r="M4039">
        <v>542977519</v>
      </c>
      <c r="N4039">
        <v>612589892</v>
      </c>
      <c r="O4039">
        <v>493525396</v>
      </c>
      <c r="P4039">
        <v>58</v>
      </c>
      <c r="Q4039" t="s">
        <v>8423</v>
      </c>
    </row>
    <row r="4040" spans="1:17" x14ac:dyDescent="0.3">
      <c r="A4040" t="s">
        <v>4664</v>
      </c>
      <c r="B4040" t="str">
        <f>"300284"</f>
        <v>300284</v>
      </c>
      <c r="C4040" t="s">
        <v>8424</v>
      </c>
      <c r="D4040" t="s">
        <v>1272</v>
      </c>
      <c r="F4040">
        <v>2937265612</v>
      </c>
      <c r="G4040">
        <v>2928387548</v>
      </c>
      <c r="H4040">
        <v>2899061954</v>
      </c>
      <c r="I4040">
        <v>4121073875</v>
      </c>
      <c r="J4040">
        <v>3724518528</v>
      </c>
      <c r="K4040">
        <v>1488962313</v>
      </c>
      <c r="L4040">
        <v>1102062912</v>
      </c>
      <c r="M4040">
        <v>1101105964</v>
      </c>
      <c r="N4040">
        <v>928696167</v>
      </c>
      <c r="O4040">
        <v>462257491</v>
      </c>
      <c r="P4040">
        <v>274</v>
      </c>
      <c r="Q4040" t="s">
        <v>8425</v>
      </c>
    </row>
    <row r="4041" spans="1:17" x14ac:dyDescent="0.3">
      <c r="A4041" t="s">
        <v>4664</v>
      </c>
      <c r="B4041" t="str">
        <f>"300285"</f>
        <v>300285</v>
      </c>
      <c r="C4041" t="s">
        <v>8426</v>
      </c>
      <c r="D4041" t="s">
        <v>386</v>
      </c>
      <c r="F4041">
        <v>1749707584</v>
      </c>
      <c r="G4041">
        <v>1528315178</v>
      </c>
      <c r="H4041">
        <v>1274985908</v>
      </c>
      <c r="I4041">
        <v>968986470</v>
      </c>
      <c r="J4041">
        <v>640359195</v>
      </c>
      <c r="K4041">
        <v>364104591</v>
      </c>
      <c r="L4041">
        <v>254971399</v>
      </c>
      <c r="M4041">
        <v>191586129</v>
      </c>
      <c r="N4041">
        <v>153036996</v>
      </c>
      <c r="O4041">
        <v>132546962</v>
      </c>
      <c r="P4041">
        <v>1537</v>
      </c>
      <c r="Q4041" t="s">
        <v>8427</v>
      </c>
    </row>
    <row r="4042" spans="1:17" x14ac:dyDescent="0.3">
      <c r="A4042" t="s">
        <v>4664</v>
      </c>
      <c r="B4042" t="str">
        <f>"300286"</f>
        <v>300286</v>
      </c>
      <c r="C4042" t="s">
        <v>8428</v>
      </c>
      <c r="D4042" t="s">
        <v>2171</v>
      </c>
      <c r="F4042">
        <v>646493005</v>
      </c>
      <c r="G4042">
        <v>566014994</v>
      </c>
      <c r="H4042">
        <v>335408224</v>
      </c>
      <c r="I4042">
        <v>239682588</v>
      </c>
      <c r="J4042">
        <v>341402677</v>
      </c>
      <c r="K4042">
        <v>281639073</v>
      </c>
      <c r="L4042">
        <v>256729553</v>
      </c>
      <c r="M4042">
        <v>230057482</v>
      </c>
      <c r="N4042">
        <v>164724019</v>
      </c>
      <c r="O4042">
        <v>132518545</v>
      </c>
      <c r="P4042">
        <v>272</v>
      </c>
      <c r="Q4042" t="s">
        <v>8429</v>
      </c>
    </row>
    <row r="4043" spans="1:17" x14ac:dyDescent="0.3">
      <c r="A4043" t="s">
        <v>4664</v>
      </c>
      <c r="B4043" t="str">
        <f>"300287"</f>
        <v>300287</v>
      </c>
      <c r="C4043" t="s">
        <v>8430</v>
      </c>
      <c r="D4043" t="s">
        <v>316</v>
      </c>
      <c r="F4043">
        <v>1161728225</v>
      </c>
      <c r="G4043">
        <v>794165911</v>
      </c>
      <c r="H4043">
        <v>1381382040</v>
      </c>
      <c r="I4043">
        <v>1612329465</v>
      </c>
      <c r="J4043">
        <v>1076537480</v>
      </c>
      <c r="K4043">
        <v>945545461</v>
      </c>
      <c r="L4043">
        <v>827273295</v>
      </c>
      <c r="M4043">
        <v>321714595</v>
      </c>
      <c r="N4043">
        <v>265189431</v>
      </c>
      <c r="O4043">
        <v>178141248</v>
      </c>
      <c r="P4043">
        <v>288</v>
      </c>
      <c r="Q4043" t="s">
        <v>8431</v>
      </c>
    </row>
    <row r="4044" spans="1:17" x14ac:dyDescent="0.3">
      <c r="A4044" t="s">
        <v>4664</v>
      </c>
      <c r="B4044" t="str">
        <f>"300288"</f>
        <v>300288</v>
      </c>
      <c r="C4044" t="s">
        <v>8432</v>
      </c>
      <c r="D4044" t="s">
        <v>316</v>
      </c>
      <c r="F4044">
        <v>360313107</v>
      </c>
      <c r="G4044">
        <v>351753007</v>
      </c>
      <c r="H4044">
        <v>389669633</v>
      </c>
      <c r="I4044">
        <v>411780579</v>
      </c>
      <c r="J4044">
        <v>344937997</v>
      </c>
      <c r="K4044">
        <v>333595146</v>
      </c>
      <c r="L4044">
        <v>228155300</v>
      </c>
      <c r="M4044">
        <v>80988087</v>
      </c>
      <c r="N4044">
        <v>102754065</v>
      </c>
      <c r="O4044">
        <v>93579881</v>
      </c>
      <c r="P4044">
        <v>221</v>
      </c>
      <c r="Q4044" t="s">
        <v>8433</v>
      </c>
    </row>
    <row r="4045" spans="1:17" x14ac:dyDescent="0.3">
      <c r="A4045" t="s">
        <v>4664</v>
      </c>
      <c r="B4045" t="str">
        <f>"300289"</f>
        <v>300289</v>
      </c>
      <c r="C4045" t="s">
        <v>8434</v>
      </c>
      <c r="D4045" t="s">
        <v>1305</v>
      </c>
      <c r="F4045">
        <v>515121818</v>
      </c>
      <c r="G4045">
        <v>420619390</v>
      </c>
      <c r="H4045">
        <v>439345007</v>
      </c>
      <c r="I4045">
        <v>564151763</v>
      </c>
      <c r="J4045">
        <v>440887136</v>
      </c>
      <c r="K4045">
        <v>485450927</v>
      </c>
      <c r="L4045">
        <v>588763620</v>
      </c>
      <c r="M4045">
        <v>221698842</v>
      </c>
      <c r="N4045">
        <v>284199399</v>
      </c>
      <c r="O4045">
        <v>229930297</v>
      </c>
      <c r="P4045">
        <v>132</v>
      </c>
      <c r="Q4045" t="s">
        <v>8435</v>
      </c>
    </row>
    <row r="4046" spans="1:17" x14ac:dyDescent="0.3">
      <c r="A4046" t="s">
        <v>4664</v>
      </c>
      <c r="B4046" t="str">
        <f>"300290"</f>
        <v>300290</v>
      </c>
      <c r="C4046" t="s">
        <v>8436</v>
      </c>
      <c r="D4046" t="s">
        <v>316</v>
      </c>
      <c r="F4046">
        <v>556495386</v>
      </c>
      <c r="G4046">
        <v>470511640</v>
      </c>
      <c r="H4046">
        <v>438561663</v>
      </c>
      <c r="I4046">
        <v>387169639</v>
      </c>
      <c r="J4046">
        <v>272706454</v>
      </c>
      <c r="K4046">
        <v>260116066</v>
      </c>
      <c r="L4046">
        <v>238652654</v>
      </c>
      <c r="M4046">
        <v>190271078</v>
      </c>
      <c r="N4046">
        <v>167208811</v>
      </c>
      <c r="O4046">
        <v>126211321</v>
      </c>
      <c r="P4046">
        <v>113</v>
      </c>
      <c r="Q4046" t="s">
        <v>8437</v>
      </c>
    </row>
    <row r="4047" spans="1:17" x14ac:dyDescent="0.3">
      <c r="A4047" t="s">
        <v>4664</v>
      </c>
      <c r="B4047" t="str">
        <f>"300291"</f>
        <v>300291</v>
      </c>
      <c r="C4047" t="s">
        <v>8438</v>
      </c>
      <c r="D4047" t="s">
        <v>113</v>
      </c>
      <c r="F4047">
        <v>567779441</v>
      </c>
      <c r="G4047">
        <v>318149431</v>
      </c>
      <c r="H4047">
        <v>318272480</v>
      </c>
      <c r="I4047">
        <v>1289634604</v>
      </c>
      <c r="J4047">
        <v>1052691429</v>
      </c>
      <c r="K4047">
        <v>1379319504</v>
      </c>
      <c r="L4047">
        <v>885567334</v>
      </c>
      <c r="M4047">
        <v>250738382</v>
      </c>
      <c r="N4047">
        <v>246825716</v>
      </c>
      <c r="O4047">
        <v>127392251</v>
      </c>
      <c r="P4047">
        <v>93</v>
      </c>
      <c r="Q4047" t="s">
        <v>8439</v>
      </c>
    </row>
    <row r="4048" spans="1:17" x14ac:dyDescent="0.3">
      <c r="A4048" t="s">
        <v>4664</v>
      </c>
      <c r="B4048" t="str">
        <f>"300292"</f>
        <v>300292</v>
      </c>
      <c r="C4048" t="s">
        <v>8440</v>
      </c>
      <c r="D4048" t="s">
        <v>5597</v>
      </c>
      <c r="F4048">
        <v>3269441598</v>
      </c>
      <c r="G4048">
        <v>2559415198</v>
      </c>
      <c r="H4048">
        <v>2845814502</v>
      </c>
      <c r="I4048">
        <v>2199983290</v>
      </c>
      <c r="J4048">
        <v>1828405974</v>
      </c>
      <c r="K4048">
        <v>1427473401</v>
      </c>
      <c r="L4048">
        <v>1029275304</v>
      </c>
      <c r="M4048">
        <v>710273762</v>
      </c>
      <c r="N4048">
        <v>158517856</v>
      </c>
      <c r="O4048">
        <v>191888560</v>
      </c>
      <c r="P4048">
        <v>205</v>
      </c>
      <c r="Q4048" t="s">
        <v>8441</v>
      </c>
    </row>
    <row r="4049" spans="1:17" x14ac:dyDescent="0.3">
      <c r="A4049" t="s">
        <v>4664</v>
      </c>
      <c r="B4049" t="str">
        <f>"300293"</f>
        <v>300293</v>
      </c>
      <c r="C4049" t="s">
        <v>8442</v>
      </c>
      <c r="D4049" t="s">
        <v>741</v>
      </c>
      <c r="F4049">
        <v>927044998</v>
      </c>
      <c r="G4049">
        <v>933271392</v>
      </c>
      <c r="H4049">
        <v>1141648257</v>
      </c>
      <c r="I4049">
        <v>1539967663</v>
      </c>
      <c r="J4049">
        <v>918655336</v>
      </c>
      <c r="K4049">
        <v>437673550</v>
      </c>
      <c r="L4049">
        <v>285038702</v>
      </c>
      <c r="M4049">
        <v>211857873</v>
      </c>
      <c r="N4049">
        <v>86101770</v>
      </c>
      <c r="O4049">
        <v>145678280</v>
      </c>
      <c r="P4049">
        <v>112</v>
      </c>
      <c r="Q4049" t="s">
        <v>8443</v>
      </c>
    </row>
    <row r="4050" spans="1:17" x14ac:dyDescent="0.3">
      <c r="A4050" t="s">
        <v>4664</v>
      </c>
      <c r="B4050" t="str">
        <f>"300294"</f>
        <v>300294</v>
      </c>
      <c r="C4050" t="s">
        <v>8444</v>
      </c>
      <c r="D4050" t="s">
        <v>378</v>
      </c>
      <c r="F4050">
        <v>2068408412</v>
      </c>
      <c r="G4050">
        <v>2000855926</v>
      </c>
      <c r="H4050">
        <v>1927692182</v>
      </c>
      <c r="I4050">
        <v>1511001466</v>
      </c>
      <c r="J4050">
        <v>754548069</v>
      </c>
      <c r="K4050">
        <v>644805643</v>
      </c>
      <c r="L4050">
        <v>379033527</v>
      </c>
      <c r="M4050">
        <v>285718035</v>
      </c>
      <c r="N4050">
        <v>182696170</v>
      </c>
      <c r="O4050">
        <v>184074121</v>
      </c>
      <c r="P4050">
        <v>495</v>
      </c>
      <c r="Q4050" t="s">
        <v>8445</v>
      </c>
    </row>
    <row r="4051" spans="1:17" x14ac:dyDescent="0.3">
      <c r="A4051" t="s">
        <v>4664</v>
      </c>
      <c r="B4051" t="str">
        <f>"300295"</f>
        <v>300295</v>
      </c>
      <c r="C4051" t="s">
        <v>8446</v>
      </c>
      <c r="D4051" t="s">
        <v>522</v>
      </c>
      <c r="F4051">
        <v>281515632</v>
      </c>
      <c r="G4051">
        <v>370346847</v>
      </c>
      <c r="H4051">
        <v>369832777</v>
      </c>
      <c r="I4051">
        <v>358889511</v>
      </c>
      <c r="J4051">
        <v>380853161</v>
      </c>
      <c r="K4051">
        <v>509090279</v>
      </c>
      <c r="L4051">
        <v>487009826</v>
      </c>
      <c r="M4051">
        <v>332873842</v>
      </c>
      <c r="N4051">
        <v>319076040</v>
      </c>
      <c r="O4051">
        <v>215339751</v>
      </c>
      <c r="P4051">
        <v>100</v>
      </c>
      <c r="Q4051" t="s">
        <v>8447</v>
      </c>
    </row>
    <row r="4052" spans="1:17" x14ac:dyDescent="0.3">
      <c r="A4052" t="s">
        <v>4664</v>
      </c>
      <c r="B4052" t="str">
        <f>"300296"</f>
        <v>300296</v>
      </c>
      <c r="C4052" t="s">
        <v>8448</v>
      </c>
      <c r="D4052" t="s">
        <v>803</v>
      </c>
      <c r="F4052">
        <v>5645175898</v>
      </c>
      <c r="G4052">
        <v>5064144342</v>
      </c>
      <c r="H4052">
        <v>5569393793</v>
      </c>
      <c r="I4052">
        <v>4809336288</v>
      </c>
      <c r="J4052">
        <v>4051319233</v>
      </c>
      <c r="K4052">
        <v>2794784788</v>
      </c>
      <c r="L4052">
        <v>961879749</v>
      </c>
      <c r="M4052">
        <v>792828073</v>
      </c>
      <c r="N4052">
        <v>413026560</v>
      </c>
      <c r="O4052">
        <v>259883653</v>
      </c>
      <c r="P4052">
        <v>1699</v>
      </c>
      <c r="Q4052" t="s">
        <v>8449</v>
      </c>
    </row>
    <row r="4053" spans="1:17" x14ac:dyDescent="0.3">
      <c r="A4053" t="s">
        <v>4664</v>
      </c>
      <c r="B4053" t="str">
        <f>"300297"</f>
        <v>300297</v>
      </c>
      <c r="C4053" t="s">
        <v>8450</v>
      </c>
      <c r="D4053" t="s">
        <v>316</v>
      </c>
      <c r="F4053">
        <v>92236233</v>
      </c>
      <c r="G4053">
        <v>403749361</v>
      </c>
      <c r="H4053">
        <v>2633175097</v>
      </c>
      <c r="I4053">
        <v>3462012171</v>
      </c>
      <c r="J4053">
        <v>3662506346</v>
      </c>
      <c r="K4053">
        <v>2144213890</v>
      </c>
      <c r="L4053">
        <v>353240196</v>
      </c>
      <c r="M4053">
        <v>250243061</v>
      </c>
      <c r="N4053">
        <v>168459056</v>
      </c>
      <c r="O4053">
        <v>147787130</v>
      </c>
      <c r="P4053">
        <v>342</v>
      </c>
      <c r="Q4053" t="s">
        <v>8451</v>
      </c>
    </row>
    <row r="4054" spans="1:17" x14ac:dyDescent="0.3">
      <c r="A4054" t="s">
        <v>4664</v>
      </c>
      <c r="B4054" t="str">
        <f>"300298"</f>
        <v>300298</v>
      </c>
      <c r="C4054" t="s">
        <v>8452</v>
      </c>
      <c r="D4054" t="s">
        <v>122</v>
      </c>
      <c r="F4054">
        <v>1725800955</v>
      </c>
      <c r="G4054">
        <v>1571242679</v>
      </c>
      <c r="H4054">
        <v>1300093492</v>
      </c>
      <c r="I4054">
        <v>1061932890</v>
      </c>
      <c r="J4054">
        <v>784379665</v>
      </c>
      <c r="K4054">
        <v>613081748</v>
      </c>
      <c r="L4054">
        <v>488773475</v>
      </c>
      <c r="M4054">
        <v>362946218</v>
      </c>
      <c r="N4054">
        <v>322552611</v>
      </c>
      <c r="O4054">
        <v>249539640</v>
      </c>
      <c r="P4054">
        <v>619</v>
      </c>
      <c r="Q4054" t="s">
        <v>8453</v>
      </c>
    </row>
    <row r="4055" spans="1:17" x14ac:dyDescent="0.3">
      <c r="A4055" t="s">
        <v>4664</v>
      </c>
      <c r="B4055" t="str">
        <f>"300299"</f>
        <v>300299</v>
      </c>
      <c r="C4055" t="s">
        <v>8454</v>
      </c>
      <c r="D4055" t="s">
        <v>517</v>
      </c>
      <c r="F4055">
        <v>341977420</v>
      </c>
      <c r="G4055">
        <v>342368130</v>
      </c>
      <c r="H4055">
        <v>346352254</v>
      </c>
      <c r="I4055">
        <v>333443485</v>
      </c>
      <c r="J4055">
        <v>325083715</v>
      </c>
      <c r="K4055">
        <v>318961254</v>
      </c>
      <c r="L4055">
        <v>222882044</v>
      </c>
      <c r="M4055">
        <v>117225135</v>
      </c>
      <c r="N4055">
        <v>79751767</v>
      </c>
      <c r="O4055">
        <v>59191764</v>
      </c>
      <c r="P4055">
        <v>187</v>
      </c>
      <c r="Q4055" t="s">
        <v>8455</v>
      </c>
    </row>
    <row r="4056" spans="1:17" x14ac:dyDescent="0.3">
      <c r="A4056" t="s">
        <v>4664</v>
      </c>
      <c r="B4056" t="str">
        <f>"300300"</f>
        <v>300300</v>
      </c>
      <c r="C4056" t="s">
        <v>8456</v>
      </c>
      <c r="D4056" t="s">
        <v>316</v>
      </c>
      <c r="F4056">
        <v>294860212</v>
      </c>
      <c r="G4056">
        <v>268330119</v>
      </c>
      <c r="H4056">
        <v>415746261</v>
      </c>
      <c r="I4056">
        <v>406352649</v>
      </c>
      <c r="J4056">
        <v>485176206</v>
      </c>
      <c r="K4056">
        <v>490108232</v>
      </c>
      <c r="L4056">
        <v>419281107</v>
      </c>
      <c r="M4056">
        <v>343096281</v>
      </c>
      <c r="N4056">
        <v>234703271</v>
      </c>
      <c r="O4056">
        <v>136218932</v>
      </c>
      <c r="P4056">
        <v>121</v>
      </c>
      <c r="Q4056" t="s">
        <v>8457</v>
      </c>
    </row>
    <row r="4057" spans="1:17" x14ac:dyDescent="0.3">
      <c r="A4057" t="s">
        <v>4664</v>
      </c>
      <c r="B4057" t="str">
        <f>"300301"</f>
        <v>300301</v>
      </c>
      <c r="C4057" t="s">
        <v>8458</v>
      </c>
      <c r="D4057" t="s">
        <v>803</v>
      </c>
      <c r="F4057">
        <v>837850753</v>
      </c>
      <c r="G4057">
        <v>917614947</v>
      </c>
      <c r="H4057">
        <v>955084179</v>
      </c>
      <c r="I4057">
        <v>926708654</v>
      </c>
      <c r="J4057">
        <v>1086666298</v>
      </c>
      <c r="K4057">
        <v>982784508</v>
      </c>
      <c r="L4057">
        <v>904797853</v>
      </c>
      <c r="M4057">
        <v>632805114</v>
      </c>
      <c r="N4057">
        <v>582024070</v>
      </c>
      <c r="O4057">
        <v>390511690</v>
      </c>
      <c r="P4057">
        <v>75</v>
      </c>
      <c r="Q4057" t="s">
        <v>8459</v>
      </c>
    </row>
    <row r="4058" spans="1:17" x14ac:dyDescent="0.3">
      <c r="A4058" t="s">
        <v>4664</v>
      </c>
      <c r="B4058" t="str">
        <f>"300302"</f>
        <v>300302</v>
      </c>
      <c r="C4058" t="s">
        <v>8460</v>
      </c>
      <c r="D4058" t="s">
        <v>236</v>
      </c>
      <c r="F4058">
        <v>307625844</v>
      </c>
      <c r="G4058">
        <v>181151806</v>
      </c>
      <c r="H4058">
        <v>250045709</v>
      </c>
      <c r="I4058">
        <v>328929511</v>
      </c>
      <c r="J4058">
        <v>246385453</v>
      </c>
      <c r="K4058">
        <v>193346950</v>
      </c>
      <c r="L4058">
        <v>210827540</v>
      </c>
      <c r="M4058">
        <v>147230400</v>
      </c>
      <c r="N4058">
        <v>127593425</v>
      </c>
      <c r="O4058">
        <v>130173192</v>
      </c>
      <c r="P4058">
        <v>146</v>
      </c>
      <c r="Q4058" t="s">
        <v>8461</v>
      </c>
    </row>
    <row r="4059" spans="1:17" x14ac:dyDescent="0.3">
      <c r="A4059" t="s">
        <v>4664</v>
      </c>
      <c r="B4059" t="str">
        <f>"300303"</f>
        <v>300303</v>
      </c>
      <c r="C4059" t="s">
        <v>8462</v>
      </c>
      <c r="D4059" t="s">
        <v>803</v>
      </c>
      <c r="F4059">
        <v>2239172146</v>
      </c>
      <c r="G4059">
        <v>1852214462</v>
      </c>
      <c r="H4059">
        <v>1633917117</v>
      </c>
      <c r="I4059">
        <v>1615638184</v>
      </c>
      <c r="J4059">
        <v>1335079391</v>
      </c>
      <c r="K4059">
        <v>962063903</v>
      </c>
      <c r="L4059">
        <v>789684077</v>
      </c>
      <c r="M4059">
        <v>656771233</v>
      </c>
      <c r="N4059">
        <v>526411936</v>
      </c>
      <c r="O4059">
        <v>306922991</v>
      </c>
      <c r="P4059">
        <v>256</v>
      </c>
      <c r="Q4059" t="s">
        <v>8463</v>
      </c>
    </row>
    <row r="4060" spans="1:17" x14ac:dyDescent="0.3">
      <c r="A4060" t="s">
        <v>4664</v>
      </c>
      <c r="B4060" t="str">
        <f>"300304"</f>
        <v>300304</v>
      </c>
      <c r="C4060" t="s">
        <v>8464</v>
      </c>
      <c r="D4060" t="s">
        <v>1415</v>
      </c>
      <c r="F4060">
        <v>706968039</v>
      </c>
      <c r="G4060">
        <v>528405139</v>
      </c>
      <c r="H4060">
        <v>507796170</v>
      </c>
      <c r="I4060">
        <v>477022028</v>
      </c>
      <c r="J4060">
        <v>434401817</v>
      </c>
      <c r="K4060">
        <v>373040375</v>
      </c>
      <c r="L4060">
        <v>358618685</v>
      </c>
      <c r="M4060">
        <v>350543817</v>
      </c>
      <c r="N4060">
        <v>294768636</v>
      </c>
      <c r="O4060">
        <v>302876840</v>
      </c>
      <c r="P4060">
        <v>114</v>
      </c>
      <c r="Q4060" t="s">
        <v>8465</v>
      </c>
    </row>
    <row r="4061" spans="1:17" x14ac:dyDescent="0.3">
      <c r="A4061" t="s">
        <v>4664</v>
      </c>
      <c r="B4061" t="str">
        <f>"300305"</f>
        <v>300305</v>
      </c>
      <c r="C4061" t="s">
        <v>8466</v>
      </c>
      <c r="D4061" t="s">
        <v>324</v>
      </c>
      <c r="F4061">
        <v>659344025</v>
      </c>
      <c r="G4061">
        <v>504627627</v>
      </c>
      <c r="H4061">
        <v>573227013</v>
      </c>
      <c r="I4061">
        <v>499594896</v>
      </c>
      <c r="J4061">
        <v>291702644</v>
      </c>
      <c r="K4061">
        <v>328869015</v>
      </c>
      <c r="L4061">
        <v>272767200</v>
      </c>
      <c r="M4061">
        <v>223300439</v>
      </c>
      <c r="N4061">
        <v>209647011</v>
      </c>
      <c r="O4061">
        <v>353454870</v>
      </c>
      <c r="P4061">
        <v>147</v>
      </c>
      <c r="Q4061" t="s">
        <v>8467</v>
      </c>
    </row>
    <row r="4062" spans="1:17" x14ac:dyDescent="0.3">
      <c r="A4062" t="s">
        <v>4664</v>
      </c>
      <c r="B4062" t="str">
        <f>"300306"</f>
        <v>300306</v>
      </c>
      <c r="C4062" t="s">
        <v>8468</v>
      </c>
      <c r="D4062" t="s">
        <v>2551</v>
      </c>
      <c r="F4062">
        <v>329530256</v>
      </c>
      <c r="G4062">
        <v>274237197</v>
      </c>
      <c r="H4062">
        <v>310679986</v>
      </c>
      <c r="I4062">
        <v>356376702</v>
      </c>
      <c r="J4062">
        <v>397651606</v>
      </c>
      <c r="K4062">
        <v>176467315</v>
      </c>
      <c r="L4062">
        <v>152717883</v>
      </c>
      <c r="M4062">
        <v>170287604</v>
      </c>
      <c r="N4062">
        <v>166143256</v>
      </c>
      <c r="O4062">
        <v>142136943</v>
      </c>
      <c r="P4062">
        <v>169</v>
      </c>
      <c r="Q4062" t="s">
        <v>8469</v>
      </c>
    </row>
    <row r="4063" spans="1:17" x14ac:dyDescent="0.3">
      <c r="A4063" t="s">
        <v>4664</v>
      </c>
      <c r="B4063" t="str">
        <f>"300307"</f>
        <v>300307</v>
      </c>
      <c r="C4063" t="s">
        <v>8470</v>
      </c>
      <c r="D4063" t="s">
        <v>534</v>
      </c>
      <c r="F4063">
        <v>1099323444</v>
      </c>
      <c r="G4063">
        <v>899428508</v>
      </c>
      <c r="H4063">
        <v>991924292</v>
      </c>
      <c r="I4063">
        <v>1044636646</v>
      </c>
      <c r="J4063">
        <v>1181811418</v>
      </c>
      <c r="K4063">
        <v>654658409</v>
      </c>
      <c r="L4063">
        <v>512100572</v>
      </c>
      <c r="M4063">
        <v>617545453</v>
      </c>
      <c r="N4063">
        <v>1934728069</v>
      </c>
      <c r="O4063">
        <v>1874179431</v>
      </c>
      <c r="P4063">
        <v>2981</v>
      </c>
      <c r="Q4063" t="s">
        <v>8471</v>
      </c>
    </row>
    <row r="4064" spans="1:17" x14ac:dyDescent="0.3">
      <c r="A4064" t="s">
        <v>4664</v>
      </c>
      <c r="B4064" t="str">
        <f>"300308"</f>
        <v>300308</v>
      </c>
      <c r="C4064" t="s">
        <v>8472</v>
      </c>
      <c r="D4064" t="s">
        <v>1019</v>
      </c>
      <c r="F4064">
        <v>5333962190</v>
      </c>
      <c r="G4064">
        <v>5563830579</v>
      </c>
      <c r="H4064">
        <v>3090707272</v>
      </c>
      <c r="I4064">
        <v>4305161377</v>
      </c>
      <c r="J4064">
        <v>1035771260</v>
      </c>
      <c r="K4064">
        <v>105755712</v>
      </c>
      <c r="L4064">
        <v>89281698</v>
      </c>
      <c r="M4064">
        <v>86513111</v>
      </c>
      <c r="N4064">
        <v>68005433</v>
      </c>
      <c r="O4064">
        <v>45419236</v>
      </c>
      <c r="P4064">
        <v>814</v>
      </c>
      <c r="Q4064" t="s">
        <v>8473</v>
      </c>
    </row>
    <row r="4065" spans="1:17" x14ac:dyDescent="0.3">
      <c r="A4065" t="s">
        <v>4664</v>
      </c>
      <c r="B4065" t="str">
        <f>"300309"</f>
        <v>300309</v>
      </c>
      <c r="C4065" t="s">
        <v>8474</v>
      </c>
      <c r="D4065" t="s">
        <v>116</v>
      </c>
      <c r="F4065">
        <v>341252875</v>
      </c>
      <c r="G4065">
        <v>605754213</v>
      </c>
      <c r="H4065">
        <v>571843444</v>
      </c>
      <c r="I4065">
        <v>1549040796</v>
      </c>
      <c r="J4065">
        <v>477423318</v>
      </c>
      <c r="K4065">
        <v>123992573</v>
      </c>
      <c r="L4065">
        <v>166745858</v>
      </c>
      <c r="M4065">
        <v>143140708</v>
      </c>
      <c r="N4065">
        <v>130354223</v>
      </c>
      <c r="O4065">
        <v>81066627</v>
      </c>
      <c r="P4065">
        <v>108</v>
      </c>
      <c r="Q4065" t="s">
        <v>8475</v>
      </c>
    </row>
    <row r="4066" spans="1:17" x14ac:dyDescent="0.3">
      <c r="A4066" t="s">
        <v>4664</v>
      </c>
      <c r="B4066" t="str">
        <f>"300310"</f>
        <v>300310</v>
      </c>
      <c r="C4066" t="s">
        <v>8476</v>
      </c>
      <c r="D4066" t="s">
        <v>654</v>
      </c>
      <c r="F4066">
        <v>1684853801</v>
      </c>
      <c r="G4066">
        <v>1498682515</v>
      </c>
      <c r="H4066">
        <v>1870340252</v>
      </c>
      <c r="I4066">
        <v>1862739932</v>
      </c>
      <c r="J4066">
        <v>1471341640</v>
      </c>
      <c r="K4066">
        <v>1107384074</v>
      </c>
      <c r="L4066">
        <v>785739185</v>
      </c>
      <c r="M4066">
        <v>519311401</v>
      </c>
      <c r="N4066">
        <v>392189234</v>
      </c>
      <c r="O4066">
        <v>340430824</v>
      </c>
      <c r="P4066">
        <v>257</v>
      </c>
      <c r="Q4066" t="s">
        <v>8477</v>
      </c>
    </row>
    <row r="4067" spans="1:17" x14ac:dyDescent="0.3">
      <c r="A4067" t="s">
        <v>4664</v>
      </c>
      <c r="B4067" t="str">
        <f>"300311"</f>
        <v>300311</v>
      </c>
      <c r="C4067" t="s">
        <v>8478</v>
      </c>
      <c r="D4067" t="s">
        <v>1189</v>
      </c>
      <c r="F4067">
        <v>596316825</v>
      </c>
      <c r="G4067">
        <v>600328045</v>
      </c>
      <c r="H4067">
        <v>621804531</v>
      </c>
      <c r="I4067">
        <v>747422697</v>
      </c>
      <c r="J4067">
        <v>720223658</v>
      </c>
      <c r="K4067">
        <v>366166161</v>
      </c>
      <c r="L4067">
        <v>152383631</v>
      </c>
      <c r="M4067">
        <v>146311657</v>
      </c>
      <c r="N4067">
        <v>185187924</v>
      </c>
      <c r="O4067">
        <v>119831126</v>
      </c>
      <c r="P4067">
        <v>161</v>
      </c>
      <c r="Q4067" t="s">
        <v>8479</v>
      </c>
    </row>
    <row r="4068" spans="1:17" x14ac:dyDescent="0.3">
      <c r="A4068" t="s">
        <v>4664</v>
      </c>
      <c r="B4068" t="str">
        <f>"300312"</f>
        <v>300312</v>
      </c>
      <c r="C4068" t="s">
        <v>8480</v>
      </c>
      <c r="D4068" t="s">
        <v>1019</v>
      </c>
      <c r="F4068">
        <v>30880094</v>
      </c>
      <c r="G4068">
        <v>46481235</v>
      </c>
      <c r="H4068">
        <v>104490469</v>
      </c>
      <c r="I4068">
        <v>213893228</v>
      </c>
      <c r="J4068">
        <v>243903299</v>
      </c>
      <c r="K4068">
        <v>260557094</v>
      </c>
      <c r="L4068">
        <v>273431204</v>
      </c>
      <c r="M4068">
        <v>203483040</v>
      </c>
      <c r="N4068">
        <v>161050993</v>
      </c>
      <c r="O4068">
        <v>176863230</v>
      </c>
      <c r="P4068">
        <v>134</v>
      </c>
      <c r="Q4068" t="s">
        <v>8481</v>
      </c>
    </row>
    <row r="4069" spans="1:17" x14ac:dyDescent="0.3">
      <c r="A4069" t="s">
        <v>4664</v>
      </c>
      <c r="B4069" t="str">
        <f>"300313"</f>
        <v>300313</v>
      </c>
      <c r="C4069" t="s">
        <v>8482</v>
      </c>
      <c r="D4069" t="s">
        <v>1876</v>
      </c>
      <c r="F4069">
        <v>49011716</v>
      </c>
      <c r="G4069">
        <v>64400110</v>
      </c>
      <c r="H4069">
        <v>168970944</v>
      </c>
      <c r="I4069">
        <v>74958832</v>
      </c>
      <c r="J4069">
        <v>123170349</v>
      </c>
      <c r="K4069">
        <v>341298522</v>
      </c>
      <c r="L4069">
        <v>200961557</v>
      </c>
      <c r="M4069">
        <v>80914298</v>
      </c>
      <c r="N4069">
        <v>48256697</v>
      </c>
      <c r="O4069">
        <v>45255073</v>
      </c>
      <c r="P4069">
        <v>85</v>
      </c>
      <c r="Q4069" t="s">
        <v>8483</v>
      </c>
    </row>
    <row r="4070" spans="1:17" x14ac:dyDescent="0.3">
      <c r="A4070" t="s">
        <v>4664</v>
      </c>
      <c r="B4070" t="str">
        <f>"300314"</f>
        <v>300314</v>
      </c>
      <c r="C4070" t="s">
        <v>8484</v>
      </c>
      <c r="D4070" t="s">
        <v>122</v>
      </c>
      <c r="F4070">
        <v>324679628</v>
      </c>
      <c r="G4070">
        <v>314040487</v>
      </c>
      <c r="H4070">
        <v>235362490</v>
      </c>
      <c r="I4070">
        <v>208288805</v>
      </c>
      <c r="J4070">
        <v>228043332</v>
      </c>
      <c r="K4070">
        <v>172799577</v>
      </c>
      <c r="L4070">
        <v>148625280</v>
      </c>
      <c r="M4070">
        <v>169555616</v>
      </c>
      <c r="N4070">
        <v>154642810</v>
      </c>
      <c r="O4070">
        <v>177625660</v>
      </c>
      <c r="P4070">
        <v>196</v>
      </c>
      <c r="Q4070" t="s">
        <v>8485</v>
      </c>
    </row>
    <row r="4071" spans="1:17" x14ac:dyDescent="0.3">
      <c r="A4071" t="s">
        <v>4664</v>
      </c>
      <c r="B4071" t="str">
        <f>"300315"</f>
        <v>300315</v>
      </c>
      <c r="C4071" t="s">
        <v>8486</v>
      </c>
      <c r="D4071" t="s">
        <v>517</v>
      </c>
      <c r="F4071">
        <v>1119153588</v>
      </c>
      <c r="G4071">
        <v>1346383999</v>
      </c>
      <c r="H4071">
        <v>1159105679</v>
      </c>
      <c r="I4071">
        <v>1751839342</v>
      </c>
      <c r="J4071">
        <v>1342214810</v>
      </c>
      <c r="K4071">
        <v>1403575692</v>
      </c>
      <c r="L4071">
        <v>675473667</v>
      </c>
      <c r="M4071">
        <v>550571900</v>
      </c>
      <c r="N4071">
        <v>240037280</v>
      </c>
      <c r="O4071">
        <v>138084824</v>
      </c>
      <c r="P4071">
        <v>456</v>
      </c>
      <c r="Q4071" t="s">
        <v>8487</v>
      </c>
    </row>
    <row r="4072" spans="1:17" x14ac:dyDescent="0.3">
      <c r="A4072" t="s">
        <v>4664</v>
      </c>
      <c r="B4072" t="str">
        <f>"300316"</f>
        <v>300316</v>
      </c>
      <c r="C4072" t="s">
        <v>8488</v>
      </c>
      <c r="D4072" t="s">
        <v>2654</v>
      </c>
      <c r="F4072">
        <v>3950628110</v>
      </c>
      <c r="G4072">
        <v>2945630975</v>
      </c>
      <c r="H4072">
        <v>1742711325</v>
      </c>
      <c r="I4072">
        <v>1621724590</v>
      </c>
      <c r="J4072">
        <v>953838601</v>
      </c>
      <c r="K4072">
        <v>525298041</v>
      </c>
      <c r="L4072">
        <v>272661322</v>
      </c>
      <c r="M4072">
        <v>206897923</v>
      </c>
      <c r="N4072">
        <v>194789619</v>
      </c>
      <c r="O4072">
        <v>161926396</v>
      </c>
      <c r="P4072">
        <v>1072</v>
      </c>
      <c r="Q4072" t="s">
        <v>8489</v>
      </c>
    </row>
    <row r="4073" spans="1:17" x14ac:dyDescent="0.3">
      <c r="A4073" t="s">
        <v>4664</v>
      </c>
      <c r="B4073" t="str">
        <f>"300317"</f>
        <v>300317</v>
      </c>
      <c r="C4073" t="s">
        <v>8490</v>
      </c>
      <c r="D4073" t="s">
        <v>86</v>
      </c>
      <c r="F4073">
        <v>438864401</v>
      </c>
      <c r="G4073">
        <v>536965484</v>
      </c>
      <c r="H4073">
        <v>670532424</v>
      </c>
      <c r="I4073">
        <v>1609681920</v>
      </c>
      <c r="J4073">
        <v>2299142347</v>
      </c>
      <c r="K4073">
        <v>1786712331</v>
      </c>
      <c r="L4073">
        <v>868332643</v>
      </c>
      <c r="M4073">
        <v>529420750</v>
      </c>
      <c r="N4073">
        <v>436670229</v>
      </c>
      <c r="O4073">
        <v>270625090</v>
      </c>
      <c r="P4073">
        <v>142</v>
      </c>
      <c r="Q4073" t="s">
        <v>8491</v>
      </c>
    </row>
    <row r="4074" spans="1:17" x14ac:dyDescent="0.3">
      <c r="A4074" t="s">
        <v>4664</v>
      </c>
      <c r="B4074" t="str">
        <f>"300318"</f>
        <v>300318</v>
      </c>
      <c r="C4074" t="s">
        <v>8492</v>
      </c>
      <c r="D4074" t="s">
        <v>1305</v>
      </c>
      <c r="F4074">
        <v>583187589</v>
      </c>
      <c r="G4074">
        <v>494600414</v>
      </c>
      <c r="H4074">
        <v>476798966</v>
      </c>
      <c r="I4074">
        <v>409185865</v>
      </c>
      <c r="J4074">
        <v>315354905</v>
      </c>
      <c r="K4074">
        <v>273460649</v>
      </c>
      <c r="L4074">
        <v>133230587</v>
      </c>
      <c r="M4074">
        <v>76505381</v>
      </c>
      <c r="N4074">
        <v>81294777</v>
      </c>
      <c r="O4074">
        <v>76163380</v>
      </c>
      <c r="P4074">
        <v>144</v>
      </c>
      <c r="Q4074" t="s">
        <v>8493</v>
      </c>
    </row>
    <row r="4075" spans="1:17" x14ac:dyDescent="0.3">
      <c r="A4075" t="s">
        <v>4664</v>
      </c>
      <c r="B4075" t="str">
        <f>"300319"</f>
        <v>300319</v>
      </c>
      <c r="C4075" t="s">
        <v>8494</v>
      </c>
      <c r="D4075" t="s">
        <v>546</v>
      </c>
      <c r="F4075">
        <v>1961912789</v>
      </c>
      <c r="G4075">
        <v>1268966068</v>
      </c>
      <c r="H4075">
        <v>980850291</v>
      </c>
      <c r="I4075">
        <v>1028770204</v>
      </c>
      <c r="J4075">
        <v>981515842</v>
      </c>
      <c r="K4075">
        <v>906430773</v>
      </c>
      <c r="L4075">
        <v>911879932</v>
      </c>
      <c r="M4075">
        <v>116996156</v>
      </c>
      <c r="N4075">
        <v>99910583</v>
      </c>
      <c r="O4075">
        <v>83427674</v>
      </c>
      <c r="P4075">
        <v>3161</v>
      </c>
      <c r="Q4075" t="s">
        <v>8495</v>
      </c>
    </row>
    <row r="4076" spans="1:17" x14ac:dyDescent="0.3">
      <c r="A4076" t="s">
        <v>4664</v>
      </c>
      <c r="B4076" t="str">
        <f>"300320"</f>
        <v>300320</v>
      </c>
      <c r="C4076" t="s">
        <v>8496</v>
      </c>
      <c r="D4076" t="s">
        <v>2460</v>
      </c>
      <c r="F4076">
        <v>1526491004</v>
      </c>
      <c r="G4076">
        <v>1296540374</v>
      </c>
      <c r="H4076">
        <v>1319498147</v>
      </c>
      <c r="I4076">
        <v>1151770269</v>
      </c>
      <c r="J4076">
        <v>568753776</v>
      </c>
      <c r="K4076">
        <v>453616504</v>
      </c>
      <c r="L4076">
        <v>725833161</v>
      </c>
      <c r="M4076">
        <v>594205703</v>
      </c>
      <c r="N4076">
        <v>489599150</v>
      </c>
      <c r="O4076">
        <v>403779743</v>
      </c>
      <c r="P4076">
        <v>151</v>
      </c>
      <c r="Q4076" t="s">
        <v>8497</v>
      </c>
    </row>
    <row r="4077" spans="1:17" x14ac:dyDescent="0.3">
      <c r="A4077" t="s">
        <v>4664</v>
      </c>
      <c r="B4077" t="str">
        <f>"300321"</f>
        <v>300321</v>
      </c>
      <c r="C4077" t="s">
        <v>8498</v>
      </c>
      <c r="D4077" t="s">
        <v>528</v>
      </c>
      <c r="F4077">
        <v>263166315</v>
      </c>
      <c r="G4077">
        <v>189699330</v>
      </c>
      <c r="H4077">
        <v>230237327</v>
      </c>
      <c r="I4077">
        <v>230538193</v>
      </c>
      <c r="J4077">
        <v>223088736</v>
      </c>
      <c r="K4077">
        <v>220660928</v>
      </c>
      <c r="L4077">
        <v>253653984</v>
      </c>
      <c r="M4077">
        <v>387613051</v>
      </c>
      <c r="N4077">
        <v>318489634</v>
      </c>
      <c r="O4077">
        <v>269611046</v>
      </c>
      <c r="P4077">
        <v>45</v>
      </c>
      <c r="Q4077" t="s">
        <v>8499</v>
      </c>
    </row>
    <row r="4078" spans="1:17" x14ac:dyDescent="0.3">
      <c r="A4078" t="s">
        <v>4664</v>
      </c>
      <c r="B4078" t="str">
        <f>"300322"</f>
        <v>300322</v>
      </c>
      <c r="C4078" t="s">
        <v>8500</v>
      </c>
      <c r="D4078" t="s">
        <v>313</v>
      </c>
      <c r="F4078">
        <v>1643178523</v>
      </c>
      <c r="G4078">
        <v>1321876052</v>
      </c>
      <c r="H4078">
        <v>1295790185</v>
      </c>
      <c r="I4078">
        <v>1466277557</v>
      </c>
      <c r="J4078">
        <v>1304634494</v>
      </c>
      <c r="K4078">
        <v>1300570544</v>
      </c>
      <c r="L4078">
        <v>725960340</v>
      </c>
      <c r="M4078">
        <v>641876453</v>
      </c>
      <c r="N4078">
        <v>260170132</v>
      </c>
      <c r="O4078">
        <v>234402251</v>
      </c>
      <c r="P4078">
        <v>387</v>
      </c>
      <c r="Q4078" t="s">
        <v>8501</v>
      </c>
    </row>
    <row r="4079" spans="1:17" x14ac:dyDescent="0.3">
      <c r="A4079" t="s">
        <v>4664</v>
      </c>
      <c r="B4079" t="str">
        <f>"300323"</f>
        <v>300323</v>
      </c>
      <c r="C4079" t="s">
        <v>8502</v>
      </c>
      <c r="D4079" t="s">
        <v>803</v>
      </c>
      <c r="F4079">
        <v>1944361537</v>
      </c>
      <c r="G4079">
        <v>1696131315</v>
      </c>
      <c r="H4079">
        <v>2095675990</v>
      </c>
      <c r="I4079">
        <v>1653171101</v>
      </c>
      <c r="J4079">
        <v>1265107601</v>
      </c>
      <c r="K4079">
        <v>644738161</v>
      </c>
      <c r="L4079">
        <v>468184643</v>
      </c>
      <c r="M4079">
        <v>467039858</v>
      </c>
      <c r="N4079">
        <v>136148309</v>
      </c>
      <c r="O4079">
        <v>232682530</v>
      </c>
      <c r="P4079">
        <v>293</v>
      </c>
      <c r="Q4079" t="s">
        <v>8503</v>
      </c>
    </row>
    <row r="4080" spans="1:17" x14ac:dyDescent="0.3">
      <c r="A4080" t="s">
        <v>4664</v>
      </c>
      <c r="B4080" t="str">
        <f>"300324"</f>
        <v>300324</v>
      </c>
      <c r="C4080" t="s">
        <v>8504</v>
      </c>
      <c r="D4080" t="s">
        <v>236</v>
      </c>
      <c r="F4080">
        <v>2229435396</v>
      </c>
      <c r="G4080">
        <v>2317318687</v>
      </c>
      <c r="H4080">
        <v>2285815363</v>
      </c>
      <c r="I4080">
        <v>2038766542</v>
      </c>
      <c r="J4080">
        <v>2068778230</v>
      </c>
      <c r="K4080">
        <v>1249121893</v>
      </c>
      <c r="L4080">
        <v>857295506</v>
      </c>
      <c r="M4080">
        <v>167565443</v>
      </c>
      <c r="N4080">
        <v>185492350</v>
      </c>
      <c r="O4080">
        <v>196245868</v>
      </c>
      <c r="P4080">
        <v>235</v>
      </c>
      <c r="Q4080" t="s">
        <v>8505</v>
      </c>
    </row>
    <row r="4081" spans="1:17" x14ac:dyDescent="0.3">
      <c r="A4081" t="s">
        <v>4664</v>
      </c>
      <c r="B4081" t="str">
        <f>"300325"</f>
        <v>300325</v>
      </c>
      <c r="C4081" t="s">
        <v>8506</v>
      </c>
      <c r="D4081" t="s">
        <v>1192</v>
      </c>
      <c r="F4081">
        <v>923356755</v>
      </c>
      <c r="G4081">
        <v>827221652</v>
      </c>
      <c r="H4081">
        <v>529648903</v>
      </c>
      <c r="I4081">
        <v>2218038279</v>
      </c>
      <c r="J4081">
        <v>1296576607</v>
      </c>
      <c r="K4081">
        <v>1502279473</v>
      </c>
      <c r="L4081">
        <v>1230934613</v>
      </c>
      <c r="M4081">
        <v>1052664042</v>
      </c>
      <c r="N4081">
        <v>689957021</v>
      </c>
      <c r="O4081">
        <v>499075109</v>
      </c>
      <c r="P4081">
        <v>81</v>
      </c>
      <c r="Q4081" t="s">
        <v>8507</v>
      </c>
    </row>
    <row r="4082" spans="1:17" x14ac:dyDescent="0.3">
      <c r="A4082" t="s">
        <v>4664</v>
      </c>
      <c r="B4082" t="str">
        <f>"300326"</f>
        <v>300326</v>
      </c>
      <c r="C4082" t="s">
        <v>8508</v>
      </c>
      <c r="D4082" t="s">
        <v>1077</v>
      </c>
      <c r="F4082">
        <v>1175016356</v>
      </c>
      <c r="G4082">
        <v>866605970</v>
      </c>
      <c r="H4082">
        <v>819072093</v>
      </c>
      <c r="I4082">
        <v>716699074</v>
      </c>
      <c r="J4082">
        <v>464011650</v>
      </c>
      <c r="K4082">
        <v>336505956</v>
      </c>
      <c r="L4082">
        <v>279495378</v>
      </c>
      <c r="M4082">
        <v>126153473</v>
      </c>
      <c r="N4082">
        <v>83204248</v>
      </c>
      <c r="O4082">
        <v>75653451</v>
      </c>
      <c r="P4082">
        <v>854</v>
      </c>
      <c r="Q4082" t="s">
        <v>8509</v>
      </c>
    </row>
    <row r="4083" spans="1:17" x14ac:dyDescent="0.3">
      <c r="A4083" t="s">
        <v>4664</v>
      </c>
      <c r="B4083" t="str">
        <f>"300327"</f>
        <v>300327</v>
      </c>
      <c r="C4083" t="s">
        <v>8510</v>
      </c>
      <c r="D4083" t="s">
        <v>461</v>
      </c>
      <c r="F4083">
        <v>1145924623</v>
      </c>
      <c r="G4083">
        <v>780258885</v>
      </c>
      <c r="H4083">
        <v>647843777</v>
      </c>
      <c r="I4083">
        <v>639708428</v>
      </c>
      <c r="J4083">
        <v>531161225</v>
      </c>
      <c r="K4083">
        <v>386805865</v>
      </c>
      <c r="L4083">
        <v>331224924</v>
      </c>
      <c r="M4083">
        <v>292371900</v>
      </c>
      <c r="N4083">
        <v>270042610</v>
      </c>
      <c r="O4083">
        <v>206116618</v>
      </c>
      <c r="P4083">
        <v>4063</v>
      </c>
      <c r="Q4083" t="s">
        <v>8511</v>
      </c>
    </row>
    <row r="4084" spans="1:17" x14ac:dyDescent="0.3">
      <c r="A4084" t="s">
        <v>4664</v>
      </c>
      <c r="B4084" t="str">
        <f>"300328"</f>
        <v>300328</v>
      </c>
      <c r="C4084" t="s">
        <v>8512</v>
      </c>
      <c r="D4084" t="s">
        <v>636</v>
      </c>
      <c r="F4084">
        <v>731780427</v>
      </c>
      <c r="G4084">
        <v>745405825</v>
      </c>
      <c r="H4084">
        <v>737502787</v>
      </c>
      <c r="I4084">
        <v>574440511</v>
      </c>
      <c r="J4084">
        <v>578019322</v>
      </c>
      <c r="K4084">
        <v>419710425</v>
      </c>
      <c r="L4084">
        <v>465073186</v>
      </c>
      <c r="M4084">
        <v>321800912</v>
      </c>
      <c r="N4084">
        <v>304939874</v>
      </c>
      <c r="O4084">
        <v>214901971</v>
      </c>
      <c r="P4084">
        <v>232</v>
      </c>
      <c r="Q4084" t="s">
        <v>8513</v>
      </c>
    </row>
    <row r="4085" spans="1:17" x14ac:dyDescent="0.3">
      <c r="A4085" t="s">
        <v>4664</v>
      </c>
      <c r="B4085" t="str">
        <f>"300329"</f>
        <v>300329</v>
      </c>
      <c r="C4085" t="s">
        <v>8514</v>
      </c>
      <c r="D4085" t="s">
        <v>2904</v>
      </c>
      <c r="F4085">
        <v>354364644</v>
      </c>
      <c r="G4085">
        <v>292090829</v>
      </c>
      <c r="H4085">
        <v>368311910</v>
      </c>
      <c r="I4085">
        <v>379856324</v>
      </c>
      <c r="J4085">
        <v>307625858</v>
      </c>
      <c r="K4085">
        <v>274109751</v>
      </c>
      <c r="L4085">
        <v>255917427</v>
      </c>
      <c r="M4085">
        <v>240183046</v>
      </c>
      <c r="N4085">
        <v>236539430</v>
      </c>
      <c r="O4085">
        <v>218703096</v>
      </c>
      <c r="P4085">
        <v>96</v>
      </c>
      <c r="Q4085" t="s">
        <v>8515</v>
      </c>
    </row>
    <row r="4086" spans="1:17" x14ac:dyDescent="0.3">
      <c r="A4086" t="s">
        <v>4664</v>
      </c>
      <c r="B4086" t="str">
        <f>"300330"</f>
        <v>300330</v>
      </c>
      <c r="C4086" t="s">
        <v>8516</v>
      </c>
      <c r="D4086" t="s">
        <v>236</v>
      </c>
      <c r="F4086">
        <v>164374482</v>
      </c>
      <c r="G4086">
        <v>194828789</v>
      </c>
      <c r="H4086">
        <v>170534701</v>
      </c>
      <c r="I4086">
        <v>91892198</v>
      </c>
      <c r="J4086">
        <v>90251171</v>
      </c>
      <c r="K4086">
        <v>137583817</v>
      </c>
      <c r="L4086">
        <v>149455229</v>
      </c>
      <c r="M4086">
        <v>144044224</v>
      </c>
      <c r="N4086">
        <v>140004205</v>
      </c>
      <c r="O4086">
        <v>118287999</v>
      </c>
      <c r="P4086">
        <v>82</v>
      </c>
      <c r="Q4086" t="s">
        <v>8517</v>
      </c>
    </row>
    <row r="4087" spans="1:17" x14ac:dyDescent="0.3">
      <c r="A4087" t="s">
        <v>4664</v>
      </c>
      <c r="B4087" t="str">
        <f>"300331"</f>
        <v>300331</v>
      </c>
      <c r="C4087" t="s">
        <v>8518</v>
      </c>
      <c r="D4087" t="s">
        <v>1117</v>
      </c>
      <c r="F4087">
        <v>1532156125</v>
      </c>
      <c r="G4087">
        <v>1053673936</v>
      </c>
      <c r="H4087">
        <v>901152186</v>
      </c>
      <c r="I4087">
        <v>797444110</v>
      </c>
      <c r="J4087">
        <v>734288575</v>
      </c>
      <c r="K4087">
        <v>314759026</v>
      </c>
      <c r="L4087">
        <v>322199431</v>
      </c>
      <c r="M4087">
        <v>257241137</v>
      </c>
      <c r="N4087">
        <v>218957551</v>
      </c>
      <c r="O4087">
        <v>152044768</v>
      </c>
      <c r="P4087">
        <v>164</v>
      </c>
      <c r="Q4087" t="s">
        <v>8519</v>
      </c>
    </row>
    <row r="4088" spans="1:17" x14ac:dyDescent="0.3">
      <c r="A4088" t="s">
        <v>4664</v>
      </c>
      <c r="B4088" t="str">
        <f>"300332"</f>
        <v>300332</v>
      </c>
      <c r="C4088" t="s">
        <v>8520</v>
      </c>
      <c r="D4088" t="s">
        <v>749</v>
      </c>
      <c r="F4088">
        <v>1158775731</v>
      </c>
      <c r="G4088">
        <v>1069424416</v>
      </c>
      <c r="H4088">
        <v>1049340500</v>
      </c>
      <c r="I4088">
        <v>988491565</v>
      </c>
      <c r="J4088">
        <v>1102524623</v>
      </c>
      <c r="K4088">
        <v>844963129</v>
      </c>
      <c r="L4088">
        <v>394073519</v>
      </c>
      <c r="M4088">
        <v>137096545</v>
      </c>
      <c r="N4088">
        <v>142330289</v>
      </c>
      <c r="O4088">
        <v>106943627</v>
      </c>
      <c r="P4088">
        <v>117</v>
      </c>
      <c r="Q4088" t="s">
        <v>8521</v>
      </c>
    </row>
    <row r="4089" spans="1:17" x14ac:dyDescent="0.3">
      <c r="A4089" t="s">
        <v>4664</v>
      </c>
      <c r="B4089" t="str">
        <f>"300333"</f>
        <v>300333</v>
      </c>
      <c r="C4089" t="s">
        <v>8522</v>
      </c>
      <c r="D4089" t="s">
        <v>236</v>
      </c>
      <c r="F4089">
        <v>143322178</v>
      </c>
      <c r="G4089">
        <v>153330338</v>
      </c>
      <c r="H4089">
        <v>176083536</v>
      </c>
      <c r="I4089">
        <v>175532617</v>
      </c>
      <c r="J4089">
        <v>143994810</v>
      </c>
      <c r="K4089">
        <v>140628007</v>
      </c>
      <c r="L4089">
        <v>153655744</v>
      </c>
      <c r="M4089">
        <v>139996123</v>
      </c>
      <c r="N4089">
        <v>151233678</v>
      </c>
      <c r="O4089">
        <v>182994844</v>
      </c>
      <c r="P4089">
        <v>94</v>
      </c>
      <c r="Q4089" t="s">
        <v>8523</v>
      </c>
    </row>
    <row r="4090" spans="1:17" x14ac:dyDescent="0.3">
      <c r="A4090" t="s">
        <v>4664</v>
      </c>
      <c r="B4090" t="str">
        <f>"300334"</f>
        <v>300334</v>
      </c>
      <c r="C4090" t="s">
        <v>8524</v>
      </c>
      <c r="D4090" t="s">
        <v>33</v>
      </c>
      <c r="F4090">
        <v>339946078</v>
      </c>
      <c r="G4090">
        <v>360544418</v>
      </c>
      <c r="H4090">
        <v>473705914</v>
      </c>
      <c r="I4090">
        <v>402819541</v>
      </c>
      <c r="J4090">
        <v>380534318</v>
      </c>
      <c r="K4090">
        <v>411497206</v>
      </c>
      <c r="L4090">
        <v>299021008</v>
      </c>
      <c r="M4090">
        <v>233729019</v>
      </c>
      <c r="N4090">
        <v>258190095</v>
      </c>
      <c r="O4090">
        <v>133946987</v>
      </c>
      <c r="P4090">
        <v>80</v>
      </c>
      <c r="Q4090" t="s">
        <v>8525</v>
      </c>
    </row>
    <row r="4091" spans="1:17" x14ac:dyDescent="0.3">
      <c r="A4091" t="s">
        <v>4664</v>
      </c>
      <c r="B4091" t="str">
        <f>"300335"</f>
        <v>300335</v>
      </c>
      <c r="C4091" t="s">
        <v>8526</v>
      </c>
      <c r="D4091" t="s">
        <v>351</v>
      </c>
      <c r="F4091">
        <v>973871471</v>
      </c>
      <c r="G4091">
        <v>894052130</v>
      </c>
      <c r="H4091">
        <v>1105604262</v>
      </c>
      <c r="I4091">
        <v>1251140273</v>
      </c>
      <c r="J4091">
        <v>1331641771</v>
      </c>
      <c r="K4091">
        <v>770498357</v>
      </c>
      <c r="L4091">
        <v>430742229</v>
      </c>
      <c r="M4091">
        <v>292564175</v>
      </c>
      <c r="N4091">
        <v>360414187</v>
      </c>
      <c r="O4091">
        <v>293243516</v>
      </c>
      <c r="P4091">
        <v>231</v>
      </c>
      <c r="Q4091" t="s">
        <v>8527</v>
      </c>
    </row>
    <row r="4092" spans="1:17" x14ac:dyDescent="0.3">
      <c r="A4092" t="s">
        <v>4664</v>
      </c>
      <c r="B4092" t="str">
        <f>"300336"</f>
        <v>300336</v>
      </c>
      <c r="C4092" t="s">
        <v>8528</v>
      </c>
      <c r="D4092" t="s">
        <v>5063</v>
      </c>
      <c r="F4092">
        <v>219733205</v>
      </c>
      <c r="G4092">
        <v>286604220</v>
      </c>
      <c r="H4092">
        <v>554328241</v>
      </c>
      <c r="I4092">
        <v>636487602</v>
      </c>
      <c r="J4092">
        <v>838210313</v>
      </c>
      <c r="K4092">
        <v>910443774</v>
      </c>
      <c r="L4092">
        <v>537333408</v>
      </c>
      <c r="M4092">
        <v>250544865</v>
      </c>
      <c r="N4092">
        <v>363706032</v>
      </c>
      <c r="O4092">
        <v>142356011</v>
      </c>
      <c r="P4092">
        <v>98</v>
      </c>
      <c r="Q4092" t="s">
        <v>8529</v>
      </c>
    </row>
    <row r="4093" spans="1:17" x14ac:dyDescent="0.3">
      <c r="A4093" t="s">
        <v>4664</v>
      </c>
      <c r="B4093" t="str">
        <f>"300337"</f>
        <v>300337</v>
      </c>
      <c r="C4093" t="s">
        <v>8530</v>
      </c>
      <c r="D4093" t="s">
        <v>504</v>
      </c>
      <c r="F4093">
        <v>2145756929</v>
      </c>
      <c r="G4093">
        <v>1456450864</v>
      </c>
      <c r="H4093">
        <v>1386922580</v>
      </c>
      <c r="I4093">
        <v>1112076124</v>
      </c>
      <c r="J4093">
        <v>966367017</v>
      </c>
      <c r="K4093">
        <v>700779330</v>
      </c>
      <c r="L4093">
        <v>726979616</v>
      </c>
      <c r="M4093">
        <v>688937219</v>
      </c>
      <c r="N4093">
        <v>582220548</v>
      </c>
      <c r="O4093">
        <v>592761023</v>
      </c>
      <c r="P4093">
        <v>142</v>
      </c>
      <c r="Q4093" t="s">
        <v>8531</v>
      </c>
    </row>
    <row r="4094" spans="1:17" x14ac:dyDescent="0.3">
      <c r="A4094" t="s">
        <v>4664</v>
      </c>
      <c r="B4094" t="str">
        <f>"300338"</f>
        <v>300338</v>
      </c>
      <c r="C4094" t="s">
        <v>8532</v>
      </c>
      <c r="D4094" t="s">
        <v>1336</v>
      </c>
      <c r="F4094">
        <v>868019037</v>
      </c>
      <c r="G4094">
        <v>797884506</v>
      </c>
      <c r="H4094">
        <v>1458949186</v>
      </c>
      <c r="I4094">
        <v>1188776744</v>
      </c>
      <c r="J4094">
        <v>689137192</v>
      </c>
      <c r="K4094">
        <v>193381990</v>
      </c>
      <c r="L4094">
        <v>144915208</v>
      </c>
      <c r="M4094">
        <v>171224464</v>
      </c>
      <c r="N4094">
        <v>167105693</v>
      </c>
      <c r="O4094">
        <v>171464137</v>
      </c>
      <c r="P4094">
        <v>118</v>
      </c>
      <c r="Q4094" t="s">
        <v>8533</v>
      </c>
    </row>
    <row r="4095" spans="1:17" x14ac:dyDescent="0.3">
      <c r="A4095" t="s">
        <v>4664</v>
      </c>
      <c r="B4095" t="str">
        <f>"300339"</f>
        <v>300339</v>
      </c>
      <c r="C4095" t="s">
        <v>8534</v>
      </c>
      <c r="D4095" t="s">
        <v>316</v>
      </c>
      <c r="F4095">
        <v>1735064760</v>
      </c>
      <c r="G4095">
        <v>1551255347</v>
      </c>
      <c r="H4095">
        <v>1201782483</v>
      </c>
      <c r="I4095">
        <v>1184888642</v>
      </c>
      <c r="J4095">
        <v>687156429</v>
      </c>
      <c r="K4095">
        <v>748396888</v>
      </c>
      <c r="L4095">
        <v>563812761</v>
      </c>
      <c r="M4095">
        <v>368109863</v>
      </c>
      <c r="N4095">
        <v>272796362</v>
      </c>
      <c r="O4095">
        <v>202884777</v>
      </c>
      <c r="P4095">
        <v>332</v>
      </c>
      <c r="Q4095" t="s">
        <v>8535</v>
      </c>
    </row>
    <row r="4096" spans="1:17" x14ac:dyDescent="0.3">
      <c r="A4096" t="s">
        <v>4664</v>
      </c>
      <c r="B4096" t="str">
        <f>"300340"</f>
        <v>300340</v>
      </c>
      <c r="C4096" t="s">
        <v>8536</v>
      </c>
      <c r="D4096" t="s">
        <v>1786</v>
      </c>
      <c r="F4096">
        <v>2204899321</v>
      </c>
      <c r="G4096">
        <v>1198488126</v>
      </c>
      <c r="H4096">
        <v>1029191169</v>
      </c>
      <c r="I4096">
        <v>1210948712</v>
      </c>
      <c r="J4096">
        <v>1059293462</v>
      </c>
      <c r="K4096">
        <v>238455692</v>
      </c>
      <c r="L4096">
        <v>141527567</v>
      </c>
      <c r="M4096">
        <v>164588150</v>
      </c>
      <c r="N4096">
        <v>225937421</v>
      </c>
      <c r="O4096">
        <v>285750852</v>
      </c>
      <c r="P4096">
        <v>96</v>
      </c>
      <c r="Q4096" t="s">
        <v>8537</v>
      </c>
    </row>
    <row r="4097" spans="1:17" x14ac:dyDescent="0.3">
      <c r="A4097" t="s">
        <v>4664</v>
      </c>
      <c r="B4097" t="str">
        <f>"300341"</f>
        <v>300341</v>
      </c>
      <c r="C4097" t="s">
        <v>8538</v>
      </c>
      <c r="D4097" t="s">
        <v>210</v>
      </c>
      <c r="F4097">
        <v>946069608</v>
      </c>
      <c r="G4097">
        <v>811830310</v>
      </c>
      <c r="H4097">
        <v>748588961</v>
      </c>
      <c r="I4097">
        <v>646299847</v>
      </c>
      <c r="J4097">
        <v>540241078</v>
      </c>
      <c r="K4097">
        <v>503881327</v>
      </c>
      <c r="L4097">
        <v>508663322</v>
      </c>
      <c r="M4097">
        <v>203854142</v>
      </c>
      <c r="N4097">
        <v>209529104</v>
      </c>
      <c r="O4097">
        <v>208196097</v>
      </c>
      <c r="P4097">
        <v>142</v>
      </c>
      <c r="Q4097" t="s">
        <v>8539</v>
      </c>
    </row>
    <row r="4098" spans="1:17" x14ac:dyDescent="0.3">
      <c r="A4098" t="s">
        <v>4664</v>
      </c>
      <c r="B4098" t="str">
        <f>"300342"</f>
        <v>300342</v>
      </c>
      <c r="C4098" t="s">
        <v>8540</v>
      </c>
      <c r="D4098" t="s">
        <v>1253</v>
      </c>
      <c r="F4098">
        <v>756088244</v>
      </c>
      <c r="G4098">
        <v>647526751</v>
      </c>
      <c r="H4098">
        <v>518165486</v>
      </c>
      <c r="I4098">
        <v>809789618</v>
      </c>
      <c r="J4098">
        <v>577326124</v>
      </c>
      <c r="K4098">
        <v>462760245</v>
      </c>
      <c r="L4098">
        <v>395371938</v>
      </c>
      <c r="M4098">
        <v>302160348</v>
      </c>
      <c r="N4098">
        <v>345386601</v>
      </c>
      <c r="O4098">
        <v>302208211</v>
      </c>
      <c r="P4098">
        <v>181</v>
      </c>
      <c r="Q4098" t="s">
        <v>8541</v>
      </c>
    </row>
    <row r="4099" spans="1:17" x14ac:dyDescent="0.3">
      <c r="A4099" t="s">
        <v>4664</v>
      </c>
      <c r="B4099" t="str">
        <f>"300343"</f>
        <v>300343</v>
      </c>
      <c r="C4099" t="s">
        <v>8542</v>
      </c>
      <c r="D4099" t="s">
        <v>207</v>
      </c>
      <c r="F4099">
        <v>752710124</v>
      </c>
      <c r="G4099">
        <v>1451559167</v>
      </c>
      <c r="H4099">
        <v>2535005108</v>
      </c>
      <c r="I4099">
        <v>2472564622</v>
      </c>
      <c r="J4099">
        <v>1999436986</v>
      </c>
      <c r="K4099">
        <v>1301544901</v>
      </c>
      <c r="L4099">
        <v>694556801</v>
      </c>
      <c r="M4099">
        <v>505220040</v>
      </c>
      <c r="N4099">
        <v>418161152</v>
      </c>
      <c r="O4099">
        <v>291667548</v>
      </c>
      <c r="P4099">
        <v>155</v>
      </c>
      <c r="Q4099" t="s">
        <v>8543</v>
      </c>
    </row>
    <row r="4100" spans="1:17" x14ac:dyDescent="0.3">
      <c r="A4100" t="s">
        <v>4664</v>
      </c>
      <c r="B4100" t="str">
        <f>"300344"</f>
        <v>300344</v>
      </c>
      <c r="C4100" t="s">
        <v>8544</v>
      </c>
      <c r="D4100" t="s">
        <v>945</v>
      </c>
      <c r="F4100">
        <v>222127125</v>
      </c>
      <c r="G4100">
        <v>208123591</v>
      </c>
      <c r="H4100">
        <v>369911746</v>
      </c>
      <c r="I4100">
        <v>452585002</v>
      </c>
      <c r="J4100">
        <v>377639586</v>
      </c>
      <c r="K4100">
        <v>135474460</v>
      </c>
      <c r="L4100">
        <v>106804352</v>
      </c>
      <c r="M4100">
        <v>89274838</v>
      </c>
      <c r="N4100">
        <v>98775364</v>
      </c>
      <c r="O4100">
        <v>77817349</v>
      </c>
      <c r="P4100">
        <v>64</v>
      </c>
      <c r="Q4100" t="s">
        <v>8545</v>
      </c>
    </row>
    <row r="4101" spans="1:17" x14ac:dyDescent="0.3">
      <c r="A4101" t="s">
        <v>4664</v>
      </c>
      <c r="B4101" t="str">
        <f>"300345"</f>
        <v>300345</v>
      </c>
      <c r="C4101" t="s">
        <v>8546</v>
      </c>
      <c r="D4101" t="s">
        <v>404</v>
      </c>
      <c r="F4101">
        <v>79404594</v>
      </c>
      <c r="G4101">
        <v>93987743</v>
      </c>
      <c r="H4101">
        <v>103696492</v>
      </c>
      <c r="I4101">
        <v>91106120</v>
      </c>
      <c r="J4101">
        <v>191777717</v>
      </c>
      <c r="K4101">
        <v>137722574</v>
      </c>
      <c r="L4101">
        <v>162920772</v>
      </c>
      <c r="M4101">
        <v>174762060</v>
      </c>
      <c r="N4101">
        <v>105020020</v>
      </c>
      <c r="O4101">
        <v>114221444</v>
      </c>
      <c r="P4101">
        <v>53</v>
      </c>
      <c r="Q4101" t="s">
        <v>8547</v>
      </c>
    </row>
    <row r="4102" spans="1:17" x14ac:dyDescent="0.3">
      <c r="A4102" t="s">
        <v>4664</v>
      </c>
      <c r="B4102" t="str">
        <f>"300346"</f>
        <v>300346</v>
      </c>
      <c r="C4102" t="s">
        <v>8548</v>
      </c>
      <c r="D4102" t="s">
        <v>2399</v>
      </c>
      <c r="F4102">
        <v>657999842</v>
      </c>
      <c r="G4102">
        <v>340610449</v>
      </c>
      <c r="H4102">
        <v>145359255</v>
      </c>
      <c r="I4102">
        <v>126866057</v>
      </c>
      <c r="J4102">
        <v>101965495</v>
      </c>
      <c r="K4102">
        <v>79550822</v>
      </c>
      <c r="L4102">
        <v>84904543</v>
      </c>
      <c r="M4102">
        <v>75155150</v>
      </c>
      <c r="N4102">
        <v>76298785</v>
      </c>
      <c r="O4102">
        <v>72217701</v>
      </c>
      <c r="P4102">
        <v>447</v>
      </c>
      <c r="Q4102" t="s">
        <v>8549</v>
      </c>
    </row>
    <row r="4103" spans="1:17" x14ac:dyDescent="0.3">
      <c r="A4103" t="s">
        <v>4664</v>
      </c>
      <c r="B4103" t="str">
        <f>"300347"</f>
        <v>300347</v>
      </c>
      <c r="C4103" t="s">
        <v>8550</v>
      </c>
      <c r="D4103" t="s">
        <v>1461</v>
      </c>
      <c r="F4103">
        <v>3132970903</v>
      </c>
      <c r="G4103">
        <v>2214500470</v>
      </c>
      <c r="H4103">
        <v>1860211471</v>
      </c>
      <c r="I4103">
        <v>1561433046</v>
      </c>
      <c r="J4103">
        <v>1026645870</v>
      </c>
      <c r="K4103">
        <v>787481681</v>
      </c>
      <c r="L4103">
        <v>616036514</v>
      </c>
      <c r="M4103">
        <v>349736451</v>
      </c>
      <c r="N4103">
        <v>235278610</v>
      </c>
      <c r="O4103">
        <v>132146280</v>
      </c>
      <c r="P4103">
        <v>3109</v>
      </c>
      <c r="Q4103" t="s">
        <v>8551</v>
      </c>
    </row>
    <row r="4104" spans="1:17" x14ac:dyDescent="0.3">
      <c r="A4104" t="s">
        <v>4664</v>
      </c>
      <c r="B4104" t="str">
        <f>"300348"</f>
        <v>300348</v>
      </c>
      <c r="C4104" t="s">
        <v>8552</v>
      </c>
      <c r="D4104" t="s">
        <v>945</v>
      </c>
      <c r="F4104">
        <v>719642903</v>
      </c>
      <c r="G4104">
        <v>694569510</v>
      </c>
      <c r="H4104">
        <v>563776720</v>
      </c>
      <c r="I4104">
        <v>519446918</v>
      </c>
      <c r="J4104">
        <v>391664397</v>
      </c>
      <c r="K4104">
        <v>223004922</v>
      </c>
      <c r="L4104">
        <v>160592289</v>
      </c>
      <c r="M4104">
        <v>104782370</v>
      </c>
      <c r="N4104">
        <v>68074347</v>
      </c>
      <c r="O4104">
        <v>41067859</v>
      </c>
      <c r="P4104">
        <v>364</v>
      </c>
      <c r="Q4104" t="s">
        <v>8553</v>
      </c>
    </row>
    <row r="4105" spans="1:17" x14ac:dyDescent="0.3">
      <c r="A4105" t="s">
        <v>4664</v>
      </c>
      <c r="B4105" t="str">
        <f>"300349"</f>
        <v>300349</v>
      </c>
      <c r="C4105" t="s">
        <v>8554</v>
      </c>
      <c r="D4105" t="s">
        <v>2551</v>
      </c>
      <c r="F4105">
        <v>1582714181</v>
      </c>
      <c r="G4105">
        <v>1473390954</v>
      </c>
      <c r="H4105">
        <v>1337492183</v>
      </c>
      <c r="I4105">
        <v>1201003679</v>
      </c>
      <c r="J4105">
        <v>999660764</v>
      </c>
      <c r="K4105">
        <v>412084070</v>
      </c>
      <c r="L4105">
        <v>356084296</v>
      </c>
      <c r="M4105">
        <v>335329056</v>
      </c>
      <c r="N4105">
        <v>234396810</v>
      </c>
      <c r="O4105">
        <v>168455641</v>
      </c>
      <c r="P4105">
        <v>395</v>
      </c>
      <c r="Q4105" t="s">
        <v>8555</v>
      </c>
    </row>
    <row r="4106" spans="1:17" x14ac:dyDescent="0.3">
      <c r="A4106" t="s">
        <v>4664</v>
      </c>
      <c r="B4106" t="str">
        <f>"300350"</f>
        <v>300350</v>
      </c>
      <c r="C4106" t="s">
        <v>8556</v>
      </c>
      <c r="D4106" t="s">
        <v>3098</v>
      </c>
      <c r="F4106">
        <v>469427836</v>
      </c>
      <c r="G4106">
        <v>340522711</v>
      </c>
      <c r="H4106">
        <v>508875432</v>
      </c>
      <c r="I4106">
        <v>713001622</v>
      </c>
      <c r="J4106">
        <v>807224035</v>
      </c>
      <c r="K4106">
        <v>445155080</v>
      </c>
      <c r="L4106">
        <v>540791122</v>
      </c>
      <c r="M4106">
        <v>461607527</v>
      </c>
      <c r="N4106">
        <v>220236519</v>
      </c>
      <c r="O4106">
        <v>238538150</v>
      </c>
      <c r="P4106">
        <v>106</v>
      </c>
      <c r="Q4106" t="s">
        <v>8557</v>
      </c>
    </row>
    <row r="4107" spans="1:17" x14ac:dyDescent="0.3">
      <c r="A4107" t="s">
        <v>4664</v>
      </c>
      <c r="B4107" t="str">
        <f>"300351"</f>
        <v>300351</v>
      </c>
      <c r="C4107" t="s">
        <v>8558</v>
      </c>
      <c r="D4107" t="s">
        <v>1012</v>
      </c>
      <c r="F4107">
        <v>610979302</v>
      </c>
      <c r="G4107">
        <v>751943377</v>
      </c>
      <c r="H4107">
        <v>998754093</v>
      </c>
      <c r="I4107">
        <v>904005596</v>
      </c>
      <c r="J4107">
        <v>793888198</v>
      </c>
      <c r="K4107">
        <v>502840397</v>
      </c>
      <c r="L4107">
        <v>357987251</v>
      </c>
      <c r="M4107">
        <v>272922960</v>
      </c>
      <c r="N4107">
        <v>136744554</v>
      </c>
      <c r="O4107">
        <v>105045682</v>
      </c>
      <c r="P4107">
        <v>234</v>
      </c>
      <c r="Q4107" t="s">
        <v>8559</v>
      </c>
    </row>
    <row r="4108" spans="1:17" x14ac:dyDescent="0.3">
      <c r="A4108" t="s">
        <v>4664</v>
      </c>
      <c r="B4108" t="str">
        <f>"300352"</f>
        <v>300352</v>
      </c>
      <c r="C4108" t="s">
        <v>8560</v>
      </c>
      <c r="D4108" t="s">
        <v>945</v>
      </c>
      <c r="F4108">
        <v>513151070</v>
      </c>
      <c r="G4108">
        <v>447351209</v>
      </c>
      <c r="H4108">
        <v>367812742</v>
      </c>
      <c r="I4108">
        <v>216920274</v>
      </c>
      <c r="J4108">
        <v>203310431</v>
      </c>
      <c r="K4108">
        <v>139015262</v>
      </c>
      <c r="L4108">
        <v>124084603</v>
      </c>
      <c r="M4108">
        <v>79344976</v>
      </c>
      <c r="N4108">
        <v>73896469</v>
      </c>
      <c r="O4108">
        <v>69858714</v>
      </c>
      <c r="P4108">
        <v>255</v>
      </c>
      <c r="Q4108" t="s">
        <v>8561</v>
      </c>
    </row>
    <row r="4109" spans="1:17" x14ac:dyDescent="0.3">
      <c r="A4109" t="s">
        <v>4664</v>
      </c>
      <c r="B4109" t="str">
        <f>"300353"</f>
        <v>300353</v>
      </c>
      <c r="C4109" t="s">
        <v>8562</v>
      </c>
      <c r="D4109" t="s">
        <v>595</v>
      </c>
      <c r="F4109">
        <v>643632694</v>
      </c>
      <c r="G4109">
        <v>568266826</v>
      </c>
      <c r="H4109">
        <v>601817079</v>
      </c>
      <c r="I4109">
        <v>486556342</v>
      </c>
      <c r="J4109">
        <v>470099941</v>
      </c>
      <c r="K4109">
        <v>410057631</v>
      </c>
      <c r="L4109">
        <v>166780529</v>
      </c>
      <c r="M4109">
        <v>140137685</v>
      </c>
      <c r="N4109">
        <v>126261718</v>
      </c>
      <c r="O4109">
        <v>105332207</v>
      </c>
      <c r="P4109">
        <v>3033</v>
      </c>
      <c r="Q4109" t="s">
        <v>8563</v>
      </c>
    </row>
    <row r="4110" spans="1:17" x14ac:dyDescent="0.3">
      <c r="A4110" t="s">
        <v>4664</v>
      </c>
      <c r="B4110" t="str">
        <f>"300354"</f>
        <v>300354</v>
      </c>
      <c r="C4110" t="s">
        <v>8564</v>
      </c>
      <c r="D4110" t="s">
        <v>2551</v>
      </c>
      <c r="F4110">
        <v>166493163</v>
      </c>
      <c r="G4110">
        <v>117643918</v>
      </c>
      <c r="H4110">
        <v>107418312</v>
      </c>
      <c r="I4110">
        <v>104685945</v>
      </c>
      <c r="J4110">
        <v>92552725</v>
      </c>
      <c r="K4110">
        <v>85077048</v>
      </c>
      <c r="L4110">
        <v>74544614</v>
      </c>
      <c r="M4110">
        <v>64341644</v>
      </c>
      <c r="N4110">
        <v>69499765</v>
      </c>
      <c r="O4110">
        <v>70043243</v>
      </c>
      <c r="P4110">
        <v>139</v>
      </c>
      <c r="Q4110" t="s">
        <v>8565</v>
      </c>
    </row>
    <row r="4111" spans="1:17" x14ac:dyDescent="0.3">
      <c r="A4111" t="s">
        <v>4664</v>
      </c>
      <c r="B4111" t="str">
        <f>"300355"</f>
        <v>300355</v>
      </c>
      <c r="C4111" t="s">
        <v>8566</v>
      </c>
      <c r="D4111" t="s">
        <v>2408</v>
      </c>
      <c r="F4111">
        <v>1688387190</v>
      </c>
      <c r="G4111">
        <v>1350833533</v>
      </c>
      <c r="H4111">
        <v>1428291461</v>
      </c>
      <c r="I4111">
        <v>1587593946</v>
      </c>
      <c r="J4111">
        <v>1018534189</v>
      </c>
      <c r="K4111">
        <v>1062902460</v>
      </c>
      <c r="L4111">
        <v>743613071</v>
      </c>
      <c r="M4111">
        <v>509385527</v>
      </c>
      <c r="N4111">
        <v>206744221</v>
      </c>
      <c r="O4111">
        <v>153343649</v>
      </c>
      <c r="P4111">
        <v>406</v>
      </c>
      <c r="Q4111" t="s">
        <v>8567</v>
      </c>
    </row>
    <row r="4112" spans="1:17" x14ac:dyDescent="0.3">
      <c r="A4112" t="s">
        <v>4664</v>
      </c>
      <c r="B4112" t="str">
        <f>"300356"</f>
        <v>300356</v>
      </c>
      <c r="C4112" t="s">
        <v>8568</v>
      </c>
      <c r="D4112" t="s">
        <v>2171</v>
      </c>
      <c r="F4112">
        <v>260450866</v>
      </c>
      <c r="G4112">
        <v>333674294</v>
      </c>
      <c r="H4112">
        <v>372829753</v>
      </c>
      <c r="I4112">
        <v>306299931</v>
      </c>
      <c r="J4112">
        <v>412831266</v>
      </c>
      <c r="K4112">
        <v>403887979</v>
      </c>
      <c r="L4112">
        <v>366517937</v>
      </c>
      <c r="M4112">
        <v>210407789</v>
      </c>
      <c r="N4112">
        <v>196753243</v>
      </c>
      <c r="O4112">
        <v>223671971</v>
      </c>
      <c r="P4112">
        <v>67</v>
      </c>
      <c r="Q4112" t="s">
        <v>8569</v>
      </c>
    </row>
    <row r="4113" spans="1:17" x14ac:dyDescent="0.3">
      <c r="A4113" t="s">
        <v>4664</v>
      </c>
      <c r="B4113" t="str">
        <f>"300357"</f>
        <v>300357</v>
      </c>
      <c r="C4113" t="s">
        <v>8570</v>
      </c>
      <c r="D4113" t="s">
        <v>1379</v>
      </c>
      <c r="F4113">
        <v>564509773</v>
      </c>
      <c r="G4113">
        <v>457394693</v>
      </c>
      <c r="H4113">
        <v>426177143</v>
      </c>
      <c r="I4113">
        <v>335634299</v>
      </c>
      <c r="J4113">
        <v>268935804</v>
      </c>
      <c r="K4113">
        <v>222770878</v>
      </c>
      <c r="L4113">
        <v>190734194</v>
      </c>
      <c r="M4113">
        <v>163597456</v>
      </c>
      <c r="N4113">
        <v>147597719</v>
      </c>
      <c r="P4113">
        <v>31270</v>
      </c>
      <c r="Q4113" t="s">
        <v>8571</v>
      </c>
    </row>
    <row r="4114" spans="1:17" x14ac:dyDescent="0.3">
      <c r="A4114" t="s">
        <v>4664</v>
      </c>
      <c r="B4114" t="str">
        <f>"300358"</f>
        <v>300358</v>
      </c>
      <c r="C4114" t="s">
        <v>8572</v>
      </c>
      <c r="D4114" t="s">
        <v>122</v>
      </c>
      <c r="F4114">
        <v>5702817523</v>
      </c>
      <c r="G4114">
        <v>1754860875</v>
      </c>
      <c r="H4114">
        <v>1449074040</v>
      </c>
      <c r="I4114">
        <v>1377881296</v>
      </c>
      <c r="J4114">
        <v>969266948</v>
      </c>
      <c r="K4114">
        <v>649871971</v>
      </c>
      <c r="L4114">
        <v>615142811</v>
      </c>
      <c r="M4114">
        <v>586493899</v>
      </c>
      <c r="N4114">
        <v>773343825</v>
      </c>
      <c r="P4114">
        <v>185</v>
      </c>
      <c r="Q4114" t="s">
        <v>8573</v>
      </c>
    </row>
    <row r="4115" spans="1:17" x14ac:dyDescent="0.3">
      <c r="A4115" t="s">
        <v>4664</v>
      </c>
      <c r="B4115" t="str">
        <f>"300359"</f>
        <v>300359</v>
      </c>
      <c r="C4115" t="s">
        <v>8574</v>
      </c>
      <c r="D4115" t="s">
        <v>1336</v>
      </c>
      <c r="F4115">
        <v>391288210</v>
      </c>
      <c r="G4115">
        <v>438806535</v>
      </c>
      <c r="H4115">
        <v>576444122</v>
      </c>
      <c r="I4115">
        <v>540660166</v>
      </c>
      <c r="J4115">
        <v>564004245</v>
      </c>
      <c r="K4115">
        <v>374370463</v>
      </c>
      <c r="L4115">
        <v>203008514</v>
      </c>
      <c r="M4115">
        <v>132175175</v>
      </c>
      <c r="N4115">
        <v>123005779</v>
      </c>
      <c r="P4115">
        <v>166</v>
      </c>
      <c r="Q4115" t="s">
        <v>8575</v>
      </c>
    </row>
    <row r="4116" spans="1:17" x14ac:dyDescent="0.3">
      <c r="A4116" t="s">
        <v>4664</v>
      </c>
      <c r="B4116" t="str">
        <f>"300360"</f>
        <v>300360</v>
      </c>
      <c r="C4116" t="s">
        <v>8576</v>
      </c>
      <c r="D4116" t="s">
        <v>2171</v>
      </c>
      <c r="F4116">
        <v>655303256</v>
      </c>
      <c r="G4116">
        <v>587616974</v>
      </c>
      <c r="H4116">
        <v>555560290</v>
      </c>
      <c r="I4116">
        <v>552566843</v>
      </c>
      <c r="J4116">
        <v>693492781</v>
      </c>
      <c r="K4116">
        <v>554722055</v>
      </c>
      <c r="L4116">
        <v>519317307</v>
      </c>
      <c r="M4116">
        <v>431681893</v>
      </c>
      <c r="N4116">
        <v>461570003</v>
      </c>
      <c r="P4116">
        <v>958</v>
      </c>
      <c r="Q4116" t="s">
        <v>8577</v>
      </c>
    </row>
    <row r="4117" spans="1:17" x14ac:dyDescent="0.3">
      <c r="A4117" t="s">
        <v>4664</v>
      </c>
      <c r="B4117" t="str">
        <f>"300361"</f>
        <v>300361</v>
      </c>
      <c r="C4117" t="s">
        <v>7211</v>
      </c>
      <c r="D4117" t="s">
        <v>143</v>
      </c>
      <c r="P4117">
        <v>8</v>
      </c>
      <c r="Q4117" t="s">
        <v>8578</v>
      </c>
    </row>
    <row r="4118" spans="1:17" x14ac:dyDescent="0.3">
      <c r="A4118" t="s">
        <v>4664</v>
      </c>
      <c r="B4118" t="str">
        <f>"300362"</f>
        <v>300362</v>
      </c>
      <c r="C4118" t="s">
        <v>8579</v>
      </c>
      <c r="G4118">
        <v>264851300</v>
      </c>
      <c r="H4118">
        <v>201521526</v>
      </c>
      <c r="I4118">
        <v>589675988</v>
      </c>
      <c r="J4118">
        <v>900920850</v>
      </c>
      <c r="K4118">
        <v>383401295</v>
      </c>
      <c r="L4118">
        <v>147068943</v>
      </c>
      <c r="M4118">
        <v>115932084</v>
      </c>
      <c r="N4118">
        <v>131226342</v>
      </c>
      <c r="O4118">
        <v>144667257.68000001</v>
      </c>
      <c r="P4118">
        <v>87</v>
      </c>
      <c r="Q4118" t="s">
        <v>8580</v>
      </c>
    </row>
    <row r="4119" spans="1:17" x14ac:dyDescent="0.3">
      <c r="A4119" t="s">
        <v>4664</v>
      </c>
      <c r="B4119" t="str">
        <f>"300363"</f>
        <v>300363</v>
      </c>
      <c r="C4119" t="s">
        <v>8581</v>
      </c>
      <c r="D4119" t="s">
        <v>1461</v>
      </c>
      <c r="F4119">
        <v>1760701968</v>
      </c>
      <c r="G4119">
        <v>1324629406</v>
      </c>
      <c r="H4119">
        <v>1193124725</v>
      </c>
      <c r="I4119">
        <v>673162150</v>
      </c>
      <c r="J4119">
        <v>869988079</v>
      </c>
      <c r="K4119">
        <v>886771402</v>
      </c>
      <c r="L4119">
        <v>832932389</v>
      </c>
      <c r="M4119">
        <v>479348526</v>
      </c>
      <c r="N4119">
        <v>593112345</v>
      </c>
      <c r="P4119">
        <v>542</v>
      </c>
      <c r="Q4119" t="s">
        <v>8582</v>
      </c>
    </row>
    <row r="4120" spans="1:17" x14ac:dyDescent="0.3">
      <c r="A4120" t="s">
        <v>4664</v>
      </c>
      <c r="B4120" t="str">
        <f>"300364"</f>
        <v>300364</v>
      </c>
      <c r="C4120" t="s">
        <v>8583</v>
      </c>
      <c r="D4120" t="s">
        <v>525</v>
      </c>
      <c r="F4120">
        <v>823363004</v>
      </c>
      <c r="G4120">
        <v>716592944</v>
      </c>
      <c r="H4120">
        <v>567552513</v>
      </c>
      <c r="I4120">
        <v>825959620</v>
      </c>
      <c r="J4120">
        <v>511023250</v>
      </c>
      <c r="K4120">
        <v>383766189</v>
      </c>
      <c r="L4120">
        <v>194347892</v>
      </c>
      <c r="M4120">
        <v>134269193</v>
      </c>
      <c r="P4120">
        <v>153</v>
      </c>
      <c r="Q4120" t="s">
        <v>8584</v>
      </c>
    </row>
    <row r="4121" spans="1:17" x14ac:dyDescent="0.3">
      <c r="A4121" t="s">
        <v>4664</v>
      </c>
      <c r="B4121" t="str">
        <f>"300365"</f>
        <v>300365</v>
      </c>
      <c r="C4121" t="s">
        <v>8585</v>
      </c>
      <c r="D4121" t="s">
        <v>945</v>
      </c>
      <c r="F4121">
        <v>386697978</v>
      </c>
      <c r="G4121">
        <v>715667540</v>
      </c>
      <c r="H4121">
        <v>382546003</v>
      </c>
      <c r="I4121">
        <v>810784602</v>
      </c>
      <c r="J4121">
        <v>328473356</v>
      </c>
      <c r="K4121">
        <v>250890828</v>
      </c>
      <c r="L4121">
        <v>140264510</v>
      </c>
      <c r="M4121">
        <v>122306016</v>
      </c>
      <c r="N4121">
        <v>75346397</v>
      </c>
      <c r="P4121">
        <v>334</v>
      </c>
      <c r="Q4121" t="s">
        <v>8586</v>
      </c>
    </row>
    <row r="4122" spans="1:17" x14ac:dyDescent="0.3">
      <c r="A4122" t="s">
        <v>4664</v>
      </c>
      <c r="B4122" t="str">
        <f>"300366"</f>
        <v>300366</v>
      </c>
      <c r="C4122" t="s">
        <v>8587</v>
      </c>
      <c r="D4122" t="s">
        <v>945</v>
      </c>
      <c r="F4122">
        <v>1290444252</v>
      </c>
      <c r="G4122">
        <v>1525435972</v>
      </c>
      <c r="H4122">
        <v>1082554498</v>
      </c>
      <c r="I4122">
        <v>816484995</v>
      </c>
      <c r="J4122">
        <v>812927263</v>
      </c>
      <c r="K4122">
        <v>402636873</v>
      </c>
      <c r="L4122">
        <v>230119481</v>
      </c>
      <c r="M4122">
        <v>148805313</v>
      </c>
      <c r="N4122">
        <v>141878212</v>
      </c>
      <c r="O4122">
        <v>98014784</v>
      </c>
      <c r="P4122">
        <v>222</v>
      </c>
      <c r="Q4122" t="s">
        <v>8588</v>
      </c>
    </row>
    <row r="4123" spans="1:17" x14ac:dyDescent="0.3">
      <c r="A4123" t="s">
        <v>4664</v>
      </c>
      <c r="B4123" t="str">
        <f>"300367"</f>
        <v>300367</v>
      </c>
      <c r="C4123" t="s">
        <v>8589</v>
      </c>
      <c r="D4123" t="s">
        <v>2953</v>
      </c>
      <c r="F4123">
        <v>145082968</v>
      </c>
      <c r="G4123">
        <v>232000120</v>
      </c>
      <c r="H4123">
        <v>504422862</v>
      </c>
      <c r="I4123">
        <v>731265114</v>
      </c>
      <c r="J4123">
        <v>586980518</v>
      </c>
      <c r="K4123">
        <v>507333934</v>
      </c>
      <c r="L4123">
        <v>283417003</v>
      </c>
      <c r="M4123">
        <v>195638881</v>
      </c>
      <c r="N4123">
        <v>122235321</v>
      </c>
      <c r="O4123">
        <v>70754037</v>
      </c>
      <c r="P4123">
        <v>196</v>
      </c>
      <c r="Q4123" t="s">
        <v>8590</v>
      </c>
    </row>
    <row r="4124" spans="1:17" x14ac:dyDescent="0.3">
      <c r="A4124" t="s">
        <v>4664</v>
      </c>
      <c r="B4124" t="str">
        <f>"300368"</f>
        <v>300368</v>
      </c>
      <c r="C4124" t="s">
        <v>8591</v>
      </c>
      <c r="D4124" t="s">
        <v>236</v>
      </c>
      <c r="F4124">
        <v>3550780024</v>
      </c>
      <c r="G4124">
        <v>2038154993</v>
      </c>
      <c r="H4124">
        <v>657588739</v>
      </c>
      <c r="I4124">
        <v>698833373</v>
      </c>
      <c r="J4124">
        <v>275702902</v>
      </c>
      <c r="K4124">
        <v>253735914</v>
      </c>
      <c r="L4124">
        <v>218455392</v>
      </c>
      <c r="M4124">
        <v>105021090</v>
      </c>
      <c r="N4124">
        <v>120507184</v>
      </c>
      <c r="P4124">
        <v>119</v>
      </c>
      <c r="Q4124" t="s">
        <v>8592</v>
      </c>
    </row>
    <row r="4125" spans="1:17" x14ac:dyDescent="0.3">
      <c r="A4125" t="s">
        <v>4664</v>
      </c>
      <c r="B4125" t="str">
        <f>"300369"</f>
        <v>300369</v>
      </c>
      <c r="C4125" t="s">
        <v>8593</v>
      </c>
      <c r="D4125" t="s">
        <v>1189</v>
      </c>
      <c r="F4125">
        <v>1650406436</v>
      </c>
      <c r="G4125">
        <v>1313928592</v>
      </c>
      <c r="H4125">
        <v>1095611809</v>
      </c>
      <c r="I4125">
        <v>848054805</v>
      </c>
      <c r="J4125">
        <v>700700538</v>
      </c>
      <c r="K4125">
        <v>609554050</v>
      </c>
      <c r="L4125">
        <v>474507657</v>
      </c>
      <c r="M4125">
        <v>481675363</v>
      </c>
      <c r="N4125">
        <v>361718227</v>
      </c>
      <c r="P4125">
        <v>418</v>
      </c>
      <c r="Q4125" t="s">
        <v>8594</v>
      </c>
    </row>
    <row r="4126" spans="1:17" x14ac:dyDescent="0.3">
      <c r="A4126" t="s">
        <v>4664</v>
      </c>
      <c r="B4126" t="str">
        <f>"300370"</f>
        <v>300370</v>
      </c>
      <c r="C4126" t="s">
        <v>8595</v>
      </c>
      <c r="D4126" t="s">
        <v>2551</v>
      </c>
      <c r="F4126">
        <v>397162659</v>
      </c>
      <c r="G4126">
        <v>498934229</v>
      </c>
      <c r="H4126">
        <v>936188913</v>
      </c>
      <c r="I4126">
        <v>886584708</v>
      </c>
      <c r="J4126">
        <v>625400086</v>
      </c>
      <c r="K4126">
        <v>347881787</v>
      </c>
      <c r="L4126">
        <v>265123302</v>
      </c>
      <c r="M4126">
        <v>178139790</v>
      </c>
      <c r="N4126">
        <v>122942254</v>
      </c>
      <c r="O4126">
        <v>131316691</v>
      </c>
      <c r="P4126">
        <v>103</v>
      </c>
      <c r="Q4126" t="s">
        <v>8596</v>
      </c>
    </row>
    <row r="4127" spans="1:17" x14ac:dyDescent="0.3">
      <c r="A4127" t="s">
        <v>4664</v>
      </c>
      <c r="B4127" t="str">
        <f>"300371"</f>
        <v>300371</v>
      </c>
      <c r="C4127" t="s">
        <v>8597</v>
      </c>
      <c r="D4127" t="s">
        <v>2551</v>
      </c>
      <c r="F4127">
        <v>270571578</v>
      </c>
      <c r="G4127">
        <v>210407317</v>
      </c>
      <c r="H4127">
        <v>195636650</v>
      </c>
      <c r="I4127">
        <v>168953016</v>
      </c>
      <c r="J4127">
        <v>135545157</v>
      </c>
      <c r="K4127">
        <v>128310830</v>
      </c>
      <c r="L4127">
        <v>117434901</v>
      </c>
      <c r="M4127">
        <v>114854225</v>
      </c>
      <c r="N4127">
        <v>112281339</v>
      </c>
      <c r="P4127">
        <v>288</v>
      </c>
      <c r="Q4127" t="s">
        <v>8598</v>
      </c>
    </row>
    <row r="4128" spans="1:17" x14ac:dyDescent="0.3">
      <c r="A4128" t="s">
        <v>4664</v>
      </c>
      <c r="B4128" t="str">
        <f>"300372"</f>
        <v>300372</v>
      </c>
      <c r="C4128" t="s">
        <v>8599</v>
      </c>
      <c r="K4128">
        <v>144927642.69999999</v>
      </c>
      <c r="L4128">
        <v>169767878.72999999</v>
      </c>
      <c r="M4128">
        <v>146691267.65000001</v>
      </c>
      <c r="N4128">
        <v>216847432.77000001</v>
      </c>
      <c r="O4128">
        <v>237970569.88</v>
      </c>
      <c r="P4128">
        <v>5</v>
      </c>
      <c r="Q4128" t="s">
        <v>8600</v>
      </c>
    </row>
    <row r="4129" spans="1:17" x14ac:dyDescent="0.3">
      <c r="A4129" t="s">
        <v>4664</v>
      </c>
      <c r="B4129" t="str">
        <f>"300373"</f>
        <v>300373</v>
      </c>
      <c r="C4129" t="s">
        <v>8601</v>
      </c>
      <c r="D4129" t="s">
        <v>795</v>
      </c>
      <c r="F4129">
        <v>2481199478</v>
      </c>
      <c r="G4129">
        <v>1751249011</v>
      </c>
      <c r="H4129">
        <v>1219502185</v>
      </c>
      <c r="I4129">
        <v>1065440320</v>
      </c>
      <c r="J4129">
        <v>829351036</v>
      </c>
      <c r="K4129">
        <v>872505384</v>
      </c>
      <c r="L4129">
        <v>543745197</v>
      </c>
      <c r="M4129">
        <v>482401036</v>
      </c>
      <c r="N4129">
        <v>388789921</v>
      </c>
      <c r="O4129">
        <v>356774902</v>
      </c>
      <c r="P4129">
        <v>4305</v>
      </c>
      <c r="Q4129" t="s">
        <v>8602</v>
      </c>
    </row>
    <row r="4130" spans="1:17" x14ac:dyDescent="0.3">
      <c r="A4130" t="s">
        <v>4664</v>
      </c>
      <c r="B4130" t="str">
        <f>"300374"</f>
        <v>300374</v>
      </c>
      <c r="C4130" t="s">
        <v>8603</v>
      </c>
      <c r="D4130" t="s">
        <v>5835</v>
      </c>
      <c r="F4130">
        <v>271910687</v>
      </c>
      <c r="G4130">
        <v>680777761</v>
      </c>
      <c r="H4130">
        <v>637410182</v>
      </c>
      <c r="I4130">
        <v>291045196</v>
      </c>
      <c r="J4130">
        <v>665396507</v>
      </c>
      <c r="K4130">
        <v>126017012</v>
      </c>
      <c r="L4130">
        <v>157778931</v>
      </c>
      <c r="M4130">
        <v>162215317</v>
      </c>
      <c r="P4130">
        <v>61</v>
      </c>
      <c r="Q4130" t="s">
        <v>8604</v>
      </c>
    </row>
    <row r="4131" spans="1:17" x14ac:dyDescent="0.3">
      <c r="A4131" t="s">
        <v>4664</v>
      </c>
      <c r="B4131" t="str">
        <f>"300375"</f>
        <v>300375</v>
      </c>
      <c r="C4131" t="s">
        <v>8605</v>
      </c>
      <c r="D4131" t="s">
        <v>348</v>
      </c>
      <c r="F4131">
        <v>1255953008</v>
      </c>
      <c r="G4131">
        <v>1031785278</v>
      </c>
      <c r="H4131">
        <v>1203973037</v>
      </c>
      <c r="I4131">
        <v>664558599</v>
      </c>
      <c r="J4131">
        <v>735521164</v>
      </c>
      <c r="K4131">
        <v>705432351</v>
      </c>
      <c r="L4131">
        <v>623929423</v>
      </c>
      <c r="M4131">
        <v>676716675</v>
      </c>
      <c r="N4131">
        <v>606588863</v>
      </c>
      <c r="P4131">
        <v>99</v>
      </c>
      <c r="Q4131" t="s">
        <v>8606</v>
      </c>
    </row>
    <row r="4132" spans="1:17" x14ac:dyDescent="0.3">
      <c r="A4132" t="s">
        <v>4664</v>
      </c>
      <c r="B4132" t="str">
        <f>"300376"</f>
        <v>300376</v>
      </c>
      <c r="C4132" t="s">
        <v>8607</v>
      </c>
      <c r="D4132" t="s">
        <v>880</v>
      </c>
      <c r="F4132">
        <v>3367945141</v>
      </c>
      <c r="G4132">
        <v>3696951253</v>
      </c>
      <c r="H4132">
        <v>2507819551</v>
      </c>
      <c r="I4132">
        <v>3567012277</v>
      </c>
      <c r="J4132">
        <v>4809463844</v>
      </c>
      <c r="K4132">
        <v>2862835162</v>
      </c>
      <c r="L4132">
        <v>2009393423</v>
      </c>
      <c r="M4132">
        <v>1247108010</v>
      </c>
      <c r="P4132">
        <v>849</v>
      </c>
      <c r="Q4132" t="s">
        <v>8608</v>
      </c>
    </row>
    <row r="4133" spans="1:17" x14ac:dyDescent="0.3">
      <c r="A4133" t="s">
        <v>4664</v>
      </c>
      <c r="B4133" t="str">
        <f>"300377"</f>
        <v>300377</v>
      </c>
      <c r="C4133" t="s">
        <v>8609</v>
      </c>
      <c r="D4133" t="s">
        <v>945</v>
      </c>
      <c r="F4133">
        <v>516237037</v>
      </c>
      <c r="G4133">
        <v>328015642</v>
      </c>
      <c r="H4133">
        <v>314891301</v>
      </c>
      <c r="I4133">
        <v>283431695</v>
      </c>
      <c r="J4133">
        <v>234084006</v>
      </c>
      <c r="K4133">
        <v>169213687</v>
      </c>
      <c r="L4133">
        <v>115162916</v>
      </c>
      <c r="M4133">
        <v>95145669</v>
      </c>
      <c r="N4133">
        <v>79375182</v>
      </c>
      <c r="P4133">
        <v>3125</v>
      </c>
      <c r="Q4133" t="s">
        <v>8610</v>
      </c>
    </row>
    <row r="4134" spans="1:17" x14ac:dyDescent="0.3">
      <c r="A4134" t="s">
        <v>4664</v>
      </c>
      <c r="B4134" t="str">
        <f>"300378"</f>
        <v>300378</v>
      </c>
      <c r="C4134" t="s">
        <v>8611</v>
      </c>
      <c r="D4134" t="s">
        <v>1189</v>
      </c>
      <c r="F4134">
        <v>1299686972</v>
      </c>
      <c r="G4134">
        <v>1111092958</v>
      </c>
      <c r="H4134">
        <v>1074213961</v>
      </c>
      <c r="I4134">
        <v>1009725826</v>
      </c>
      <c r="J4134">
        <v>996468809</v>
      </c>
      <c r="K4134">
        <v>837980158</v>
      </c>
      <c r="L4134">
        <v>795335935</v>
      </c>
      <c r="M4134">
        <v>756919206</v>
      </c>
      <c r="N4134">
        <v>737179407</v>
      </c>
      <c r="P4134">
        <v>195</v>
      </c>
      <c r="Q4134" t="s">
        <v>8612</v>
      </c>
    </row>
    <row r="4135" spans="1:17" x14ac:dyDescent="0.3">
      <c r="A4135" t="s">
        <v>4664</v>
      </c>
      <c r="B4135" t="str">
        <f>"300379"</f>
        <v>300379</v>
      </c>
      <c r="C4135" t="s">
        <v>8613</v>
      </c>
      <c r="D4135" t="s">
        <v>945</v>
      </c>
      <c r="F4135">
        <v>483727004</v>
      </c>
      <c r="G4135">
        <v>276515418</v>
      </c>
      <c r="H4135">
        <v>226669990</v>
      </c>
      <c r="I4135">
        <v>210533980</v>
      </c>
      <c r="J4135">
        <v>183026216</v>
      </c>
      <c r="K4135">
        <v>259595645</v>
      </c>
      <c r="L4135">
        <v>145461907</v>
      </c>
      <c r="M4135">
        <v>97087262</v>
      </c>
      <c r="N4135">
        <v>107839947</v>
      </c>
      <c r="P4135">
        <v>395</v>
      </c>
      <c r="Q4135" t="s">
        <v>8614</v>
      </c>
    </row>
    <row r="4136" spans="1:17" x14ac:dyDescent="0.3">
      <c r="A4136" t="s">
        <v>4664</v>
      </c>
      <c r="B4136" t="str">
        <f>"300380"</f>
        <v>300380</v>
      </c>
      <c r="C4136" t="s">
        <v>8615</v>
      </c>
      <c r="D4136" t="s">
        <v>945</v>
      </c>
      <c r="F4136">
        <v>364488869</v>
      </c>
      <c r="G4136">
        <v>336886824</v>
      </c>
      <c r="H4136">
        <v>296670035</v>
      </c>
      <c r="I4136">
        <v>263003762</v>
      </c>
      <c r="J4136">
        <v>228471861</v>
      </c>
      <c r="K4136">
        <v>174247224</v>
      </c>
      <c r="L4136">
        <v>164866846</v>
      </c>
      <c r="M4136">
        <v>120383735</v>
      </c>
      <c r="N4136">
        <v>117438094</v>
      </c>
      <c r="O4136">
        <v>82163397</v>
      </c>
      <c r="P4136">
        <v>85</v>
      </c>
      <c r="Q4136" t="s">
        <v>8616</v>
      </c>
    </row>
    <row r="4137" spans="1:17" x14ac:dyDescent="0.3">
      <c r="A4137" t="s">
        <v>4664</v>
      </c>
      <c r="B4137" t="str">
        <f>"300381"</f>
        <v>300381</v>
      </c>
      <c r="C4137" t="s">
        <v>8617</v>
      </c>
      <c r="D4137" t="s">
        <v>496</v>
      </c>
      <c r="F4137">
        <v>1176056909</v>
      </c>
      <c r="G4137">
        <v>1275037139</v>
      </c>
      <c r="H4137">
        <v>1128536458</v>
      </c>
      <c r="I4137">
        <v>1134719790</v>
      </c>
      <c r="J4137">
        <v>835011024</v>
      </c>
      <c r="K4137">
        <v>789551233</v>
      </c>
      <c r="L4137">
        <v>430339605</v>
      </c>
      <c r="M4137">
        <v>229453659</v>
      </c>
      <c r="N4137">
        <v>241118423</v>
      </c>
      <c r="P4137">
        <v>160</v>
      </c>
      <c r="Q4137" t="s">
        <v>8618</v>
      </c>
    </row>
    <row r="4138" spans="1:17" x14ac:dyDescent="0.3">
      <c r="A4138" t="s">
        <v>4664</v>
      </c>
      <c r="B4138" t="str">
        <f>"300382"</f>
        <v>300382</v>
      </c>
      <c r="C4138" t="s">
        <v>8619</v>
      </c>
      <c r="D4138" t="s">
        <v>741</v>
      </c>
      <c r="F4138">
        <v>988633011</v>
      </c>
      <c r="G4138">
        <v>585825428</v>
      </c>
      <c r="H4138">
        <v>589765731</v>
      </c>
      <c r="I4138">
        <v>533810670</v>
      </c>
      <c r="J4138">
        <v>311458777</v>
      </c>
      <c r="K4138">
        <v>223260556</v>
      </c>
      <c r="L4138">
        <v>163181103</v>
      </c>
      <c r="M4138">
        <v>227239312</v>
      </c>
      <c r="N4138">
        <v>215617615</v>
      </c>
      <c r="P4138">
        <v>182</v>
      </c>
      <c r="Q4138" t="s">
        <v>8620</v>
      </c>
    </row>
    <row r="4139" spans="1:17" x14ac:dyDescent="0.3">
      <c r="A4139" t="s">
        <v>4664</v>
      </c>
      <c r="B4139" t="str">
        <f>"300383"</f>
        <v>300383</v>
      </c>
      <c r="C4139" t="s">
        <v>8621</v>
      </c>
      <c r="D4139" t="s">
        <v>316</v>
      </c>
      <c r="F4139">
        <v>5557853740</v>
      </c>
      <c r="G4139">
        <v>5862769987</v>
      </c>
      <c r="H4139">
        <v>5081642776</v>
      </c>
      <c r="I4139">
        <v>3713334690</v>
      </c>
      <c r="J4139">
        <v>2609075282</v>
      </c>
      <c r="K4139">
        <v>1117304882</v>
      </c>
      <c r="L4139">
        <v>393364292</v>
      </c>
      <c r="M4139">
        <v>289525687</v>
      </c>
      <c r="N4139">
        <v>226601449</v>
      </c>
      <c r="P4139">
        <v>2115</v>
      </c>
      <c r="Q4139" t="s">
        <v>8622</v>
      </c>
    </row>
    <row r="4140" spans="1:17" x14ac:dyDescent="0.3">
      <c r="A4140" t="s">
        <v>4664</v>
      </c>
      <c r="B4140" t="str">
        <f>"300384"</f>
        <v>300384</v>
      </c>
      <c r="C4140" t="s">
        <v>8623</v>
      </c>
      <c r="D4140" t="s">
        <v>2019</v>
      </c>
      <c r="F4140">
        <v>764994701</v>
      </c>
      <c r="G4140">
        <v>711850285</v>
      </c>
      <c r="H4140">
        <v>0</v>
      </c>
      <c r="I4140">
        <v>336150847</v>
      </c>
      <c r="J4140">
        <v>98439002</v>
      </c>
      <c r="K4140">
        <v>125552298</v>
      </c>
      <c r="L4140">
        <v>71817358</v>
      </c>
      <c r="M4140">
        <v>326537524</v>
      </c>
      <c r="N4140">
        <v>299407163</v>
      </c>
      <c r="P4140">
        <v>164</v>
      </c>
      <c r="Q4140" t="s">
        <v>8624</v>
      </c>
    </row>
    <row r="4141" spans="1:17" x14ac:dyDescent="0.3">
      <c r="A4141" t="s">
        <v>4664</v>
      </c>
      <c r="B4141" t="str">
        <f>"300385"</f>
        <v>300385</v>
      </c>
      <c r="C4141" t="s">
        <v>8625</v>
      </c>
      <c r="D4141" t="s">
        <v>663</v>
      </c>
      <c r="F4141">
        <v>969834870</v>
      </c>
      <c r="G4141">
        <v>1007230916</v>
      </c>
      <c r="H4141">
        <v>845101360</v>
      </c>
      <c r="I4141">
        <v>762214312</v>
      </c>
      <c r="J4141">
        <v>679132861</v>
      </c>
      <c r="K4141">
        <v>592117693</v>
      </c>
      <c r="L4141">
        <v>450479010</v>
      </c>
      <c r="M4141">
        <v>265233409</v>
      </c>
      <c r="N4141">
        <v>224303431</v>
      </c>
      <c r="P4141">
        <v>92</v>
      </c>
      <c r="Q4141" t="s">
        <v>8626</v>
      </c>
    </row>
    <row r="4142" spans="1:17" x14ac:dyDescent="0.3">
      <c r="A4142" t="s">
        <v>4664</v>
      </c>
      <c r="B4142" t="str">
        <f>"300386"</f>
        <v>300386</v>
      </c>
      <c r="C4142" t="s">
        <v>8627</v>
      </c>
      <c r="D4142" t="s">
        <v>236</v>
      </c>
      <c r="F4142">
        <v>519605725</v>
      </c>
      <c r="G4142">
        <v>576599110</v>
      </c>
      <c r="H4142">
        <v>567943699</v>
      </c>
      <c r="I4142">
        <v>656754204</v>
      </c>
      <c r="J4142">
        <v>669152856</v>
      </c>
      <c r="K4142">
        <v>533590754</v>
      </c>
      <c r="L4142">
        <v>603126874</v>
      </c>
      <c r="M4142">
        <v>692757689</v>
      </c>
      <c r="N4142">
        <v>550027486</v>
      </c>
      <c r="P4142">
        <v>188</v>
      </c>
      <c r="Q4142" t="s">
        <v>8628</v>
      </c>
    </row>
    <row r="4143" spans="1:17" x14ac:dyDescent="0.3">
      <c r="A4143" t="s">
        <v>4664</v>
      </c>
      <c r="B4143" t="str">
        <f>"300387"</f>
        <v>300387</v>
      </c>
      <c r="C4143" t="s">
        <v>8629</v>
      </c>
      <c r="D4143" t="s">
        <v>5489</v>
      </c>
      <c r="F4143">
        <v>573027314</v>
      </c>
      <c r="G4143">
        <v>405715032</v>
      </c>
      <c r="H4143">
        <v>489788347</v>
      </c>
      <c r="I4143">
        <v>499901003</v>
      </c>
      <c r="J4143">
        <v>421990660</v>
      </c>
      <c r="K4143">
        <v>434148844</v>
      </c>
      <c r="L4143">
        <v>271732518</v>
      </c>
      <c r="M4143">
        <v>166600478</v>
      </c>
      <c r="N4143">
        <v>208113640</v>
      </c>
      <c r="P4143">
        <v>89</v>
      </c>
      <c r="Q4143" t="s">
        <v>8630</v>
      </c>
    </row>
    <row r="4144" spans="1:17" x14ac:dyDescent="0.3">
      <c r="A4144" t="s">
        <v>4664</v>
      </c>
      <c r="B4144" t="str">
        <f>"300388"</f>
        <v>300388</v>
      </c>
      <c r="C4144" t="s">
        <v>8631</v>
      </c>
      <c r="D4144" t="s">
        <v>33</v>
      </c>
      <c r="F4144">
        <v>2844530956</v>
      </c>
      <c r="G4144">
        <v>2609279207</v>
      </c>
      <c r="H4144">
        <v>2672209464</v>
      </c>
      <c r="I4144">
        <v>2578751463</v>
      </c>
      <c r="J4144">
        <v>1468935747</v>
      </c>
      <c r="K4144">
        <v>822983977</v>
      </c>
      <c r="L4144">
        <v>685548921</v>
      </c>
      <c r="M4144">
        <v>682658045</v>
      </c>
      <c r="N4144">
        <v>398467219</v>
      </c>
      <c r="P4144">
        <v>225</v>
      </c>
      <c r="Q4144" t="s">
        <v>8632</v>
      </c>
    </row>
    <row r="4145" spans="1:17" x14ac:dyDescent="0.3">
      <c r="A4145" t="s">
        <v>4664</v>
      </c>
      <c r="B4145" t="str">
        <f>"300389"</f>
        <v>300389</v>
      </c>
      <c r="C4145" t="s">
        <v>8633</v>
      </c>
      <c r="D4145" t="s">
        <v>803</v>
      </c>
      <c r="F4145">
        <v>1713867922</v>
      </c>
      <c r="G4145">
        <v>1276298327</v>
      </c>
      <c r="H4145">
        <v>1578493312</v>
      </c>
      <c r="I4145">
        <v>1351824380</v>
      </c>
      <c r="J4145">
        <v>1002737541</v>
      </c>
      <c r="K4145">
        <v>792677494</v>
      </c>
      <c r="L4145">
        <v>737369107</v>
      </c>
      <c r="M4145">
        <v>751373441</v>
      </c>
      <c r="N4145">
        <v>521901429</v>
      </c>
      <c r="P4145">
        <v>198</v>
      </c>
      <c r="Q4145" t="s">
        <v>8634</v>
      </c>
    </row>
    <row r="4146" spans="1:17" x14ac:dyDescent="0.3">
      <c r="A4146" t="s">
        <v>4664</v>
      </c>
      <c r="B4146" t="str">
        <f>"300390"</f>
        <v>300390</v>
      </c>
      <c r="C4146" t="s">
        <v>8635</v>
      </c>
      <c r="D4146" t="s">
        <v>651</v>
      </c>
      <c r="F4146">
        <v>1623904057</v>
      </c>
      <c r="G4146">
        <v>1156826119</v>
      </c>
      <c r="H4146">
        <v>602671348</v>
      </c>
      <c r="I4146">
        <v>583627380</v>
      </c>
      <c r="J4146">
        <v>534266610</v>
      </c>
      <c r="K4146">
        <v>463160591</v>
      </c>
      <c r="L4146">
        <v>346555958</v>
      </c>
      <c r="M4146">
        <v>283368423</v>
      </c>
      <c r="N4146">
        <v>282091170</v>
      </c>
      <c r="P4146">
        <v>460</v>
      </c>
      <c r="Q4146" t="s">
        <v>8636</v>
      </c>
    </row>
    <row r="4147" spans="1:17" x14ac:dyDescent="0.3">
      <c r="A4147" t="s">
        <v>4664</v>
      </c>
      <c r="B4147" t="str">
        <f>"300391"</f>
        <v>300391</v>
      </c>
      <c r="C4147" t="s">
        <v>8637</v>
      </c>
      <c r="D4147" t="s">
        <v>348</v>
      </c>
      <c r="F4147">
        <v>1480917576</v>
      </c>
      <c r="G4147">
        <v>412197889</v>
      </c>
      <c r="H4147">
        <v>432885858</v>
      </c>
      <c r="I4147">
        <v>557233430</v>
      </c>
      <c r="J4147">
        <v>387151336</v>
      </c>
      <c r="K4147">
        <v>76864500</v>
      </c>
      <c r="L4147">
        <v>91280897</v>
      </c>
      <c r="M4147">
        <v>91670753</v>
      </c>
      <c r="N4147">
        <v>110910123</v>
      </c>
      <c r="P4147">
        <v>80</v>
      </c>
      <c r="Q4147" t="s">
        <v>8638</v>
      </c>
    </row>
    <row r="4148" spans="1:17" x14ac:dyDescent="0.3">
      <c r="A4148" t="s">
        <v>4664</v>
      </c>
      <c r="B4148" t="str">
        <f>"300392"</f>
        <v>300392</v>
      </c>
      <c r="C4148" t="s">
        <v>8639</v>
      </c>
      <c r="D4148" t="s">
        <v>207</v>
      </c>
      <c r="F4148">
        <v>72712501</v>
      </c>
      <c r="G4148">
        <v>968820670</v>
      </c>
      <c r="H4148">
        <v>757662351</v>
      </c>
      <c r="I4148">
        <v>912365527</v>
      </c>
      <c r="J4148">
        <v>1244517584</v>
      </c>
      <c r="K4148">
        <v>1009509396</v>
      </c>
      <c r="L4148">
        <v>780763833</v>
      </c>
      <c r="M4148">
        <v>546294934</v>
      </c>
      <c r="N4148">
        <v>431687174</v>
      </c>
      <c r="P4148">
        <v>66</v>
      </c>
      <c r="Q4148" t="s">
        <v>8640</v>
      </c>
    </row>
    <row r="4149" spans="1:17" x14ac:dyDescent="0.3">
      <c r="A4149" t="s">
        <v>4664</v>
      </c>
      <c r="B4149" t="str">
        <f>"300393"</f>
        <v>300393</v>
      </c>
      <c r="C4149" t="s">
        <v>8641</v>
      </c>
      <c r="D4149" t="s">
        <v>356</v>
      </c>
      <c r="F4149">
        <v>3017166142</v>
      </c>
      <c r="G4149">
        <v>1860397812</v>
      </c>
      <c r="H4149">
        <v>1014485008</v>
      </c>
      <c r="I4149">
        <v>1362871622</v>
      </c>
      <c r="J4149">
        <v>2313500529</v>
      </c>
      <c r="K4149">
        <v>873745102</v>
      </c>
      <c r="L4149">
        <v>429939156</v>
      </c>
      <c r="M4149">
        <v>288538817</v>
      </c>
      <c r="N4149">
        <v>195656615</v>
      </c>
      <c r="P4149">
        <v>304</v>
      </c>
      <c r="Q4149" t="s">
        <v>8642</v>
      </c>
    </row>
    <row r="4150" spans="1:17" x14ac:dyDescent="0.3">
      <c r="A4150" t="s">
        <v>4664</v>
      </c>
      <c r="B4150" t="str">
        <f>"300394"</f>
        <v>300394</v>
      </c>
      <c r="C4150" t="s">
        <v>8643</v>
      </c>
      <c r="D4150" t="s">
        <v>1019</v>
      </c>
      <c r="F4150">
        <v>807114364</v>
      </c>
      <c r="G4150">
        <v>647360107</v>
      </c>
      <c r="H4150">
        <v>420304449</v>
      </c>
      <c r="I4150">
        <v>325729396</v>
      </c>
      <c r="J4150">
        <v>290021389</v>
      </c>
      <c r="K4150">
        <v>249332284</v>
      </c>
      <c r="L4150">
        <v>185346479</v>
      </c>
      <c r="M4150">
        <v>145014728</v>
      </c>
      <c r="P4150">
        <v>802</v>
      </c>
      <c r="Q4150" t="s">
        <v>8644</v>
      </c>
    </row>
    <row r="4151" spans="1:17" x14ac:dyDescent="0.3">
      <c r="A4151" t="s">
        <v>4664</v>
      </c>
      <c r="B4151" t="str">
        <f>"300395"</f>
        <v>300395</v>
      </c>
      <c r="C4151" t="s">
        <v>8645</v>
      </c>
      <c r="D4151" t="s">
        <v>98</v>
      </c>
      <c r="F4151">
        <v>594843422</v>
      </c>
      <c r="G4151">
        <v>471717856</v>
      </c>
      <c r="H4151">
        <v>518397705</v>
      </c>
      <c r="I4151">
        <v>384712734</v>
      </c>
      <c r="J4151">
        <v>303647826</v>
      </c>
      <c r="K4151">
        <v>245818439</v>
      </c>
      <c r="L4151">
        <v>171200974</v>
      </c>
      <c r="M4151">
        <v>135897903</v>
      </c>
      <c r="N4151">
        <v>144264460</v>
      </c>
      <c r="P4151">
        <v>553</v>
      </c>
      <c r="Q4151" t="s">
        <v>8646</v>
      </c>
    </row>
    <row r="4152" spans="1:17" x14ac:dyDescent="0.3">
      <c r="A4152" t="s">
        <v>4664</v>
      </c>
      <c r="B4152" t="str">
        <f>"300396"</f>
        <v>300396</v>
      </c>
      <c r="C4152" t="s">
        <v>8647</v>
      </c>
      <c r="D4152" t="s">
        <v>1305</v>
      </c>
      <c r="F4152">
        <v>605471047</v>
      </c>
      <c r="G4152">
        <v>778980350</v>
      </c>
      <c r="H4152">
        <v>812121012</v>
      </c>
      <c r="I4152">
        <v>775958768</v>
      </c>
      <c r="J4152">
        <v>723596966</v>
      </c>
      <c r="K4152">
        <v>603870515</v>
      </c>
      <c r="L4152">
        <v>415820267</v>
      </c>
      <c r="M4152">
        <v>401272028</v>
      </c>
      <c r="N4152">
        <v>374840044</v>
      </c>
      <c r="P4152">
        <v>360</v>
      </c>
      <c r="Q4152" t="s">
        <v>8648</v>
      </c>
    </row>
    <row r="4153" spans="1:17" x14ac:dyDescent="0.3">
      <c r="A4153" t="s">
        <v>4664</v>
      </c>
      <c r="B4153" t="str">
        <f>"300397"</f>
        <v>300397</v>
      </c>
      <c r="C4153" t="s">
        <v>8649</v>
      </c>
      <c r="D4153" t="s">
        <v>98</v>
      </c>
      <c r="F4153">
        <v>648181837</v>
      </c>
      <c r="G4153">
        <v>844517932</v>
      </c>
      <c r="H4153">
        <v>388614128</v>
      </c>
      <c r="I4153">
        <v>140070706</v>
      </c>
      <c r="J4153">
        <v>251992576</v>
      </c>
      <c r="K4153">
        <v>88718230</v>
      </c>
      <c r="L4153">
        <v>80867392</v>
      </c>
      <c r="M4153">
        <v>95967023</v>
      </c>
      <c r="N4153">
        <v>142233695</v>
      </c>
      <c r="P4153">
        <v>232</v>
      </c>
      <c r="Q4153" t="s">
        <v>8650</v>
      </c>
    </row>
    <row r="4154" spans="1:17" x14ac:dyDescent="0.3">
      <c r="A4154" t="s">
        <v>4664</v>
      </c>
      <c r="B4154" t="str">
        <f>"300398"</f>
        <v>300398</v>
      </c>
      <c r="C4154" t="s">
        <v>8651</v>
      </c>
      <c r="D4154" t="s">
        <v>2399</v>
      </c>
      <c r="F4154">
        <v>2100212203</v>
      </c>
      <c r="G4154">
        <v>1369115026</v>
      </c>
      <c r="H4154">
        <v>1084455305</v>
      </c>
      <c r="I4154">
        <v>1099858440</v>
      </c>
      <c r="J4154">
        <v>538311553</v>
      </c>
      <c r="K4154">
        <v>343576205</v>
      </c>
      <c r="L4154">
        <v>373154188</v>
      </c>
      <c r="M4154">
        <v>329698696</v>
      </c>
      <c r="N4154">
        <v>270382236</v>
      </c>
      <c r="P4154">
        <v>244</v>
      </c>
      <c r="Q4154" t="s">
        <v>8652</v>
      </c>
    </row>
    <row r="4155" spans="1:17" x14ac:dyDescent="0.3">
      <c r="A4155" t="s">
        <v>4664</v>
      </c>
      <c r="B4155" t="str">
        <f>"300399"</f>
        <v>300399</v>
      </c>
      <c r="C4155" t="s">
        <v>8653</v>
      </c>
      <c r="D4155" t="s">
        <v>316</v>
      </c>
      <c r="F4155">
        <v>357631841</v>
      </c>
      <c r="G4155">
        <v>400688029</v>
      </c>
      <c r="H4155">
        <v>435861180</v>
      </c>
      <c r="I4155">
        <v>266787958</v>
      </c>
      <c r="J4155">
        <v>232142204</v>
      </c>
      <c r="K4155">
        <v>210805746</v>
      </c>
      <c r="L4155">
        <v>123845663</v>
      </c>
      <c r="M4155">
        <v>74764621</v>
      </c>
      <c r="N4155">
        <v>105113467</v>
      </c>
      <c r="P4155">
        <v>80</v>
      </c>
      <c r="Q4155" t="s">
        <v>8654</v>
      </c>
    </row>
    <row r="4156" spans="1:17" x14ac:dyDescent="0.3">
      <c r="A4156" t="s">
        <v>4664</v>
      </c>
      <c r="B4156" t="str">
        <f>"300400"</f>
        <v>300400</v>
      </c>
      <c r="C4156" t="s">
        <v>8655</v>
      </c>
      <c r="D4156" t="s">
        <v>3450</v>
      </c>
      <c r="F4156">
        <v>665360630</v>
      </c>
      <c r="G4156">
        <v>691500192</v>
      </c>
      <c r="H4156">
        <v>353092752</v>
      </c>
      <c r="I4156">
        <v>414443097</v>
      </c>
      <c r="J4156">
        <v>340066761</v>
      </c>
      <c r="K4156">
        <v>197663586</v>
      </c>
      <c r="L4156">
        <v>215720236</v>
      </c>
      <c r="M4156">
        <v>220566576</v>
      </c>
      <c r="N4156">
        <v>205115814</v>
      </c>
      <c r="P4156">
        <v>273</v>
      </c>
      <c r="Q4156" t="s">
        <v>8656</v>
      </c>
    </row>
    <row r="4157" spans="1:17" x14ac:dyDescent="0.3">
      <c r="A4157" t="s">
        <v>4664</v>
      </c>
      <c r="B4157" t="str">
        <f>"300401"</f>
        <v>300401</v>
      </c>
      <c r="C4157" t="s">
        <v>8657</v>
      </c>
      <c r="D4157" t="s">
        <v>496</v>
      </c>
      <c r="F4157">
        <v>469557731</v>
      </c>
      <c r="G4157">
        <v>531372616</v>
      </c>
      <c r="H4157">
        <v>629912541</v>
      </c>
      <c r="I4157">
        <v>451289019</v>
      </c>
      <c r="J4157">
        <v>348395305</v>
      </c>
      <c r="K4157">
        <v>219576534</v>
      </c>
      <c r="L4157">
        <v>121079296</v>
      </c>
      <c r="M4157">
        <v>118427833</v>
      </c>
      <c r="N4157">
        <v>137473008</v>
      </c>
      <c r="P4157">
        <v>476</v>
      </c>
      <c r="Q4157" t="s">
        <v>8658</v>
      </c>
    </row>
    <row r="4158" spans="1:17" x14ac:dyDescent="0.3">
      <c r="A4158" t="s">
        <v>4664</v>
      </c>
      <c r="B4158" t="str">
        <f>"300402"</f>
        <v>300402</v>
      </c>
      <c r="C4158" t="s">
        <v>8659</v>
      </c>
      <c r="D4158" t="s">
        <v>274</v>
      </c>
      <c r="F4158">
        <v>569884158</v>
      </c>
      <c r="G4158">
        <v>417972280</v>
      </c>
      <c r="H4158">
        <v>625932059</v>
      </c>
      <c r="I4158">
        <v>314118634</v>
      </c>
      <c r="J4158">
        <v>199081575</v>
      </c>
      <c r="K4158">
        <v>175548217</v>
      </c>
      <c r="L4158">
        <v>303633959</v>
      </c>
      <c r="M4158">
        <v>295496431</v>
      </c>
      <c r="N4158">
        <v>221161722</v>
      </c>
      <c r="P4158">
        <v>101</v>
      </c>
      <c r="Q4158" t="s">
        <v>8660</v>
      </c>
    </row>
    <row r="4159" spans="1:17" x14ac:dyDescent="0.3">
      <c r="A4159" t="s">
        <v>4664</v>
      </c>
      <c r="B4159" t="str">
        <f>"300403"</f>
        <v>300403</v>
      </c>
      <c r="C4159" t="s">
        <v>8661</v>
      </c>
      <c r="D4159" t="s">
        <v>1253</v>
      </c>
      <c r="F4159">
        <v>754767113</v>
      </c>
      <c r="G4159">
        <v>561323554</v>
      </c>
      <c r="H4159">
        <v>571406750</v>
      </c>
      <c r="I4159">
        <v>606092313</v>
      </c>
      <c r="J4159">
        <v>615819005</v>
      </c>
      <c r="K4159">
        <v>505866486</v>
      </c>
      <c r="L4159">
        <v>454928691</v>
      </c>
      <c r="M4159">
        <v>417496951</v>
      </c>
      <c r="N4159">
        <v>361377815</v>
      </c>
      <c r="P4159">
        <v>253</v>
      </c>
      <c r="Q4159" t="s">
        <v>8662</v>
      </c>
    </row>
    <row r="4160" spans="1:17" x14ac:dyDescent="0.3">
      <c r="A4160" t="s">
        <v>4664</v>
      </c>
      <c r="B4160" t="str">
        <f>"300404"</f>
        <v>300404</v>
      </c>
      <c r="C4160" t="s">
        <v>8663</v>
      </c>
      <c r="D4160" t="s">
        <v>1461</v>
      </c>
      <c r="F4160">
        <v>221146134</v>
      </c>
      <c r="G4160">
        <v>200614764</v>
      </c>
      <c r="H4160">
        <v>144538242</v>
      </c>
      <c r="I4160">
        <v>117282109</v>
      </c>
      <c r="J4160">
        <v>98017965</v>
      </c>
      <c r="K4160">
        <v>46613031</v>
      </c>
      <c r="L4160">
        <v>87533729</v>
      </c>
      <c r="M4160">
        <v>76071553</v>
      </c>
      <c r="P4160">
        <v>150</v>
      </c>
      <c r="Q4160" t="s">
        <v>8664</v>
      </c>
    </row>
    <row r="4161" spans="1:17" x14ac:dyDescent="0.3">
      <c r="A4161" t="s">
        <v>4664</v>
      </c>
      <c r="B4161" t="str">
        <f>"300405"</f>
        <v>300405</v>
      </c>
      <c r="C4161" t="s">
        <v>8665</v>
      </c>
      <c r="D4161" t="s">
        <v>386</v>
      </c>
      <c r="F4161">
        <v>869075510</v>
      </c>
      <c r="G4161">
        <v>764619808</v>
      </c>
      <c r="H4161">
        <v>967663423</v>
      </c>
      <c r="I4161">
        <v>894583337</v>
      </c>
      <c r="J4161">
        <v>730348739</v>
      </c>
      <c r="K4161">
        <v>603415503</v>
      </c>
      <c r="L4161">
        <v>719566857</v>
      </c>
      <c r="M4161">
        <v>317606007</v>
      </c>
      <c r="N4161">
        <v>218064445</v>
      </c>
      <c r="P4161">
        <v>59</v>
      </c>
      <c r="Q4161" t="s">
        <v>8666</v>
      </c>
    </row>
    <row r="4162" spans="1:17" x14ac:dyDescent="0.3">
      <c r="A4162" t="s">
        <v>4664</v>
      </c>
      <c r="B4162" t="str">
        <f>"300406"</f>
        <v>300406</v>
      </c>
      <c r="C4162" t="s">
        <v>8667</v>
      </c>
      <c r="D4162" t="s">
        <v>1305</v>
      </c>
      <c r="F4162">
        <v>1040345097</v>
      </c>
      <c r="G4162">
        <v>573153347</v>
      </c>
      <c r="H4162">
        <v>584092233</v>
      </c>
      <c r="I4162">
        <v>575014613</v>
      </c>
      <c r="J4162">
        <v>487624320</v>
      </c>
      <c r="K4162">
        <v>490591324</v>
      </c>
      <c r="L4162">
        <v>399628383</v>
      </c>
      <c r="M4162">
        <v>378207724</v>
      </c>
      <c r="N4162">
        <v>322646131</v>
      </c>
      <c r="P4162">
        <v>14630</v>
      </c>
      <c r="Q4162" t="s">
        <v>8668</v>
      </c>
    </row>
    <row r="4163" spans="1:17" x14ac:dyDescent="0.3">
      <c r="A4163" t="s">
        <v>4664</v>
      </c>
      <c r="B4163" t="str">
        <f>"300407"</f>
        <v>300407</v>
      </c>
      <c r="C4163" t="s">
        <v>8669</v>
      </c>
      <c r="D4163" t="s">
        <v>610</v>
      </c>
      <c r="F4163">
        <v>1224741112</v>
      </c>
      <c r="G4163">
        <v>1284576036</v>
      </c>
      <c r="H4163">
        <v>1324555238</v>
      </c>
      <c r="I4163">
        <v>963345631</v>
      </c>
      <c r="J4163">
        <v>994421617</v>
      </c>
      <c r="K4163">
        <v>225213764</v>
      </c>
      <c r="L4163">
        <v>287502703</v>
      </c>
      <c r="M4163">
        <v>280656120</v>
      </c>
      <c r="N4163">
        <v>173055069</v>
      </c>
      <c r="P4163">
        <v>132</v>
      </c>
      <c r="Q4163" t="s">
        <v>8670</v>
      </c>
    </row>
    <row r="4164" spans="1:17" x14ac:dyDescent="0.3">
      <c r="A4164" t="s">
        <v>4664</v>
      </c>
      <c r="B4164" t="str">
        <f>"300408"</f>
        <v>300408</v>
      </c>
      <c r="C4164" t="s">
        <v>8671</v>
      </c>
      <c r="D4164" t="s">
        <v>546</v>
      </c>
      <c r="F4164">
        <v>4763528548</v>
      </c>
      <c r="G4164">
        <v>2489693628</v>
      </c>
      <c r="H4164">
        <v>2908292715</v>
      </c>
      <c r="I4164">
        <v>3117457418</v>
      </c>
      <c r="J4164">
        <v>2432428301</v>
      </c>
      <c r="K4164">
        <v>2336159754</v>
      </c>
      <c r="L4164">
        <v>1707491695</v>
      </c>
      <c r="M4164">
        <v>1700890266</v>
      </c>
      <c r="P4164">
        <v>1510</v>
      </c>
      <c r="Q4164" t="s">
        <v>8672</v>
      </c>
    </row>
    <row r="4165" spans="1:17" x14ac:dyDescent="0.3">
      <c r="A4165" t="s">
        <v>4664</v>
      </c>
      <c r="B4165" t="str">
        <f>"300409"</f>
        <v>300409</v>
      </c>
      <c r="C4165" t="s">
        <v>8673</v>
      </c>
      <c r="D4165" t="s">
        <v>1786</v>
      </c>
      <c r="F4165">
        <v>3862801818</v>
      </c>
      <c r="G4165">
        <v>1714408291</v>
      </c>
      <c r="H4165">
        <v>2315465188</v>
      </c>
      <c r="I4165">
        <v>2128998345</v>
      </c>
      <c r="J4165">
        <v>719029050</v>
      </c>
      <c r="K4165">
        <v>498968095</v>
      </c>
      <c r="L4165">
        <v>287899644</v>
      </c>
      <c r="M4165">
        <v>322379404</v>
      </c>
      <c r="P4165">
        <v>240</v>
      </c>
      <c r="Q4165" t="s">
        <v>8674</v>
      </c>
    </row>
    <row r="4166" spans="1:17" x14ac:dyDescent="0.3">
      <c r="A4166" t="s">
        <v>4664</v>
      </c>
      <c r="B4166" t="str">
        <f>"300410"</f>
        <v>300410</v>
      </c>
      <c r="C4166" t="s">
        <v>8675</v>
      </c>
      <c r="D4166" t="s">
        <v>2551</v>
      </c>
      <c r="F4166">
        <v>763113887</v>
      </c>
      <c r="G4166">
        <v>804693441</v>
      </c>
      <c r="H4166">
        <v>761720174</v>
      </c>
      <c r="I4166">
        <v>889468231</v>
      </c>
      <c r="J4166">
        <v>650115057</v>
      </c>
      <c r="K4166">
        <v>364681801</v>
      </c>
      <c r="L4166">
        <v>162262889</v>
      </c>
      <c r="M4166">
        <v>182451350</v>
      </c>
      <c r="N4166">
        <v>165934068</v>
      </c>
      <c r="P4166">
        <v>215</v>
      </c>
      <c r="Q4166" t="s">
        <v>8676</v>
      </c>
    </row>
    <row r="4167" spans="1:17" x14ac:dyDescent="0.3">
      <c r="A4167" t="s">
        <v>4664</v>
      </c>
      <c r="B4167" t="str">
        <f>"300411"</f>
        <v>300411</v>
      </c>
      <c r="C4167" t="s">
        <v>8677</v>
      </c>
      <c r="D4167" t="s">
        <v>741</v>
      </c>
      <c r="F4167">
        <v>379538764</v>
      </c>
      <c r="G4167">
        <v>565568785</v>
      </c>
      <c r="H4167">
        <v>430558235</v>
      </c>
      <c r="I4167">
        <v>334184879</v>
      </c>
      <c r="J4167">
        <v>191881010</v>
      </c>
      <c r="K4167">
        <v>225168975</v>
      </c>
      <c r="L4167">
        <v>145779358</v>
      </c>
      <c r="M4167">
        <v>202616816</v>
      </c>
      <c r="P4167">
        <v>73</v>
      </c>
      <c r="Q4167" t="s">
        <v>8678</v>
      </c>
    </row>
    <row r="4168" spans="1:17" x14ac:dyDescent="0.3">
      <c r="A4168" t="s">
        <v>4664</v>
      </c>
      <c r="B4168" t="str">
        <f>"300412"</f>
        <v>300412</v>
      </c>
      <c r="C4168" t="s">
        <v>8679</v>
      </c>
      <c r="D4168" t="s">
        <v>741</v>
      </c>
      <c r="F4168">
        <v>616167206</v>
      </c>
      <c r="G4168">
        <v>530101420</v>
      </c>
      <c r="H4168">
        <v>451334295</v>
      </c>
      <c r="I4168">
        <v>368701911</v>
      </c>
      <c r="J4168">
        <v>317453938</v>
      </c>
      <c r="K4168">
        <v>199077067</v>
      </c>
      <c r="L4168">
        <v>168234289</v>
      </c>
      <c r="M4168">
        <v>163250947</v>
      </c>
      <c r="N4168">
        <v>133331595</v>
      </c>
      <c r="P4168">
        <v>96</v>
      </c>
      <c r="Q4168" t="s">
        <v>8680</v>
      </c>
    </row>
    <row r="4169" spans="1:17" x14ac:dyDescent="0.3">
      <c r="A4169" t="s">
        <v>4664</v>
      </c>
      <c r="B4169" t="str">
        <f>"300413"</f>
        <v>300413</v>
      </c>
      <c r="C4169" t="s">
        <v>8681</v>
      </c>
      <c r="D4169" t="s">
        <v>1294</v>
      </c>
      <c r="F4169">
        <v>10791981424</v>
      </c>
      <c r="G4169">
        <v>9631142188</v>
      </c>
      <c r="H4169">
        <v>7162819374</v>
      </c>
      <c r="I4169">
        <v>7745518422</v>
      </c>
      <c r="J4169">
        <v>2564040989</v>
      </c>
      <c r="K4169">
        <v>2952041162</v>
      </c>
      <c r="L4169">
        <v>2560821640</v>
      </c>
      <c r="M4169">
        <v>2429089707</v>
      </c>
      <c r="P4169">
        <v>1145</v>
      </c>
      <c r="Q4169" t="s">
        <v>8682</v>
      </c>
    </row>
    <row r="4170" spans="1:17" x14ac:dyDescent="0.3">
      <c r="A4170" t="s">
        <v>4664</v>
      </c>
      <c r="B4170" t="str">
        <f>"300414"</f>
        <v>300414</v>
      </c>
      <c r="C4170" t="s">
        <v>8683</v>
      </c>
      <c r="D4170" t="s">
        <v>595</v>
      </c>
      <c r="F4170">
        <v>326247666</v>
      </c>
      <c r="G4170">
        <v>275231161</v>
      </c>
      <c r="H4170">
        <v>289954862</v>
      </c>
      <c r="I4170">
        <v>280099420</v>
      </c>
      <c r="J4170">
        <v>223436297</v>
      </c>
      <c r="K4170">
        <v>268175057</v>
      </c>
      <c r="L4170">
        <v>259920709</v>
      </c>
      <c r="M4170">
        <v>314302984</v>
      </c>
      <c r="P4170">
        <v>219</v>
      </c>
      <c r="Q4170" t="s">
        <v>8684</v>
      </c>
    </row>
    <row r="4171" spans="1:17" x14ac:dyDescent="0.3">
      <c r="A4171" t="s">
        <v>4664</v>
      </c>
      <c r="B4171" t="str">
        <f>"300415"</f>
        <v>300415</v>
      </c>
      <c r="C4171" t="s">
        <v>8685</v>
      </c>
      <c r="D4171" t="s">
        <v>741</v>
      </c>
      <c r="F4171">
        <v>2604967367</v>
      </c>
      <c r="G4171">
        <v>1700511185</v>
      </c>
      <c r="H4171">
        <v>1525390041</v>
      </c>
      <c r="I4171">
        <v>1654731419</v>
      </c>
      <c r="J4171">
        <v>1337314378</v>
      </c>
      <c r="K4171">
        <v>1084545652</v>
      </c>
      <c r="L4171">
        <v>843855176</v>
      </c>
      <c r="M4171">
        <v>781026621</v>
      </c>
      <c r="P4171">
        <v>547</v>
      </c>
      <c r="Q4171" t="s">
        <v>8686</v>
      </c>
    </row>
    <row r="4172" spans="1:17" x14ac:dyDescent="0.3">
      <c r="A4172" t="s">
        <v>4664</v>
      </c>
      <c r="B4172" t="str">
        <f>"300416"</f>
        <v>300416</v>
      </c>
      <c r="C4172" t="s">
        <v>8687</v>
      </c>
      <c r="D4172" t="s">
        <v>2551</v>
      </c>
      <c r="F4172">
        <v>1119834344</v>
      </c>
      <c r="G4172">
        <v>797619251</v>
      </c>
      <c r="H4172">
        <v>391153831</v>
      </c>
      <c r="I4172">
        <v>378006734</v>
      </c>
      <c r="J4172">
        <v>234711534</v>
      </c>
      <c r="K4172">
        <v>211915965</v>
      </c>
      <c r="L4172">
        <v>191730534</v>
      </c>
      <c r="M4172">
        <v>173107199</v>
      </c>
      <c r="P4172">
        <v>305</v>
      </c>
      <c r="Q4172" t="s">
        <v>8688</v>
      </c>
    </row>
    <row r="4173" spans="1:17" x14ac:dyDescent="0.3">
      <c r="A4173" t="s">
        <v>4664</v>
      </c>
      <c r="B4173" t="str">
        <f>"300417"</f>
        <v>300417</v>
      </c>
      <c r="C4173" t="s">
        <v>8689</v>
      </c>
      <c r="D4173" t="s">
        <v>2551</v>
      </c>
      <c r="F4173">
        <v>148863309</v>
      </c>
      <c r="G4173">
        <v>250562191</v>
      </c>
      <c r="H4173">
        <v>544714963</v>
      </c>
      <c r="I4173">
        <v>127884395</v>
      </c>
      <c r="J4173">
        <v>168066268</v>
      </c>
      <c r="K4173">
        <v>138181151</v>
      </c>
      <c r="L4173">
        <v>137881653</v>
      </c>
      <c r="M4173">
        <v>107562460</v>
      </c>
      <c r="P4173">
        <v>196</v>
      </c>
      <c r="Q4173" t="s">
        <v>8690</v>
      </c>
    </row>
    <row r="4174" spans="1:17" x14ac:dyDescent="0.3">
      <c r="A4174" t="s">
        <v>4664</v>
      </c>
      <c r="B4174" t="str">
        <f>"300418"</f>
        <v>300418</v>
      </c>
      <c r="C4174" t="s">
        <v>8691</v>
      </c>
      <c r="D4174" t="s">
        <v>517</v>
      </c>
      <c r="F4174">
        <v>2957127778</v>
      </c>
      <c r="G4174">
        <v>2080392185</v>
      </c>
      <c r="H4174">
        <v>2306946867</v>
      </c>
      <c r="I4174">
        <v>2444071320</v>
      </c>
      <c r="J4174">
        <v>2494708583</v>
      </c>
      <c r="K4174">
        <v>1471313036</v>
      </c>
      <c r="L4174">
        <v>1081429796</v>
      </c>
      <c r="M4174">
        <v>1319413913</v>
      </c>
      <c r="P4174">
        <v>17528</v>
      </c>
      <c r="Q4174" t="s">
        <v>8692</v>
      </c>
    </row>
    <row r="4175" spans="1:17" x14ac:dyDescent="0.3">
      <c r="A4175" t="s">
        <v>4664</v>
      </c>
      <c r="B4175" t="str">
        <f>"300419"</f>
        <v>300419</v>
      </c>
      <c r="C4175" t="s">
        <v>8693</v>
      </c>
      <c r="D4175" t="s">
        <v>316</v>
      </c>
      <c r="F4175">
        <v>419819065</v>
      </c>
      <c r="G4175">
        <v>460870403</v>
      </c>
      <c r="H4175">
        <v>400728350</v>
      </c>
      <c r="I4175">
        <v>266719366</v>
      </c>
      <c r="J4175">
        <v>397807546</v>
      </c>
      <c r="K4175">
        <v>349365811</v>
      </c>
      <c r="L4175">
        <v>228514015</v>
      </c>
      <c r="M4175">
        <v>162019244</v>
      </c>
      <c r="P4175">
        <v>89</v>
      </c>
      <c r="Q4175" t="s">
        <v>8694</v>
      </c>
    </row>
    <row r="4176" spans="1:17" x14ac:dyDescent="0.3">
      <c r="A4176" t="s">
        <v>4664</v>
      </c>
      <c r="B4176" t="str">
        <f>"300420"</f>
        <v>300420</v>
      </c>
      <c r="C4176" t="s">
        <v>8695</v>
      </c>
      <c r="D4176" t="s">
        <v>560</v>
      </c>
      <c r="F4176">
        <v>1106860561</v>
      </c>
      <c r="G4176">
        <v>997814238</v>
      </c>
      <c r="H4176">
        <v>796812668</v>
      </c>
      <c r="I4176">
        <v>609554222</v>
      </c>
      <c r="J4176">
        <v>385286393</v>
      </c>
      <c r="K4176">
        <v>424625568</v>
      </c>
      <c r="L4176">
        <v>132327525</v>
      </c>
      <c r="M4176">
        <v>115436622</v>
      </c>
      <c r="P4176">
        <v>146</v>
      </c>
      <c r="Q4176" t="s">
        <v>8696</v>
      </c>
    </row>
    <row r="4177" spans="1:17" x14ac:dyDescent="0.3">
      <c r="A4177" t="s">
        <v>4664</v>
      </c>
      <c r="B4177" t="str">
        <f>"300421"</f>
        <v>300421</v>
      </c>
      <c r="C4177" t="s">
        <v>8697</v>
      </c>
      <c r="D4177" t="s">
        <v>274</v>
      </c>
      <c r="F4177">
        <v>407912033</v>
      </c>
      <c r="G4177">
        <v>399580079</v>
      </c>
      <c r="H4177">
        <v>378589237</v>
      </c>
      <c r="I4177">
        <v>478604079</v>
      </c>
      <c r="J4177">
        <v>459558273</v>
      </c>
      <c r="K4177">
        <v>229736781</v>
      </c>
      <c r="L4177">
        <v>363296742</v>
      </c>
      <c r="M4177">
        <v>366335101</v>
      </c>
      <c r="P4177">
        <v>108</v>
      </c>
      <c r="Q4177" t="s">
        <v>8698</v>
      </c>
    </row>
    <row r="4178" spans="1:17" x14ac:dyDescent="0.3">
      <c r="A4178" t="s">
        <v>4664</v>
      </c>
      <c r="B4178" t="str">
        <f>"300422"</f>
        <v>300422</v>
      </c>
      <c r="C4178" t="s">
        <v>8699</v>
      </c>
      <c r="D4178" t="s">
        <v>33</v>
      </c>
      <c r="F4178">
        <v>1280897350</v>
      </c>
      <c r="G4178">
        <v>1434733201</v>
      </c>
      <c r="H4178">
        <v>1155078510</v>
      </c>
      <c r="I4178">
        <v>771760323</v>
      </c>
      <c r="J4178">
        <v>401108409</v>
      </c>
      <c r="K4178">
        <v>239541614</v>
      </c>
      <c r="L4178">
        <v>277784153</v>
      </c>
      <c r="M4178">
        <v>118839002</v>
      </c>
      <c r="P4178">
        <v>331</v>
      </c>
      <c r="Q4178" t="s">
        <v>8700</v>
      </c>
    </row>
    <row r="4179" spans="1:17" x14ac:dyDescent="0.3">
      <c r="A4179" t="s">
        <v>4664</v>
      </c>
      <c r="B4179" t="str">
        <f>"300423"</f>
        <v>300423</v>
      </c>
      <c r="C4179" t="s">
        <v>8701</v>
      </c>
      <c r="D4179" t="s">
        <v>210</v>
      </c>
      <c r="F4179">
        <v>2123521123</v>
      </c>
      <c r="G4179">
        <v>2506278853</v>
      </c>
      <c r="H4179">
        <v>1688633571</v>
      </c>
      <c r="I4179">
        <v>1698324600</v>
      </c>
      <c r="J4179">
        <v>136749288</v>
      </c>
      <c r="K4179">
        <v>153363659</v>
      </c>
      <c r="L4179">
        <v>155337396</v>
      </c>
      <c r="M4179">
        <v>114929505</v>
      </c>
      <c r="P4179">
        <v>156</v>
      </c>
      <c r="Q4179" t="s">
        <v>8702</v>
      </c>
    </row>
    <row r="4180" spans="1:17" x14ac:dyDescent="0.3">
      <c r="A4180" t="s">
        <v>4664</v>
      </c>
      <c r="B4180" t="str">
        <f>"300424"</f>
        <v>300424</v>
      </c>
      <c r="C4180" t="s">
        <v>8703</v>
      </c>
      <c r="D4180" t="s">
        <v>98</v>
      </c>
      <c r="F4180">
        <v>736722761</v>
      </c>
      <c r="G4180">
        <v>694707121</v>
      </c>
      <c r="H4180">
        <v>905811641</v>
      </c>
      <c r="I4180">
        <v>506006958</v>
      </c>
      <c r="J4180">
        <v>229403356</v>
      </c>
      <c r="K4180">
        <v>204840701</v>
      </c>
      <c r="L4180">
        <v>259529584</v>
      </c>
      <c r="M4180">
        <v>253817151</v>
      </c>
      <c r="P4180">
        <v>133</v>
      </c>
      <c r="Q4180" t="s">
        <v>8704</v>
      </c>
    </row>
    <row r="4181" spans="1:17" x14ac:dyDescent="0.3">
      <c r="A4181" t="s">
        <v>4664</v>
      </c>
      <c r="B4181" t="str">
        <f>"300425"</f>
        <v>300425</v>
      </c>
      <c r="C4181" t="s">
        <v>8705</v>
      </c>
      <c r="D4181" t="s">
        <v>33</v>
      </c>
      <c r="F4181">
        <v>859604683</v>
      </c>
      <c r="G4181">
        <v>642772124</v>
      </c>
      <c r="H4181">
        <v>607109369</v>
      </c>
      <c r="I4181">
        <v>551638338</v>
      </c>
      <c r="J4181">
        <v>425023537</v>
      </c>
      <c r="K4181">
        <v>310216311</v>
      </c>
      <c r="L4181">
        <v>160977882</v>
      </c>
      <c r="M4181">
        <v>163066783</v>
      </c>
      <c r="P4181">
        <v>121</v>
      </c>
      <c r="Q4181" t="s">
        <v>8706</v>
      </c>
    </row>
    <row r="4182" spans="1:17" x14ac:dyDescent="0.3">
      <c r="A4182" t="s">
        <v>4664</v>
      </c>
      <c r="B4182" t="str">
        <f>"300426"</f>
        <v>300426</v>
      </c>
      <c r="C4182" t="s">
        <v>8707</v>
      </c>
      <c r="D4182" t="s">
        <v>113</v>
      </c>
      <c r="F4182">
        <v>214945668</v>
      </c>
      <c r="G4182">
        <v>90319545</v>
      </c>
      <c r="H4182">
        <v>470201965</v>
      </c>
      <c r="I4182">
        <v>541592822</v>
      </c>
      <c r="J4182">
        <v>674961723</v>
      </c>
      <c r="K4182">
        <v>716046936</v>
      </c>
      <c r="L4182">
        <v>348902883</v>
      </c>
      <c r="M4182">
        <v>268050796</v>
      </c>
      <c r="P4182">
        <v>130</v>
      </c>
      <c r="Q4182" t="s">
        <v>8708</v>
      </c>
    </row>
    <row r="4183" spans="1:17" x14ac:dyDescent="0.3">
      <c r="A4183" t="s">
        <v>4664</v>
      </c>
      <c r="B4183" t="str">
        <f>"300427"</f>
        <v>300427</v>
      </c>
      <c r="C4183" t="s">
        <v>8709</v>
      </c>
      <c r="D4183" t="s">
        <v>610</v>
      </c>
      <c r="F4183">
        <v>1145175170</v>
      </c>
      <c r="G4183">
        <v>845099938</v>
      </c>
      <c r="H4183">
        <v>819175930</v>
      </c>
      <c r="I4183">
        <v>642391560</v>
      </c>
      <c r="J4183">
        <v>365406656</v>
      </c>
      <c r="K4183">
        <v>268601296</v>
      </c>
      <c r="L4183">
        <v>148773516</v>
      </c>
      <c r="M4183">
        <v>119931987</v>
      </c>
      <c r="P4183">
        <v>249</v>
      </c>
      <c r="Q4183" t="s">
        <v>8710</v>
      </c>
    </row>
    <row r="4184" spans="1:17" x14ac:dyDescent="0.3">
      <c r="A4184" t="s">
        <v>4664</v>
      </c>
      <c r="B4184" t="str">
        <f>"300428"</f>
        <v>300428</v>
      </c>
      <c r="C4184" t="s">
        <v>8711</v>
      </c>
      <c r="D4184" t="s">
        <v>422</v>
      </c>
      <c r="F4184">
        <v>13526709267</v>
      </c>
      <c r="G4184">
        <v>9419742824</v>
      </c>
      <c r="H4184">
        <v>4810854911</v>
      </c>
      <c r="I4184">
        <v>793627004</v>
      </c>
      <c r="J4184">
        <v>677735873</v>
      </c>
      <c r="K4184">
        <v>548034431</v>
      </c>
      <c r="L4184">
        <v>461754547</v>
      </c>
      <c r="M4184">
        <v>489694216</v>
      </c>
      <c r="P4184">
        <v>171</v>
      </c>
      <c r="Q4184" t="s">
        <v>8712</v>
      </c>
    </row>
    <row r="4185" spans="1:17" x14ac:dyDescent="0.3">
      <c r="A4185" t="s">
        <v>4664</v>
      </c>
      <c r="B4185" t="str">
        <f>"300429"</f>
        <v>300429</v>
      </c>
      <c r="C4185" t="s">
        <v>8713</v>
      </c>
      <c r="D4185" t="s">
        <v>2399</v>
      </c>
      <c r="F4185">
        <v>655484576</v>
      </c>
      <c r="G4185">
        <v>538409360</v>
      </c>
      <c r="H4185">
        <v>597122964</v>
      </c>
      <c r="I4185">
        <v>499700449</v>
      </c>
      <c r="J4185">
        <v>419632076</v>
      </c>
      <c r="K4185">
        <v>296814092</v>
      </c>
      <c r="L4185">
        <v>224257030</v>
      </c>
      <c r="M4185">
        <v>205902089</v>
      </c>
      <c r="P4185">
        <v>261</v>
      </c>
      <c r="Q4185" t="s">
        <v>8714</v>
      </c>
    </row>
    <row r="4186" spans="1:17" x14ac:dyDescent="0.3">
      <c r="A4186" t="s">
        <v>4664</v>
      </c>
      <c r="B4186" t="str">
        <f>"300430"</f>
        <v>300430</v>
      </c>
      <c r="C4186" t="s">
        <v>8715</v>
      </c>
      <c r="D4186" t="s">
        <v>560</v>
      </c>
      <c r="F4186">
        <v>645268539</v>
      </c>
      <c r="G4186">
        <v>513524255</v>
      </c>
      <c r="H4186">
        <v>547288146</v>
      </c>
      <c r="I4186">
        <v>449714224</v>
      </c>
      <c r="J4186">
        <v>390645735</v>
      </c>
      <c r="K4186">
        <v>233811023</v>
      </c>
      <c r="L4186">
        <v>265469296</v>
      </c>
      <c r="M4186">
        <v>232319352</v>
      </c>
      <c r="P4186">
        <v>95</v>
      </c>
      <c r="Q4186" t="s">
        <v>8716</v>
      </c>
    </row>
    <row r="4187" spans="1:17" x14ac:dyDescent="0.3">
      <c r="A4187" t="s">
        <v>4664</v>
      </c>
      <c r="B4187" t="str">
        <f>"300431"</f>
        <v>300431</v>
      </c>
      <c r="C4187" t="s">
        <v>8717</v>
      </c>
      <c r="H4187">
        <v>103799539</v>
      </c>
      <c r="I4187">
        <v>1140543806</v>
      </c>
      <c r="J4187">
        <v>1057852284</v>
      </c>
      <c r="K4187">
        <v>1000860236</v>
      </c>
      <c r="L4187">
        <v>345341588</v>
      </c>
      <c r="M4187">
        <v>286020292</v>
      </c>
      <c r="P4187">
        <v>145</v>
      </c>
      <c r="Q4187" t="s">
        <v>8718</v>
      </c>
    </row>
    <row r="4188" spans="1:17" x14ac:dyDescent="0.3">
      <c r="A4188" t="s">
        <v>4664</v>
      </c>
      <c r="B4188" t="str">
        <f>"300432"</f>
        <v>300432</v>
      </c>
      <c r="C4188" t="s">
        <v>8719</v>
      </c>
      <c r="D4188" t="s">
        <v>348</v>
      </c>
      <c r="F4188">
        <v>1440125766</v>
      </c>
      <c r="G4188">
        <v>1283233051</v>
      </c>
      <c r="H4188">
        <v>1019073515</v>
      </c>
      <c r="I4188">
        <v>1051415726</v>
      </c>
      <c r="J4188">
        <v>1264671285</v>
      </c>
      <c r="K4188">
        <v>732062088</v>
      </c>
      <c r="L4188">
        <v>455213873</v>
      </c>
      <c r="M4188">
        <v>478585636</v>
      </c>
      <c r="P4188">
        <v>304</v>
      </c>
      <c r="Q4188" t="s">
        <v>8720</v>
      </c>
    </row>
    <row r="4189" spans="1:17" x14ac:dyDescent="0.3">
      <c r="A4189" t="s">
        <v>4664</v>
      </c>
      <c r="B4189" t="str">
        <f>"300433"</f>
        <v>300433</v>
      </c>
      <c r="C4189" t="s">
        <v>8721</v>
      </c>
      <c r="D4189" t="s">
        <v>313</v>
      </c>
      <c r="F4189">
        <v>33474417242</v>
      </c>
      <c r="G4189">
        <v>24737918118</v>
      </c>
      <c r="H4189">
        <v>20468059654</v>
      </c>
      <c r="I4189">
        <v>19125717793</v>
      </c>
      <c r="J4189">
        <v>13568481445</v>
      </c>
      <c r="K4189">
        <v>10303159065</v>
      </c>
      <c r="L4189">
        <v>12315593943</v>
      </c>
      <c r="M4189">
        <v>9293536691</v>
      </c>
      <c r="P4189">
        <v>1652</v>
      </c>
      <c r="Q4189" t="s">
        <v>8722</v>
      </c>
    </row>
    <row r="4190" spans="1:17" x14ac:dyDescent="0.3">
      <c r="A4190" t="s">
        <v>4664</v>
      </c>
      <c r="B4190" t="str">
        <f>"300434"</f>
        <v>300434</v>
      </c>
      <c r="C4190" t="s">
        <v>8723</v>
      </c>
      <c r="D4190" t="s">
        <v>143</v>
      </c>
      <c r="F4190">
        <v>708262780</v>
      </c>
      <c r="G4190">
        <v>544640487</v>
      </c>
      <c r="H4190">
        <v>618958110</v>
      </c>
      <c r="I4190">
        <v>718974899</v>
      </c>
      <c r="J4190">
        <v>323733423</v>
      </c>
      <c r="K4190">
        <v>102555815</v>
      </c>
      <c r="L4190">
        <v>80427242</v>
      </c>
      <c r="M4190">
        <v>141691887</v>
      </c>
      <c r="P4190">
        <v>96</v>
      </c>
      <c r="Q4190" t="s">
        <v>8724</v>
      </c>
    </row>
    <row r="4191" spans="1:17" x14ac:dyDescent="0.3">
      <c r="A4191" t="s">
        <v>4664</v>
      </c>
      <c r="B4191" t="str">
        <f>"300435"</f>
        <v>300435</v>
      </c>
      <c r="C4191" t="s">
        <v>8725</v>
      </c>
      <c r="D4191" t="s">
        <v>749</v>
      </c>
      <c r="F4191">
        <v>1627690030</v>
      </c>
      <c r="G4191">
        <v>1474857395</v>
      </c>
      <c r="H4191">
        <v>450653401</v>
      </c>
      <c r="I4191">
        <v>533461209</v>
      </c>
      <c r="J4191">
        <v>352653279</v>
      </c>
      <c r="K4191">
        <v>350801551</v>
      </c>
      <c r="L4191">
        <v>274050702</v>
      </c>
      <c r="M4191">
        <v>406254828</v>
      </c>
      <c r="P4191">
        <v>111</v>
      </c>
      <c r="Q4191" t="s">
        <v>8726</v>
      </c>
    </row>
    <row r="4192" spans="1:17" x14ac:dyDescent="0.3">
      <c r="A4192" t="s">
        <v>4664</v>
      </c>
      <c r="B4192" t="str">
        <f>"300436"</f>
        <v>300436</v>
      </c>
      <c r="C4192" t="s">
        <v>8727</v>
      </c>
      <c r="D4192" t="s">
        <v>143</v>
      </c>
      <c r="F4192">
        <v>307701906</v>
      </c>
      <c r="G4192">
        <v>307523865</v>
      </c>
      <c r="H4192">
        <v>354245002</v>
      </c>
      <c r="I4192">
        <v>320324827</v>
      </c>
      <c r="J4192">
        <v>250927297</v>
      </c>
      <c r="K4192">
        <v>255230546</v>
      </c>
      <c r="L4192">
        <v>260638194</v>
      </c>
      <c r="M4192">
        <v>215027673</v>
      </c>
      <c r="P4192">
        <v>135</v>
      </c>
      <c r="Q4192" t="s">
        <v>8728</v>
      </c>
    </row>
    <row r="4193" spans="1:17" x14ac:dyDescent="0.3">
      <c r="A4193" t="s">
        <v>4664</v>
      </c>
      <c r="B4193" t="str">
        <f>"300437"</f>
        <v>300437</v>
      </c>
      <c r="C4193" t="s">
        <v>8729</v>
      </c>
      <c r="D4193" t="s">
        <v>33</v>
      </c>
      <c r="F4193">
        <v>1005549499</v>
      </c>
      <c r="G4193">
        <v>913198017</v>
      </c>
      <c r="H4193">
        <v>793375228</v>
      </c>
      <c r="I4193">
        <v>880123714</v>
      </c>
      <c r="J4193">
        <v>304459226</v>
      </c>
      <c r="K4193">
        <v>235324665</v>
      </c>
      <c r="L4193">
        <v>217090522</v>
      </c>
      <c r="M4193">
        <v>232154437</v>
      </c>
      <c r="P4193">
        <v>143</v>
      </c>
      <c r="Q4193" t="s">
        <v>8730</v>
      </c>
    </row>
    <row r="4194" spans="1:17" x14ac:dyDescent="0.3">
      <c r="A4194" t="s">
        <v>4664</v>
      </c>
      <c r="B4194" t="str">
        <f>"300438"</f>
        <v>300438</v>
      </c>
      <c r="C4194" t="s">
        <v>8731</v>
      </c>
      <c r="D4194" t="s">
        <v>359</v>
      </c>
      <c r="F4194">
        <v>2840864789</v>
      </c>
      <c r="G4194">
        <v>1858478459</v>
      </c>
      <c r="H4194">
        <v>1430213554</v>
      </c>
      <c r="I4194">
        <v>1028879887</v>
      </c>
      <c r="J4194">
        <v>778298097</v>
      </c>
      <c r="K4194">
        <v>585381089</v>
      </c>
      <c r="L4194">
        <v>462661314</v>
      </c>
      <c r="M4194">
        <v>413067222</v>
      </c>
      <c r="P4194">
        <v>394</v>
      </c>
      <c r="Q4194" t="s">
        <v>8732</v>
      </c>
    </row>
    <row r="4195" spans="1:17" x14ac:dyDescent="0.3">
      <c r="A4195" t="s">
        <v>4664</v>
      </c>
      <c r="B4195" t="str">
        <f>"300439"</f>
        <v>300439</v>
      </c>
      <c r="C4195" t="s">
        <v>8733</v>
      </c>
      <c r="D4195" t="s">
        <v>1305</v>
      </c>
      <c r="F4195">
        <v>1647080597</v>
      </c>
      <c r="G4195">
        <v>2165223533</v>
      </c>
      <c r="H4195">
        <v>2773367913</v>
      </c>
      <c r="I4195">
        <v>2300152662</v>
      </c>
      <c r="J4195">
        <v>1074213152</v>
      </c>
      <c r="K4195">
        <v>701246696</v>
      </c>
      <c r="L4195">
        <v>529778078</v>
      </c>
      <c r="M4195">
        <v>420516160</v>
      </c>
      <c r="P4195">
        <v>209</v>
      </c>
      <c r="Q4195" t="s">
        <v>8734</v>
      </c>
    </row>
    <row r="4196" spans="1:17" x14ac:dyDescent="0.3">
      <c r="A4196" t="s">
        <v>4664</v>
      </c>
      <c r="B4196" t="str">
        <f>"300440"</f>
        <v>300440</v>
      </c>
      <c r="C4196" t="s">
        <v>8735</v>
      </c>
      <c r="D4196" t="s">
        <v>316</v>
      </c>
      <c r="F4196">
        <v>474827282</v>
      </c>
      <c r="G4196">
        <v>456377665</v>
      </c>
      <c r="H4196">
        <v>472598998</v>
      </c>
      <c r="I4196">
        <v>305988468</v>
      </c>
      <c r="J4196">
        <v>505783680</v>
      </c>
      <c r="K4196">
        <v>280310249</v>
      </c>
      <c r="L4196">
        <v>264333825</v>
      </c>
      <c r="M4196">
        <v>275401540</v>
      </c>
      <c r="P4196">
        <v>151</v>
      </c>
      <c r="Q4196" t="s">
        <v>8736</v>
      </c>
    </row>
    <row r="4197" spans="1:17" x14ac:dyDescent="0.3">
      <c r="A4197" t="s">
        <v>4664</v>
      </c>
      <c r="B4197" t="str">
        <f>"300441"</f>
        <v>300441</v>
      </c>
      <c r="C4197" t="s">
        <v>8737</v>
      </c>
      <c r="D4197" t="s">
        <v>560</v>
      </c>
      <c r="F4197">
        <v>1387943768</v>
      </c>
      <c r="G4197">
        <v>1110393736</v>
      </c>
      <c r="H4197">
        <v>895854454</v>
      </c>
      <c r="I4197">
        <v>855340906</v>
      </c>
      <c r="J4197">
        <v>659532033</v>
      </c>
      <c r="K4197">
        <v>473116850</v>
      </c>
      <c r="L4197">
        <v>189132730</v>
      </c>
      <c r="M4197">
        <v>207991856</v>
      </c>
      <c r="P4197">
        <v>96</v>
      </c>
      <c r="Q4197" t="s">
        <v>8738</v>
      </c>
    </row>
    <row r="4198" spans="1:17" x14ac:dyDescent="0.3">
      <c r="A4198" t="s">
        <v>4664</v>
      </c>
      <c r="B4198" t="str">
        <f>"300442"</f>
        <v>300442</v>
      </c>
      <c r="C4198" t="s">
        <v>8739</v>
      </c>
      <c r="D4198" t="s">
        <v>3388</v>
      </c>
      <c r="F4198">
        <v>534788526</v>
      </c>
      <c r="G4198">
        <v>373839071</v>
      </c>
      <c r="H4198">
        <v>460508812</v>
      </c>
      <c r="I4198">
        <v>518334709</v>
      </c>
      <c r="J4198">
        <v>520068075</v>
      </c>
      <c r="K4198">
        <v>347828356</v>
      </c>
      <c r="L4198">
        <v>303119228</v>
      </c>
      <c r="M4198">
        <v>296369262</v>
      </c>
      <c r="P4198">
        <v>66</v>
      </c>
      <c r="Q4198" t="s">
        <v>8740</v>
      </c>
    </row>
    <row r="4199" spans="1:17" x14ac:dyDescent="0.3">
      <c r="A4199" t="s">
        <v>4664</v>
      </c>
      <c r="B4199" t="str">
        <f>"300443"</f>
        <v>300443</v>
      </c>
      <c r="C4199" t="s">
        <v>8741</v>
      </c>
      <c r="D4199" t="s">
        <v>950</v>
      </c>
      <c r="F4199">
        <v>1206517114</v>
      </c>
      <c r="G4199">
        <v>848307082</v>
      </c>
      <c r="H4199">
        <v>622110575</v>
      </c>
      <c r="I4199">
        <v>333880193</v>
      </c>
      <c r="J4199">
        <v>517126153</v>
      </c>
      <c r="K4199">
        <v>359875540</v>
      </c>
      <c r="L4199">
        <v>379219339</v>
      </c>
      <c r="M4199">
        <v>216761768</v>
      </c>
      <c r="P4199">
        <v>357</v>
      </c>
      <c r="Q4199" t="s">
        <v>8742</v>
      </c>
    </row>
    <row r="4200" spans="1:17" x14ac:dyDescent="0.3">
      <c r="A4200" t="s">
        <v>4664</v>
      </c>
      <c r="B4200" t="str">
        <f>"300444"</f>
        <v>300444</v>
      </c>
      <c r="C4200" t="s">
        <v>8743</v>
      </c>
      <c r="D4200" t="s">
        <v>210</v>
      </c>
      <c r="F4200">
        <v>691918095</v>
      </c>
      <c r="G4200">
        <v>873946105</v>
      </c>
      <c r="H4200">
        <v>1212528650</v>
      </c>
      <c r="I4200">
        <v>1017256471</v>
      </c>
      <c r="J4200">
        <v>620999649</v>
      </c>
      <c r="K4200">
        <v>559024107</v>
      </c>
      <c r="L4200">
        <v>313837170</v>
      </c>
      <c r="M4200">
        <v>254837933</v>
      </c>
      <c r="P4200">
        <v>101</v>
      </c>
      <c r="Q4200" t="s">
        <v>8744</v>
      </c>
    </row>
    <row r="4201" spans="1:17" x14ac:dyDescent="0.3">
      <c r="A4201" t="s">
        <v>4664</v>
      </c>
      <c r="B4201" t="str">
        <f>"300445"</f>
        <v>300445</v>
      </c>
      <c r="C4201" t="s">
        <v>8745</v>
      </c>
      <c r="D4201" t="s">
        <v>2551</v>
      </c>
      <c r="F4201">
        <v>219789316</v>
      </c>
      <c r="G4201">
        <v>190957892</v>
      </c>
      <c r="H4201">
        <v>198349464</v>
      </c>
      <c r="I4201">
        <v>154301753</v>
      </c>
      <c r="J4201">
        <v>131833341</v>
      </c>
      <c r="K4201">
        <v>107187081</v>
      </c>
      <c r="L4201">
        <v>108436037</v>
      </c>
      <c r="M4201">
        <v>96610550</v>
      </c>
      <c r="P4201">
        <v>169</v>
      </c>
      <c r="Q4201" t="s">
        <v>8746</v>
      </c>
    </row>
    <row r="4202" spans="1:17" x14ac:dyDescent="0.3">
      <c r="A4202" t="s">
        <v>4664</v>
      </c>
      <c r="B4202" t="str">
        <f>"300446"</f>
        <v>300446</v>
      </c>
      <c r="C4202" t="s">
        <v>8747</v>
      </c>
      <c r="D4202" t="s">
        <v>2399</v>
      </c>
      <c r="F4202">
        <v>107000939</v>
      </c>
      <c r="G4202">
        <v>135613654</v>
      </c>
      <c r="H4202">
        <v>194126888</v>
      </c>
      <c r="I4202">
        <v>212500807</v>
      </c>
      <c r="J4202">
        <v>201517697</v>
      </c>
      <c r="K4202">
        <v>184018141</v>
      </c>
      <c r="L4202">
        <v>171255615</v>
      </c>
      <c r="M4202">
        <v>168676573</v>
      </c>
      <c r="P4202">
        <v>980</v>
      </c>
      <c r="Q4202" t="s">
        <v>8748</v>
      </c>
    </row>
    <row r="4203" spans="1:17" x14ac:dyDescent="0.3">
      <c r="A4203" t="s">
        <v>4664</v>
      </c>
      <c r="B4203" t="str">
        <f>"300447"</f>
        <v>300447</v>
      </c>
      <c r="C4203" t="s">
        <v>8749</v>
      </c>
      <c r="D4203" t="s">
        <v>1136</v>
      </c>
      <c r="F4203">
        <v>538250435</v>
      </c>
      <c r="G4203">
        <v>375906914</v>
      </c>
      <c r="H4203">
        <v>352032344</v>
      </c>
      <c r="I4203">
        <v>291061186</v>
      </c>
      <c r="J4203">
        <v>286794963</v>
      </c>
      <c r="K4203">
        <v>144542487</v>
      </c>
      <c r="L4203">
        <v>151103515</v>
      </c>
      <c r="M4203">
        <v>127827801</v>
      </c>
      <c r="P4203">
        <v>119</v>
      </c>
      <c r="Q4203" t="s">
        <v>8750</v>
      </c>
    </row>
    <row r="4204" spans="1:17" x14ac:dyDescent="0.3">
      <c r="A4204" t="s">
        <v>4664</v>
      </c>
      <c r="B4204" t="str">
        <f>"300448"</f>
        <v>300448</v>
      </c>
      <c r="C4204" t="s">
        <v>8751</v>
      </c>
      <c r="D4204" t="s">
        <v>316</v>
      </c>
      <c r="F4204">
        <v>292626430</v>
      </c>
      <c r="G4204">
        <v>292622490</v>
      </c>
      <c r="H4204">
        <v>394733906</v>
      </c>
      <c r="I4204">
        <v>335841063</v>
      </c>
      <c r="J4204">
        <v>279584628</v>
      </c>
      <c r="K4204">
        <v>197672378</v>
      </c>
      <c r="L4204">
        <v>171788759</v>
      </c>
      <c r="M4204">
        <v>192219941</v>
      </c>
      <c r="P4204">
        <v>157</v>
      </c>
      <c r="Q4204" t="s">
        <v>8752</v>
      </c>
    </row>
    <row r="4205" spans="1:17" x14ac:dyDescent="0.3">
      <c r="A4205" t="s">
        <v>4664</v>
      </c>
      <c r="B4205" t="str">
        <f>"300449"</f>
        <v>300449</v>
      </c>
      <c r="C4205" t="s">
        <v>8753</v>
      </c>
      <c r="D4205" t="s">
        <v>2953</v>
      </c>
      <c r="F4205">
        <v>326373797</v>
      </c>
      <c r="G4205">
        <v>250427198</v>
      </c>
      <c r="H4205">
        <v>341963247</v>
      </c>
      <c r="I4205">
        <v>363070666</v>
      </c>
      <c r="J4205">
        <v>329639679</v>
      </c>
      <c r="K4205">
        <v>229454949</v>
      </c>
      <c r="L4205">
        <v>142611942</v>
      </c>
      <c r="M4205">
        <v>216476752</v>
      </c>
      <c r="P4205">
        <v>85</v>
      </c>
      <c r="Q4205" t="s">
        <v>8754</v>
      </c>
    </row>
    <row r="4206" spans="1:17" x14ac:dyDescent="0.3">
      <c r="A4206" t="s">
        <v>4664</v>
      </c>
      <c r="B4206" t="str">
        <f>"300450"</f>
        <v>300450</v>
      </c>
      <c r="C4206" t="s">
        <v>8755</v>
      </c>
      <c r="D4206" t="s">
        <v>3749</v>
      </c>
      <c r="F4206">
        <v>6936702511</v>
      </c>
      <c r="G4206">
        <v>3646054061</v>
      </c>
      <c r="H4206">
        <v>3364323266</v>
      </c>
      <c r="I4206">
        <v>1574694770</v>
      </c>
      <c r="J4206">
        <v>1216730921</v>
      </c>
      <c r="K4206">
        <v>585848691</v>
      </c>
      <c r="L4206">
        <v>411802130</v>
      </c>
      <c r="M4206">
        <v>239457025</v>
      </c>
      <c r="P4206">
        <v>9753</v>
      </c>
      <c r="Q4206" t="s">
        <v>8756</v>
      </c>
    </row>
    <row r="4207" spans="1:17" x14ac:dyDescent="0.3">
      <c r="A4207" t="s">
        <v>4664</v>
      </c>
      <c r="B4207" t="str">
        <f>"300451"</f>
        <v>300451</v>
      </c>
      <c r="C4207" t="s">
        <v>8757</v>
      </c>
      <c r="D4207" t="s">
        <v>945</v>
      </c>
      <c r="F4207">
        <v>751225135</v>
      </c>
      <c r="G4207">
        <v>927387862</v>
      </c>
      <c r="H4207">
        <v>709652857</v>
      </c>
      <c r="I4207">
        <v>602380554</v>
      </c>
      <c r="J4207">
        <v>612884266</v>
      </c>
      <c r="K4207">
        <v>292516691</v>
      </c>
      <c r="L4207">
        <v>217656516</v>
      </c>
      <c r="M4207">
        <v>248413022</v>
      </c>
      <c r="P4207">
        <v>351</v>
      </c>
      <c r="Q4207" t="s">
        <v>8758</v>
      </c>
    </row>
    <row r="4208" spans="1:17" x14ac:dyDescent="0.3">
      <c r="A4208" t="s">
        <v>4664</v>
      </c>
      <c r="B4208" t="str">
        <f>"300452"</f>
        <v>300452</v>
      </c>
      <c r="C4208" t="s">
        <v>8759</v>
      </c>
      <c r="D4208" t="s">
        <v>496</v>
      </c>
      <c r="F4208">
        <v>369585369</v>
      </c>
      <c r="G4208">
        <v>321801711</v>
      </c>
      <c r="H4208">
        <v>259258812</v>
      </c>
      <c r="I4208">
        <v>277664252</v>
      </c>
      <c r="J4208">
        <v>194699668</v>
      </c>
      <c r="K4208">
        <v>182104146</v>
      </c>
      <c r="L4208">
        <v>159245003</v>
      </c>
      <c r="M4208">
        <v>127090677</v>
      </c>
      <c r="P4208">
        <v>300</v>
      </c>
      <c r="Q4208" t="s">
        <v>8760</v>
      </c>
    </row>
    <row r="4209" spans="1:17" x14ac:dyDescent="0.3">
      <c r="A4209" t="s">
        <v>4664</v>
      </c>
      <c r="B4209" t="str">
        <f>"300453"</f>
        <v>300453</v>
      </c>
      <c r="C4209" t="s">
        <v>8761</v>
      </c>
      <c r="D4209" t="s">
        <v>1077</v>
      </c>
      <c r="F4209">
        <v>855305000</v>
      </c>
      <c r="G4209">
        <v>815288869</v>
      </c>
      <c r="H4209">
        <v>508508105</v>
      </c>
      <c r="I4209">
        <v>381256566</v>
      </c>
      <c r="J4209">
        <v>280323393</v>
      </c>
      <c r="K4209">
        <v>213960661</v>
      </c>
      <c r="L4209">
        <v>220142457</v>
      </c>
      <c r="M4209">
        <v>200195514</v>
      </c>
      <c r="P4209">
        <v>226</v>
      </c>
      <c r="Q4209" t="s">
        <v>8762</v>
      </c>
    </row>
    <row r="4210" spans="1:17" x14ac:dyDescent="0.3">
      <c r="A4210" t="s">
        <v>4664</v>
      </c>
      <c r="B4210" t="str">
        <f>"300454"</f>
        <v>300454</v>
      </c>
      <c r="C4210" t="s">
        <v>8763</v>
      </c>
      <c r="D4210" t="s">
        <v>1189</v>
      </c>
      <c r="F4210">
        <v>5334827806</v>
      </c>
      <c r="G4210">
        <v>3953264212</v>
      </c>
      <c r="H4210">
        <v>3204508232</v>
      </c>
      <c r="I4210">
        <v>2348875992</v>
      </c>
      <c r="J4210">
        <v>1788082463</v>
      </c>
      <c r="P4210">
        <v>799</v>
      </c>
      <c r="Q4210" t="s">
        <v>8764</v>
      </c>
    </row>
    <row r="4211" spans="1:17" x14ac:dyDescent="0.3">
      <c r="A4211" t="s">
        <v>4664</v>
      </c>
      <c r="B4211" t="str">
        <f>"300455"</f>
        <v>300455</v>
      </c>
      <c r="C4211" t="s">
        <v>8765</v>
      </c>
      <c r="D4211" t="s">
        <v>236</v>
      </c>
      <c r="F4211">
        <v>679789578</v>
      </c>
      <c r="G4211">
        <v>608046296</v>
      </c>
      <c r="H4211">
        <v>187837562</v>
      </c>
      <c r="I4211">
        <v>192031053</v>
      </c>
      <c r="J4211">
        <v>224238940</v>
      </c>
      <c r="K4211">
        <v>126543299</v>
      </c>
      <c r="L4211">
        <v>140515552</v>
      </c>
      <c r="M4211">
        <v>179762153</v>
      </c>
      <c r="P4211">
        <v>137</v>
      </c>
      <c r="Q4211" t="s">
        <v>8766</v>
      </c>
    </row>
    <row r="4212" spans="1:17" x14ac:dyDescent="0.3">
      <c r="A4212" t="s">
        <v>4664</v>
      </c>
      <c r="B4212" t="str">
        <f>"300456"</f>
        <v>300456</v>
      </c>
      <c r="C4212" t="s">
        <v>8767</v>
      </c>
      <c r="D4212" t="s">
        <v>4269</v>
      </c>
      <c r="F4212">
        <v>540567286</v>
      </c>
      <c r="G4212">
        <v>582445693</v>
      </c>
      <c r="H4212">
        <v>589461845</v>
      </c>
      <c r="I4212">
        <v>410486212</v>
      </c>
      <c r="J4212">
        <v>449532353</v>
      </c>
      <c r="K4212">
        <v>151040813</v>
      </c>
      <c r="L4212">
        <v>88470618</v>
      </c>
      <c r="M4212">
        <v>87007080</v>
      </c>
      <c r="P4212">
        <v>376</v>
      </c>
      <c r="Q4212" t="s">
        <v>8768</v>
      </c>
    </row>
    <row r="4213" spans="1:17" x14ac:dyDescent="0.3">
      <c r="A4213" t="s">
        <v>4664</v>
      </c>
      <c r="B4213" t="str">
        <f>"300457"</f>
        <v>300457</v>
      </c>
      <c r="C4213" t="s">
        <v>8769</v>
      </c>
      <c r="D4213" t="s">
        <v>3749</v>
      </c>
      <c r="F4213">
        <v>2316565676</v>
      </c>
      <c r="G4213">
        <v>1434780014</v>
      </c>
      <c r="H4213">
        <v>948058197</v>
      </c>
      <c r="I4213">
        <v>1090975551</v>
      </c>
      <c r="J4213">
        <v>682865283</v>
      </c>
      <c r="K4213">
        <v>411882174</v>
      </c>
      <c r="L4213">
        <v>158164622</v>
      </c>
      <c r="M4213">
        <v>141855460</v>
      </c>
      <c r="P4213">
        <v>359</v>
      </c>
      <c r="Q4213" t="s">
        <v>8770</v>
      </c>
    </row>
    <row r="4214" spans="1:17" x14ac:dyDescent="0.3">
      <c r="A4214" t="s">
        <v>4664</v>
      </c>
      <c r="B4214" t="str">
        <f>"300458"</f>
        <v>300458</v>
      </c>
      <c r="C4214" t="s">
        <v>8771</v>
      </c>
      <c r="D4214" t="s">
        <v>461</v>
      </c>
      <c r="F4214">
        <v>1675064900</v>
      </c>
      <c r="G4214">
        <v>1131860820</v>
      </c>
      <c r="H4214">
        <v>1120779268</v>
      </c>
      <c r="I4214">
        <v>1097835273</v>
      </c>
      <c r="J4214">
        <v>843623628</v>
      </c>
      <c r="K4214">
        <v>870021257</v>
      </c>
      <c r="L4214">
        <v>880118007</v>
      </c>
      <c r="M4214">
        <v>973829363</v>
      </c>
      <c r="P4214">
        <v>561</v>
      </c>
      <c r="Q4214" t="s">
        <v>8772</v>
      </c>
    </row>
    <row r="4215" spans="1:17" x14ac:dyDescent="0.3">
      <c r="A4215" t="s">
        <v>4664</v>
      </c>
      <c r="B4215" t="str">
        <f>"300459"</f>
        <v>300459</v>
      </c>
      <c r="C4215" t="s">
        <v>8773</v>
      </c>
      <c r="D4215" t="s">
        <v>517</v>
      </c>
      <c r="F4215">
        <v>1425125440</v>
      </c>
      <c r="G4215">
        <v>1611725626</v>
      </c>
      <c r="H4215">
        <v>5134004803</v>
      </c>
      <c r="I4215">
        <v>3879984831</v>
      </c>
      <c r="J4215">
        <v>1092326431</v>
      </c>
      <c r="K4215">
        <v>626153514</v>
      </c>
      <c r="L4215">
        <v>379805760</v>
      </c>
      <c r="M4215">
        <v>376372675</v>
      </c>
      <c r="P4215">
        <v>287</v>
      </c>
      <c r="Q4215" t="s">
        <v>8774</v>
      </c>
    </row>
    <row r="4216" spans="1:17" x14ac:dyDescent="0.3">
      <c r="A4216" t="s">
        <v>4664</v>
      </c>
      <c r="B4216" t="str">
        <f>"300460"</f>
        <v>300460</v>
      </c>
      <c r="C4216" t="s">
        <v>8775</v>
      </c>
      <c r="D4216" t="s">
        <v>546</v>
      </c>
      <c r="F4216">
        <v>439928321</v>
      </c>
      <c r="G4216">
        <v>262503741</v>
      </c>
      <c r="H4216">
        <v>198069024</v>
      </c>
      <c r="I4216">
        <v>239559326</v>
      </c>
      <c r="J4216">
        <v>245689720</v>
      </c>
      <c r="K4216">
        <v>287133076</v>
      </c>
      <c r="L4216">
        <v>280012627</v>
      </c>
      <c r="M4216">
        <v>294311168</v>
      </c>
      <c r="P4216">
        <v>154</v>
      </c>
      <c r="Q4216" t="s">
        <v>8776</v>
      </c>
    </row>
    <row r="4217" spans="1:17" x14ac:dyDescent="0.3">
      <c r="A4217" t="s">
        <v>4664</v>
      </c>
      <c r="B4217" t="str">
        <f>"300461"</f>
        <v>300461</v>
      </c>
      <c r="C4217" t="s">
        <v>8777</v>
      </c>
      <c r="D4217" t="s">
        <v>3450</v>
      </c>
      <c r="F4217">
        <v>228733872</v>
      </c>
      <c r="G4217">
        <v>252146787</v>
      </c>
      <c r="H4217">
        <v>304404363</v>
      </c>
      <c r="I4217">
        <v>559569512</v>
      </c>
      <c r="J4217">
        <v>250408342</v>
      </c>
      <c r="K4217">
        <v>87702985</v>
      </c>
      <c r="L4217">
        <v>103961053</v>
      </c>
      <c r="M4217">
        <v>124710966</v>
      </c>
      <c r="P4217">
        <v>153</v>
      </c>
      <c r="Q4217" t="s">
        <v>8778</v>
      </c>
    </row>
    <row r="4218" spans="1:17" x14ac:dyDescent="0.3">
      <c r="A4218" t="s">
        <v>4664</v>
      </c>
      <c r="B4218" t="str">
        <f>"300462"</f>
        <v>300462</v>
      </c>
      <c r="C4218" t="s">
        <v>8779</v>
      </c>
      <c r="D4218" t="s">
        <v>236</v>
      </c>
      <c r="F4218">
        <v>568382126</v>
      </c>
      <c r="G4218">
        <v>933102043</v>
      </c>
      <c r="H4218">
        <v>265549434</v>
      </c>
      <c r="I4218">
        <v>181763668</v>
      </c>
      <c r="J4218">
        <v>164366680</v>
      </c>
      <c r="K4218">
        <v>214049537</v>
      </c>
      <c r="L4218">
        <v>107524286</v>
      </c>
      <c r="M4218">
        <v>130066041</v>
      </c>
      <c r="P4218">
        <v>176</v>
      </c>
      <c r="Q4218" t="s">
        <v>8780</v>
      </c>
    </row>
    <row r="4219" spans="1:17" x14ac:dyDescent="0.3">
      <c r="A4219" t="s">
        <v>4664</v>
      </c>
      <c r="B4219" t="str">
        <f>"300463"</f>
        <v>300463</v>
      </c>
      <c r="C4219" t="s">
        <v>8781</v>
      </c>
      <c r="D4219" t="s">
        <v>1305</v>
      </c>
      <c r="F4219">
        <v>3254993532</v>
      </c>
      <c r="G4219">
        <v>2722111263</v>
      </c>
      <c r="H4219">
        <v>2153485014</v>
      </c>
      <c r="I4219">
        <v>1841358600</v>
      </c>
      <c r="J4219">
        <v>1318829831</v>
      </c>
      <c r="K4219">
        <v>1040883343</v>
      </c>
      <c r="L4219">
        <v>703400586</v>
      </c>
      <c r="M4219">
        <v>638500217</v>
      </c>
      <c r="P4219">
        <v>1101</v>
      </c>
      <c r="Q4219" t="s">
        <v>8782</v>
      </c>
    </row>
    <row r="4220" spans="1:17" x14ac:dyDescent="0.3">
      <c r="A4220" t="s">
        <v>4664</v>
      </c>
      <c r="B4220" t="str">
        <f>"300464"</f>
        <v>300464</v>
      </c>
      <c r="C4220" t="s">
        <v>8783</v>
      </c>
      <c r="D4220" t="s">
        <v>2014</v>
      </c>
      <c r="F4220">
        <v>2766662090</v>
      </c>
      <c r="G4220">
        <v>2774936286</v>
      </c>
      <c r="H4220">
        <v>1674169822</v>
      </c>
      <c r="I4220">
        <v>444204053</v>
      </c>
      <c r="J4220">
        <v>396771888</v>
      </c>
      <c r="K4220">
        <v>359289805</v>
      </c>
      <c r="L4220">
        <v>290449202</v>
      </c>
      <c r="M4220">
        <v>268009348</v>
      </c>
      <c r="P4220">
        <v>121</v>
      </c>
      <c r="Q4220" t="s">
        <v>8784</v>
      </c>
    </row>
    <row r="4221" spans="1:17" x14ac:dyDescent="0.3">
      <c r="A4221" t="s">
        <v>4664</v>
      </c>
      <c r="B4221" t="str">
        <f>"300465"</f>
        <v>300465</v>
      </c>
      <c r="C4221" t="s">
        <v>8785</v>
      </c>
      <c r="D4221" t="s">
        <v>945</v>
      </c>
      <c r="F4221">
        <v>1779642029</v>
      </c>
      <c r="G4221">
        <v>1144052490</v>
      </c>
      <c r="H4221">
        <v>1072361622</v>
      </c>
      <c r="I4221">
        <v>1034760891</v>
      </c>
      <c r="J4221">
        <v>803969854</v>
      </c>
      <c r="K4221">
        <v>534619148</v>
      </c>
      <c r="L4221">
        <v>477137461</v>
      </c>
      <c r="M4221">
        <v>576382051</v>
      </c>
      <c r="P4221">
        <v>252</v>
      </c>
      <c r="Q4221" t="s">
        <v>8786</v>
      </c>
    </row>
    <row r="4222" spans="1:17" x14ac:dyDescent="0.3">
      <c r="A4222" t="s">
        <v>4664</v>
      </c>
      <c r="B4222" t="str">
        <f>"300466"</f>
        <v>300466</v>
      </c>
      <c r="C4222" t="s">
        <v>8787</v>
      </c>
      <c r="D4222" t="s">
        <v>2171</v>
      </c>
      <c r="F4222">
        <v>318780579</v>
      </c>
      <c r="G4222">
        <v>266630841</v>
      </c>
      <c r="H4222">
        <v>318892314</v>
      </c>
      <c r="I4222">
        <v>266562383</v>
      </c>
      <c r="J4222">
        <v>209553667</v>
      </c>
      <c r="K4222">
        <v>157993563</v>
      </c>
      <c r="L4222">
        <v>105087499</v>
      </c>
      <c r="M4222">
        <v>106992575</v>
      </c>
      <c r="P4222">
        <v>121</v>
      </c>
      <c r="Q4222" t="s">
        <v>8788</v>
      </c>
    </row>
    <row r="4223" spans="1:17" x14ac:dyDescent="0.3">
      <c r="A4223" t="s">
        <v>4664</v>
      </c>
      <c r="B4223" t="str">
        <f>"300467"</f>
        <v>300467</v>
      </c>
      <c r="C4223" t="s">
        <v>8789</v>
      </c>
      <c r="D4223" t="s">
        <v>517</v>
      </c>
      <c r="F4223">
        <v>397274394</v>
      </c>
      <c r="G4223">
        <v>360811422</v>
      </c>
      <c r="H4223">
        <v>444320968</v>
      </c>
      <c r="I4223">
        <v>547878735</v>
      </c>
      <c r="J4223">
        <v>134776727</v>
      </c>
      <c r="K4223">
        <v>138573758</v>
      </c>
      <c r="L4223">
        <v>139647355</v>
      </c>
      <c r="M4223">
        <v>134118126</v>
      </c>
      <c r="P4223">
        <v>187</v>
      </c>
      <c r="Q4223" t="s">
        <v>8790</v>
      </c>
    </row>
    <row r="4224" spans="1:17" x14ac:dyDescent="0.3">
      <c r="A4224" t="s">
        <v>4664</v>
      </c>
      <c r="B4224" t="str">
        <f>"300468"</f>
        <v>300468</v>
      </c>
      <c r="C4224" t="s">
        <v>8791</v>
      </c>
      <c r="D4224" t="s">
        <v>945</v>
      </c>
      <c r="F4224">
        <v>375973116</v>
      </c>
      <c r="G4224">
        <v>249640810</v>
      </c>
      <c r="H4224">
        <v>351600487</v>
      </c>
      <c r="I4224">
        <v>326712037</v>
      </c>
      <c r="J4224">
        <v>263621004</v>
      </c>
      <c r="K4224">
        <v>181402229</v>
      </c>
      <c r="L4224">
        <v>176417542</v>
      </c>
      <c r="M4224">
        <v>172542742</v>
      </c>
      <c r="P4224">
        <v>213</v>
      </c>
      <c r="Q4224" t="s">
        <v>8792</v>
      </c>
    </row>
    <row r="4225" spans="1:17" x14ac:dyDescent="0.3">
      <c r="A4225" t="s">
        <v>4664</v>
      </c>
      <c r="B4225" t="str">
        <f>"300469"</f>
        <v>300469</v>
      </c>
      <c r="C4225" t="s">
        <v>8793</v>
      </c>
      <c r="D4225" t="s">
        <v>945</v>
      </c>
      <c r="F4225">
        <v>239590519</v>
      </c>
      <c r="G4225">
        <v>247582698</v>
      </c>
      <c r="H4225">
        <v>368300949</v>
      </c>
      <c r="I4225">
        <v>356212093</v>
      </c>
      <c r="J4225">
        <v>234679389</v>
      </c>
      <c r="K4225">
        <v>170360659</v>
      </c>
      <c r="L4225">
        <v>125896495</v>
      </c>
      <c r="M4225">
        <v>159619804</v>
      </c>
      <c r="P4225">
        <v>96</v>
      </c>
      <c r="Q4225" t="s">
        <v>8794</v>
      </c>
    </row>
    <row r="4226" spans="1:17" x14ac:dyDescent="0.3">
      <c r="A4226" t="s">
        <v>4664</v>
      </c>
      <c r="B4226" t="str">
        <f>"300470"</f>
        <v>300470</v>
      </c>
      <c r="C4226" t="s">
        <v>8795</v>
      </c>
      <c r="D4226" t="s">
        <v>560</v>
      </c>
      <c r="F4226">
        <v>568371090</v>
      </c>
      <c r="G4226">
        <v>461389653</v>
      </c>
      <c r="H4226">
        <v>373905126</v>
      </c>
      <c r="I4226">
        <v>259765381</v>
      </c>
      <c r="J4226">
        <v>213672704</v>
      </c>
      <c r="K4226">
        <v>158399231</v>
      </c>
      <c r="L4226">
        <v>129627501</v>
      </c>
      <c r="M4226">
        <v>161729627</v>
      </c>
      <c r="P4226">
        <v>347</v>
      </c>
      <c r="Q4226" t="s">
        <v>8796</v>
      </c>
    </row>
    <row r="4227" spans="1:17" x14ac:dyDescent="0.3">
      <c r="A4227" t="s">
        <v>4664</v>
      </c>
      <c r="B4227" t="str">
        <f>"300471"</f>
        <v>300471</v>
      </c>
      <c r="C4227" t="s">
        <v>8797</v>
      </c>
      <c r="D4227" t="s">
        <v>741</v>
      </c>
      <c r="F4227">
        <v>579776596</v>
      </c>
      <c r="G4227">
        <v>372444051</v>
      </c>
      <c r="H4227">
        <v>505131572</v>
      </c>
      <c r="I4227">
        <v>330972796</v>
      </c>
      <c r="J4227">
        <v>623444701</v>
      </c>
      <c r="K4227">
        <v>404575460</v>
      </c>
      <c r="L4227">
        <v>420366940</v>
      </c>
      <c r="M4227">
        <v>557783520</v>
      </c>
      <c r="P4227">
        <v>166</v>
      </c>
      <c r="Q4227" t="s">
        <v>8798</v>
      </c>
    </row>
    <row r="4228" spans="1:17" x14ac:dyDescent="0.3">
      <c r="A4228" t="s">
        <v>4664</v>
      </c>
      <c r="B4228" t="str">
        <f>"300472"</f>
        <v>300472</v>
      </c>
      <c r="C4228" t="s">
        <v>8799</v>
      </c>
      <c r="D4228" t="s">
        <v>741</v>
      </c>
      <c r="F4228">
        <v>320365296</v>
      </c>
      <c r="G4228">
        <v>162243604</v>
      </c>
      <c r="H4228">
        <v>221443622</v>
      </c>
      <c r="I4228">
        <v>286295764</v>
      </c>
      <c r="J4228">
        <v>160221930</v>
      </c>
      <c r="K4228">
        <v>71650214</v>
      </c>
      <c r="L4228">
        <v>86992994</v>
      </c>
      <c r="M4228">
        <v>93909849</v>
      </c>
      <c r="P4228">
        <v>78</v>
      </c>
      <c r="Q4228" t="s">
        <v>8800</v>
      </c>
    </row>
    <row r="4229" spans="1:17" x14ac:dyDescent="0.3">
      <c r="A4229" t="s">
        <v>4664</v>
      </c>
      <c r="B4229" t="str">
        <f>"300473"</f>
        <v>300473</v>
      </c>
      <c r="C4229" t="s">
        <v>8801</v>
      </c>
      <c r="D4229" t="s">
        <v>985</v>
      </c>
      <c r="F4229">
        <v>2648168746</v>
      </c>
      <c r="G4229">
        <v>2246540693</v>
      </c>
      <c r="H4229">
        <v>2962133298</v>
      </c>
      <c r="I4229">
        <v>2913619067</v>
      </c>
      <c r="J4229">
        <v>1719416195</v>
      </c>
      <c r="K4229">
        <v>532767199</v>
      </c>
      <c r="L4229">
        <v>463530508</v>
      </c>
      <c r="M4229">
        <v>377675814</v>
      </c>
      <c r="P4229">
        <v>142</v>
      </c>
      <c r="Q4229" t="s">
        <v>8802</v>
      </c>
    </row>
    <row r="4230" spans="1:17" x14ac:dyDescent="0.3">
      <c r="A4230" t="s">
        <v>4664</v>
      </c>
      <c r="B4230" t="str">
        <f>"300474"</f>
        <v>300474</v>
      </c>
      <c r="C4230" t="s">
        <v>8803</v>
      </c>
      <c r="D4230" t="s">
        <v>1136</v>
      </c>
      <c r="F4230">
        <v>791567677</v>
      </c>
      <c r="G4230">
        <v>322895559</v>
      </c>
      <c r="H4230">
        <v>178553515</v>
      </c>
      <c r="I4230">
        <v>181797595</v>
      </c>
      <c r="J4230">
        <v>152333470</v>
      </c>
      <c r="K4230">
        <v>125358009</v>
      </c>
      <c r="L4230">
        <v>58493038</v>
      </c>
      <c r="P4230">
        <v>513</v>
      </c>
      <c r="Q4230" t="s">
        <v>8804</v>
      </c>
    </row>
    <row r="4231" spans="1:17" x14ac:dyDescent="0.3">
      <c r="A4231" t="s">
        <v>4664</v>
      </c>
      <c r="B4231" t="str">
        <f>"300475"</f>
        <v>300475</v>
      </c>
      <c r="C4231" t="s">
        <v>8805</v>
      </c>
      <c r="D4231" t="s">
        <v>1253</v>
      </c>
      <c r="F4231">
        <v>4873679701</v>
      </c>
      <c r="G4231">
        <v>291182068</v>
      </c>
      <c r="H4231">
        <v>281351046</v>
      </c>
      <c r="I4231">
        <v>425227847</v>
      </c>
      <c r="J4231">
        <v>434178766</v>
      </c>
      <c r="K4231">
        <v>329364951</v>
      </c>
      <c r="L4231">
        <v>453231734</v>
      </c>
      <c r="M4231">
        <v>350875555</v>
      </c>
      <c r="P4231">
        <v>92</v>
      </c>
      <c r="Q4231" t="s">
        <v>8806</v>
      </c>
    </row>
    <row r="4232" spans="1:17" x14ac:dyDescent="0.3">
      <c r="A4232" t="s">
        <v>4664</v>
      </c>
      <c r="B4232" t="str">
        <f>"300476"</f>
        <v>300476</v>
      </c>
      <c r="C4232" t="s">
        <v>8807</v>
      </c>
      <c r="D4232" t="s">
        <v>425</v>
      </c>
      <c r="F4232">
        <v>4791511063</v>
      </c>
      <c r="G4232">
        <v>3008038220</v>
      </c>
      <c r="H4232">
        <v>2294333402</v>
      </c>
      <c r="I4232">
        <v>1946470650</v>
      </c>
      <c r="J4232">
        <v>1227467127</v>
      </c>
      <c r="K4232">
        <v>1015846619</v>
      </c>
      <c r="L4232">
        <v>781841985</v>
      </c>
      <c r="M4232">
        <v>684623697</v>
      </c>
      <c r="P4232">
        <v>633</v>
      </c>
      <c r="Q4232" t="s">
        <v>8808</v>
      </c>
    </row>
    <row r="4233" spans="1:17" x14ac:dyDescent="0.3">
      <c r="A4233" t="s">
        <v>4664</v>
      </c>
      <c r="B4233" t="str">
        <f>"300477"</f>
        <v>300477</v>
      </c>
      <c r="C4233" t="s">
        <v>8809</v>
      </c>
      <c r="D4233" t="s">
        <v>210</v>
      </c>
      <c r="F4233">
        <v>798417934</v>
      </c>
      <c r="G4233">
        <v>811042165</v>
      </c>
      <c r="H4233">
        <v>1071802912</v>
      </c>
      <c r="I4233">
        <v>1311163735</v>
      </c>
      <c r="J4233">
        <v>830573063</v>
      </c>
      <c r="K4233">
        <v>497197495</v>
      </c>
      <c r="L4233">
        <v>667671994</v>
      </c>
      <c r="M4233">
        <v>539347347</v>
      </c>
      <c r="P4233">
        <v>100</v>
      </c>
      <c r="Q4233" t="s">
        <v>8810</v>
      </c>
    </row>
    <row r="4234" spans="1:17" x14ac:dyDescent="0.3">
      <c r="A4234" t="s">
        <v>4664</v>
      </c>
      <c r="B4234" t="str">
        <f>"300478"</f>
        <v>300478</v>
      </c>
      <c r="C4234" t="s">
        <v>8811</v>
      </c>
      <c r="D4234" t="s">
        <v>341</v>
      </c>
      <c r="F4234">
        <v>130875312</v>
      </c>
      <c r="G4234">
        <v>248747923</v>
      </c>
      <c r="H4234">
        <v>385929855</v>
      </c>
      <c r="I4234">
        <v>370833718</v>
      </c>
      <c r="J4234">
        <v>213242430</v>
      </c>
      <c r="K4234">
        <v>190796274</v>
      </c>
      <c r="L4234">
        <v>216124346</v>
      </c>
      <c r="M4234">
        <v>237198816</v>
      </c>
      <c r="P4234">
        <v>58</v>
      </c>
      <c r="Q4234" t="s">
        <v>8812</v>
      </c>
    </row>
    <row r="4235" spans="1:17" x14ac:dyDescent="0.3">
      <c r="A4235" t="s">
        <v>4664</v>
      </c>
      <c r="B4235" t="str">
        <f>"300479"</f>
        <v>300479</v>
      </c>
      <c r="C4235" t="s">
        <v>8813</v>
      </c>
      <c r="D4235" t="s">
        <v>236</v>
      </c>
      <c r="F4235">
        <v>295865002</v>
      </c>
      <c r="G4235">
        <v>265640731</v>
      </c>
      <c r="H4235">
        <v>274022533</v>
      </c>
      <c r="I4235">
        <v>241390369</v>
      </c>
      <c r="J4235">
        <v>211321383</v>
      </c>
      <c r="K4235">
        <v>186987187</v>
      </c>
      <c r="L4235">
        <v>233393685</v>
      </c>
      <c r="M4235">
        <v>168175300</v>
      </c>
      <c r="P4235">
        <v>167</v>
      </c>
      <c r="Q4235" t="s">
        <v>8814</v>
      </c>
    </row>
    <row r="4236" spans="1:17" x14ac:dyDescent="0.3">
      <c r="A4236" t="s">
        <v>4664</v>
      </c>
      <c r="B4236" t="str">
        <f>"300480"</f>
        <v>300480</v>
      </c>
      <c r="C4236" t="s">
        <v>8815</v>
      </c>
      <c r="D4236" t="s">
        <v>395</v>
      </c>
      <c r="F4236">
        <v>343079262</v>
      </c>
      <c r="G4236">
        <v>194007426</v>
      </c>
      <c r="H4236">
        <v>194351870</v>
      </c>
      <c r="I4236">
        <v>182568743</v>
      </c>
      <c r="J4236">
        <v>115621642</v>
      </c>
      <c r="K4236">
        <v>71887039</v>
      </c>
      <c r="L4236">
        <v>86285308</v>
      </c>
      <c r="M4236">
        <v>88657631</v>
      </c>
      <c r="P4236">
        <v>84</v>
      </c>
      <c r="Q4236" t="s">
        <v>8816</v>
      </c>
    </row>
    <row r="4237" spans="1:17" x14ac:dyDescent="0.3">
      <c r="A4237" t="s">
        <v>4664</v>
      </c>
      <c r="B4237" t="str">
        <f>"300481"</f>
        <v>300481</v>
      </c>
      <c r="C4237" t="s">
        <v>8817</v>
      </c>
      <c r="D4237" t="s">
        <v>2399</v>
      </c>
      <c r="F4237">
        <v>688892250</v>
      </c>
      <c r="G4237">
        <v>462539386</v>
      </c>
      <c r="H4237">
        <v>406728228</v>
      </c>
      <c r="I4237">
        <v>357720515</v>
      </c>
      <c r="J4237">
        <v>286538944</v>
      </c>
      <c r="K4237">
        <v>231139588</v>
      </c>
      <c r="L4237">
        <v>233166521</v>
      </c>
      <c r="M4237">
        <v>241053962</v>
      </c>
      <c r="P4237">
        <v>352</v>
      </c>
      <c r="Q4237" t="s">
        <v>8818</v>
      </c>
    </row>
    <row r="4238" spans="1:17" x14ac:dyDescent="0.3">
      <c r="A4238" t="s">
        <v>4664</v>
      </c>
      <c r="B4238" t="str">
        <f>"300482"</f>
        <v>300482</v>
      </c>
      <c r="C4238" t="s">
        <v>8819</v>
      </c>
      <c r="D4238" t="s">
        <v>1305</v>
      </c>
      <c r="F4238">
        <v>2321864557</v>
      </c>
      <c r="G4238">
        <v>2389910920</v>
      </c>
      <c r="H4238">
        <v>1437810145</v>
      </c>
      <c r="I4238">
        <v>1151462341</v>
      </c>
      <c r="J4238">
        <v>736529049</v>
      </c>
      <c r="K4238">
        <v>381545349</v>
      </c>
      <c r="L4238">
        <v>297014226</v>
      </c>
      <c r="M4238">
        <v>283212667</v>
      </c>
      <c r="P4238">
        <v>17071</v>
      </c>
      <c r="Q4238" t="s">
        <v>8820</v>
      </c>
    </row>
    <row r="4239" spans="1:17" x14ac:dyDescent="0.3">
      <c r="A4239" t="s">
        <v>4664</v>
      </c>
      <c r="B4239" t="str">
        <f>"300483"</f>
        <v>300483</v>
      </c>
      <c r="C4239" t="s">
        <v>8821</v>
      </c>
      <c r="D4239" t="s">
        <v>749</v>
      </c>
      <c r="F4239">
        <v>1250305858</v>
      </c>
      <c r="G4239">
        <v>935837438</v>
      </c>
      <c r="H4239">
        <v>967140598</v>
      </c>
      <c r="I4239">
        <v>243834180</v>
      </c>
      <c r="J4239">
        <v>318272663</v>
      </c>
      <c r="K4239">
        <v>253575953</v>
      </c>
      <c r="L4239">
        <v>288330678</v>
      </c>
      <c r="M4239">
        <v>262664351</v>
      </c>
      <c r="P4239">
        <v>140</v>
      </c>
      <c r="Q4239" t="s">
        <v>8822</v>
      </c>
    </row>
    <row r="4240" spans="1:17" x14ac:dyDescent="0.3">
      <c r="A4240" t="s">
        <v>4664</v>
      </c>
      <c r="B4240" t="str">
        <f>"300484"</f>
        <v>300484</v>
      </c>
      <c r="C4240" t="s">
        <v>8823</v>
      </c>
      <c r="D4240" t="s">
        <v>2423</v>
      </c>
      <c r="F4240">
        <v>409224340</v>
      </c>
      <c r="G4240">
        <v>299255009</v>
      </c>
      <c r="H4240">
        <v>351748220</v>
      </c>
      <c r="I4240">
        <v>283273874</v>
      </c>
      <c r="J4240">
        <v>389377368</v>
      </c>
      <c r="K4240">
        <v>134511295</v>
      </c>
      <c r="L4240">
        <v>71723475</v>
      </c>
      <c r="P4240">
        <v>219</v>
      </c>
      <c r="Q4240" t="s">
        <v>8824</v>
      </c>
    </row>
    <row r="4241" spans="1:17" x14ac:dyDescent="0.3">
      <c r="A4241" t="s">
        <v>4664</v>
      </c>
      <c r="B4241" t="str">
        <f>"300485"</f>
        <v>300485</v>
      </c>
      <c r="C4241" t="s">
        <v>8825</v>
      </c>
      <c r="D4241" t="s">
        <v>1379</v>
      </c>
      <c r="F4241">
        <v>888181744</v>
      </c>
      <c r="G4241">
        <v>879374013</v>
      </c>
      <c r="H4241">
        <v>1029711547</v>
      </c>
      <c r="I4241">
        <v>1002362400</v>
      </c>
      <c r="J4241">
        <v>487303853</v>
      </c>
      <c r="K4241">
        <v>533019380</v>
      </c>
      <c r="L4241">
        <v>492646212</v>
      </c>
      <c r="M4241">
        <v>488392494</v>
      </c>
      <c r="P4241">
        <v>196</v>
      </c>
      <c r="Q4241" t="s">
        <v>8826</v>
      </c>
    </row>
    <row r="4242" spans="1:17" x14ac:dyDescent="0.3">
      <c r="A4242" t="s">
        <v>4664</v>
      </c>
      <c r="B4242" t="str">
        <f>"300486"</f>
        <v>300486</v>
      </c>
      <c r="C4242" t="s">
        <v>8827</v>
      </c>
      <c r="D4242" t="s">
        <v>3450</v>
      </c>
      <c r="F4242">
        <v>627534538</v>
      </c>
      <c r="G4242">
        <v>500907685</v>
      </c>
      <c r="H4242">
        <v>358126938</v>
      </c>
      <c r="I4242">
        <v>319604611</v>
      </c>
      <c r="J4242">
        <v>272903962</v>
      </c>
      <c r="K4242">
        <v>204934362</v>
      </c>
      <c r="L4242">
        <v>150575900</v>
      </c>
      <c r="M4242">
        <v>170189198</v>
      </c>
      <c r="P4242">
        <v>74</v>
      </c>
      <c r="Q4242" t="s">
        <v>8828</v>
      </c>
    </row>
    <row r="4243" spans="1:17" x14ac:dyDescent="0.3">
      <c r="A4243" t="s">
        <v>4664</v>
      </c>
      <c r="B4243" t="str">
        <f>"300487"</f>
        <v>300487</v>
      </c>
      <c r="C4243" t="s">
        <v>8829</v>
      </c>
      <c r="D4243" t="s">
        <v>3350</v>
      </c>
      <c r="F4243">
        <v>653415065</v>
      </c>
      <c r="G4243">
        <v>493722982</v>
      </c>
      <c r="H4243">
        <v>293219919</v>
      </c>
      <c r="I4243">
        <v>376925008</v>
      </c>
      <c r="J4243">
        <v>234789995</v>
      </c>
      <c r="K4243">
        <v>149838522</v>
      </c>
      <c r="L4243">
        <v>123332268</v>
      </c>
      <c r="M4243">
        <v>128345003</v>
      </c>
      <c r="P4243">
        <v>374</v>
      </c>
      <c r="Q4243" t="s">
        <v>8830</v>
      </c>
    </row>
    <row r="4244" spans="1:17" x14ac:dyDescent="0.3">
      <c r="A4244" t="s">
        <v>4664</v>
      </c>
      <c r="B4244" t="str">
        <f>"300488"</f>
        <v>300488</v>
      </c>
      <c r="C4244" t="s">
        <v>8831</v>
      </c>
      <c r="D4244" t="s">
        <v>274</v>
      </c>
      <c r="F4244">
        <v>324452706</v>
      </c>
      <c r="G4244">
        <v>237160185</v>
      </c>
      <c r="H4244">
        <v>208079999</v>
      </c>
      <c r="I4244">
        <v>194063268</v>
      </c>
      <c r="J4244">
        <v>170294817</v>
      </c>
      <c r="K4244">
        <v>141245195</v>
      </c>
      <c r="L4244">
        <v>116773373</v>
      </c>
      <c r="M4244">
        <v>120365763</v>
      </c>
      <c r="P4244">
        <v>120</v>
      </c>
      <c r="Q4244" t="s">
        <v>8832</v>
      </c>
    </row>
    <row r="4245" spans="1:17" x14ac:dyDescent="0.3">
      <c r="A4245" t="s">
        <v>4664</v>
      </c>
      <c r="B4245" t="str">
        <f>"300489"</f>
        <v>300489</v>
      </c>
      <c r="C4245" t="s">
        <v>8833</v>
      </c>
      <c r="D4245" t="s">
        <v>504</v>
      </c>
      <c r="F4245">
        <v>472982637</v>
      </c>
      <c r="G4245">
        <v>155413144</v>
      </c>
      <c r="H4245">
        <v>110027191</v>
      </c>
      <c r="I4245">
        <v>118432675</v>
      </c>
      <c r="J4245">
        <v>68492881</v>
      </c>
      <c r="K4245">
        <v>83399912</v>
      </c>
      <c r="L4245">
        <v>56984086</v>
      </c>
      <c r="M4245">
        <v>74877075</v>
      </c>
      <c r="P4245">
        <v>71</v>
      </c>
      <c r="Q4245" t="s">
        <v>8834</v>
      </c>
    </row>
    <row r="4246" spans="1:17" x14ac:dyDescent="0.3">
      <c r="A4246" t="s">
        <v>4664</v>
      </c>
      <c r="B4246" t="str">
        <f>"300490"</f>
        <v>300490</v>
      </c>
      <c r="C4246" t="s">
        <v>8835</v>
      </c>
      <c r="D4246" t="s">
        <v>610</v>
      </c>
      <c r="F4246">
        <v>933813642</v>
      </c>
      <c r="G4246">
        <v>785763788</v>
      </c>
      <c r="H4246">
        <v>752574293</v>
      </c>
      <c r="I4246">
        <v>643866503</v>
      </c>
      <c r="J4246">
        <v>310284088</v>
      </c>
      <c r="K4246">
        <v>276480809</v>
      </c>
      <c r="L4246">
        <v>373204473</v>
      </c>
      <c r="M4246">
        <v>315550517</v>
      </c>
      <c r="P4246">
        <v>161</v>
      </c>
      <c r="Q4246" t="s">
        <v>8836</v>
      </c>
    </row>
    <row r="4247" spans="1:17" x14ac:dyDescent="0.3">
      <c r="A4247" t="s">
        <v>4664</v>
      </c>
      <c r="B4247" t="str">
        <f>"300491"</f>
        <v>300491</v>
      </c>
      <c r="C4247" t="s">
        <v>8837</v>
      </c>
      <c r="D4247" t="s">
        <v>880</v>
      </c>
      <c r="F4247">
        <v>133837815</v>
      </c>
      <c r="G4247">
        <v>95021502</v>
      </c>
      <c r="H4247">
        <v>97620111</v>
      </c>
      <c r="I4247">
        <v>71081681</v>
      </c>
      <c r="J4247">
        <v>94348577</v>
      </c>
      <c r="K4247">
        <v>112829077</v>
      </c>
      <c r="L4247">
        <v>122455253</v>
      </c>
      <c r="M4247">
        <v>102843474</v>
      </c>
      <c r="P4247">
        <v>94</v>
      </c>
      <c r="Q4247" t="s">
        <v>8838</v>
      </c>
    </row>
    <row r="4248" spans="1:17" x14ac:dyDescent="0.3">
      <c r="A4248" t="s">
        <v>4664</v>
      </c>
      <c r="B4248" t="str">
        <f>"300492"</f>
        <v>300492</v>
      </c>
      <c r="C4248" t="s">
        <v>8839</v>
      </c>
      <c r="D4248" t="s">
        <v>1272</v>
      </c>
      <c r="F4248">
        <v>60795183</v>
      </c>
      <c r="G4248">
        <v>94374274</v>
      </c>
      <c r="H4248">
        <v>164411975</v>
      </c>
      <c r="I4248">
        <v>183639135</v>
      </c>
      <c r="J4248">
        <v>78470260</v>
      </c>
      <c r="K4248">
        <v>90766696</v>
      </c>
      <c r="L4248">
        <v>118209942</v>
      </c>
      <c r="M4248">
        <v>110238789</v>
      </c>
      <c r="P4248">
        <v>94</v>
      </c>
      <c r="Q4248" t="s">
        <v>8840</v>
      </c>
    </row>
    <row r="4249" spans="1:17" x14ac:dyDescent="0.3">
      <c r="A4249" t="s">
        <v>4664</v>
      </c>
      <c r="B4249" t="str">
        <f>"300493"</f>
        <v>300493</v>
      </c>
      <c r="C4249" t="s">
        <v>8841</v>
      </c>
      <c r="D4249" t="s">
        <v>651</v>
      </c>
      <c r="F4249">
        <v>1393676993</v>
      </c>
      <c r="G4249">
        <v>1030064551</v>
      </c>
      <c r="H4249">
        <v>1146115080</v>
      </c>
      <c r="I4249">
        <v>1328195619</v>
      </c>
      <c r="J4249">
        <v>1386694138</v>
      </c>
      <c r="K4249">
        <v>1013691955</v>
      </c>
      <c r="L4249">
        <v>746377313</v>
      </c>
      <c r="M4249">
        <v>819176613</v>
      </c>
      <c r="P4249">
        <v>187</v>
      </c>
      <c r="Q4249" t="s">
        <v>8842</v>
      </c>
    </row>
    <row r="4250" spans="1:17" x14ac:dyDescent="0.3">
      <c r="A4250" t="s">
        <v>4664</v>
      </c>
      <c r="B4250" t="str">
        <f>"300494"</f>
        <v>300494</v>
      </c>
      <c r="C4250" t="s">
        <v>8843</v>
      </c>
      <c r="D4250" t="s">
        <v>517</v>
      </c>
      <c r="F4250">
        <v>826010853</v>
      </c>
      <c r="G4250">
        <v>710140209</v>
      </c>
      <c r="H4250">
        <v>461642805</v>
      </c>
      <c r="I4250">
        <v>385275159</v>
      </c>
      <c r="J4250">
        <v>284817181</v>
      </c>
      <c r="K4250">
        <v>242131332</v>
      </c>
      <c r="L4250">
        <v>169546744</v>
      </c>
      <c r="M4250">
        <v>152844595</v>
      </c>
      <c r="P4250">
        <v>134</v>
      </c>
      <c r="Q4250" t="s">
        <v>8844</v>
      </c>
    </row>
    <row r="4251" spans="1:17" x14ac:dyDescent="0.3">
      <c r="A4251" t="s">
        <v>4664</v>
      </c>
      <c r="B4251" t="str">
        <f>"300495"</f>
        <v>300495</v>
      </c>
      <c r="C4251" t="s">
        <v>8845</v>
      </c>
      <c r="D4251" t="s">
        <v>2408</v>
      </c>
      <c r="F4251">
        <v>429724687</v>
      </c>
      <c r="G4251">
        <v>1022376660</v>
      </c>
      <c r="H4251">
        <v>649801169</v>
      </c>
      <c r="I4251">
        <v>1070758501</v>
      </c>
      <c r="J4251">
        <v>637274075</v>
      </c>
      <c r="K4251">
        <v>191570536</v>
      </c>
      <c r="L4251">
        <v>0</v>
      </c>
      <c r="M4251">
        <v>0</v>
      </c>
      <c r="P4251">
        <v>103</v>
      </c>
      <c r="Q4251" t="s">
        <v>8846</v>
      </c>
    </row>
    <row r="4252" spans="1:17" x14ac:dyDescent="0.3">
      <c r="A4252" t="s">
        <v>4664</v>
      </c>
      <c r="B4252" t="str">
        <f>"300496"</f>
        <v>300496</v>
      </c>
      <c r="C4252" t="s">
        <v>8847</v>
      </c>
      <c r="D4252" t="s">
        <v>316</v>
      </c>
      <c r="F4252">
        <v>2797832353</v>
      </c>
      <c r="G4252">
        <v>1830859076</v>
      </c>
      <c r="H4252">
        <v>1233671907</v>
      </c>
      <c r="I4252">
        <v>766164452</v>
      </c>
      <c r="J4252">
        <v>689914081</v>
      </c>
      <c r="K4252">
        <v>565021497</v>
      </c>
      <c r="L4252">
        <v>422860247</v>
      </c>
      <c r="M4252">
        <v>264477048</v>
      </c>
      <c r="P4252">
        <v>1141</v>
      </c>
      <c r="Q4252" t="s">
        <v>8848</v>
      </c>
    </row>
    <row r="4253" spans="1:17" x14ac:dyDescent="0.3">
      <c r="A4253" t="s">
        <v>4664</v>
      </c>
      <c r="B4253" t="str">
        <f>"300497"</f>
        <v>300497</v>
      </c>
      <c r="C4253" t="s">
        <v>8849</v>
      </c>
      <c r="D4253" t="s">
        <v>496</v>
      </c>
      <c r="F4253">
        <v>772265794</v>
      </c>
      <c r="G4253">
        <v>817755052</v>
      </c>
      <c r="H4253">
        <v>667289605</v>
      </c>
      <c r="I4253">
        <v>560260741</v>
      </c>
      <c r="J4253">
        <v>481619165</v>
      </c>
      <c r="K4253">
        <v>422399610</v>
      </c>
      <c r="L4253">
        <v>226180489</v>
      </c>
      <c r="M4253">
        <v>203934580</v>
      </c>
      <c r="P4253">
        <v>4722</v>
      </c>
      <c r="Q4253" t="s">
        <v>8850</v>
      </c>
    </row>
    <row r="4254" spans="1:17" x14ac:dyDescent="0.3">
      <c r="A4254" t="s">
        <v>4664</v>
      </c>
      <c r="B4254" t="str">
        <f>"300498"</f>
        <v>300498</v>
      </c>
      <c r="C4254" t="s">
        <v>8851</v>
      </c>
      <c r="D4254" t="s">
        <v>1894</v>
      </c>
      <c r="F4254">
        <v>44218864911</v>
      </c>
      <c r="G4254">
        <v>48957569267</v>
      </c>
      <c r="H4254">
        <v>47784968818</v>
      </c>
      <c r="I4254">
        <v>40259721122</v>
      </c>
      <c r="J4254">
        <v>38178097190</v>
      </c>
      <c r="K4254">
        <v>42694596647</v>
      </c>
      <c r="L4254">
        <v>33835681954</v>
      </c>
      <c r="M4254">
        <v>0</v>
      </c>
      <c r="P4254">
        <v>2457</v>
      </c>
      <c r="Q4254" t="s">
        <v>8852</v>
      </c>
    </row>
    <row r="4255" spans="1:17" x14ac:dyDescent="0.3">
      <c r="A4255" t="s">
        <v>4664</v>
      </c>
      <c r="B4255" t="str">
        <f>"300499"</f>
        <v>300499</v>
      </c>
      <c r="C4255" t="s">
        <v>8853</v>
      </c>
      <c r="D4255" t="s">
        <v>741</v>
      </c>
      <c r="F4255">
        <v>701915409</v>
      </c>
      <c r="G4255">
        <v>426029864</v>
      </c>
      <c r="H4255">
        <v>364467663</v>
      </c>
      <c r="I4255">
        <v>407910852</v>
      </c>
      <c r="J4255">
        <v>399891232</v>
      </c>
      <c r="K4255">
        <v>261985178</v>
      </c>
      <c r="L4255">
        <v>135676587</v>
      </c>
      <c r="M4255">
        <v>173330215</v>
      </c>
      <c r="P4255">
        <v>135</v>
      </c>
      <c r="Q4255" t="s">
        <v>8854</v>
      </c>
    </row>
    <row r="4256" spans="1:17" x14ac:dyDescent="0.3">
      <c r="A4256" t="s">
        <v>4664</v>
      </c>
      <c r="B4256" t="str">
        <f>"300500"</f>
        <v>300500</v>
      </c>
      <c r="C4256" t="s">
        <v>8855</v>
      </c>
      <c r="D4256" t="s">
        <v>1272</v>
      </c>
      <c r="F4256">
        <v>1386112947</v>
      </c>
      <c r="G4256">
        <v>1185994526</v>
      </c>
      <c r="H4256">
        <v>739035877</v>
      </c>
      <c r="I4256">
        <v>485026624</v>
      </c>
      <c r="J4256">
        <v>295022051</v>
      </c>
      <c r="K4256">
        <v>255916884</v>
      </c>
      <c r="L4256">
        <v>0</v>
      </c>
      <c r="M4256">
        <v>0</v>
      </c>
      <c r="P4256">
        <v>100</v>
      </c>
      <c r="Q4256" t="s">
        <v>8856</v>
      </c>
    </row>
    <row r="4257" spans="1:17" x14ac:dyDescent="0.3">
      <c r="A4257" t="s">
        <v>4664</v>
      </c>
      <c r="B4257" t="str">
        <f>"300501"</f>
        <v>300501</v>
      </c>
      <c r="C4257" t="s">
        <v>8857</v>
      </c>
      <c r="D4257" t="s">
        <v>2439</v>
      </c>
      <c r="F4257">
        <v>688967155</v>
      </c>
      <c r="G4257">
        <v>472424218</v>
      </c>
      <c r="H4257">
        <v>466683151</v>
      </c>
      <c r="I4257">
        <v>329187845</v>
      </c>
      <c r="J4257">
        <v>211084529</v>
      </c>
      <c r="K4257">
        <v>139672399</v>
      </c>
      <c r="L4257">
        <v>148650047</v>
      </c>
      <c r="P4257">
        <v>131</v>
      </c>
      <c r="Q4257" t="s">
        <v>8858</v>
      </c>
    </row>
    <row r="4258" spans="1:17" x14ac:dyDescent="0.3">
      <c r="A4258" t="s">
        <v>4664</v>
      </c>
      <c r="B4258" t="str">
        <f>"300502"</f>
        <v>300502</v>
      </c>
      <c r="C4258" t="s">
        <v>8859</v>
      </c>
      <c r="D4258" t="s">
        <v>1019</v>
      </c>
      <c r="F4258">
        <v>2009252083</v>
      </c>
      <c r="G4258">
        <v>1165828082</v>
      </c>
      <c r="H4258">
        <v>702532879</v>
      </c>
      <c r="I4258">
        <v>697441697</v>
      </c>
      <c r="J4258">
        <v>615597740</v>
      </c>
      <c r="K4258">
        <v>492222970</v>
      </c>
      <c r="L4258">
        <v>436006309</v>
      </c>
      <c r="P4258">
        <v>636</v>
      </c>
      <c r="Q4258" t="s">
        <v>8860</v>
      </c>
    </row>
    <row r="4259" spans="1:17" x14ac:dyDescent="0.3">
      <c r="A4259" t="s">
        <v>4664</v>
      </c>
      <c r="B4259" t="str">
        <f>"300503"</f>
        <v>300503</v>
      </c>
      <c r="C4259" t="s">
        <v>8861</v>
      </c>
      <c r="D4259" t="s">
        <v>560</v>
      </c>
      <c r="F4259">
        <v>687685867</v>
      </c>
      <c r="G4259">
        <v>632355858</v>
      </c>
      <c r="H4259">
        <v>218780723</v>
      </c>
      <c r="I4259">
        <v>389484367</v>
      </c>
      <c r="J4259">
        <v>285321326</v>
      </c>
      <c r="K4259">
        <v>140733798</v>
      </c>
      <c r="L4259">
        <v>118462192</v>
      </c>
      <c r="P4259">
        <v>136</v>
      </c>
      <c r="Q4259" t="s">
        <v>8862</v>
      </c>
    </row>
    <row r="4260" spans="1:17" x14ac:dyDescent="0.3">
      <c r="A4260" t="s">
        <v>4664</v>
      </c>
      <c r="B4260" t="str">
        <f>"300504"</f>
        <v>300504</v>
      </c>
      <c r="C4260" t="s">
        <v>8863</v>
      </c>
      <c r="D4260" t="s">
        <v>786</v>
      </c>
      <c r="F4260">
        <v>1723753656</v>
      </c>
      <c r="G4260">
        <v>1334903318</v>
      </c>
      <c r="H4260">
        <v>1910147605</v>
      </c>
      <c r="I4260">
        <v>1748303681</v>
      </c>
      <c r="J4260">
        <v>1629499183</v>
      </c>
      <c r="P4260">
        <v>176</v>
      </c>
      <c r="Q4260" t="s">
        <v>8864</v>
      </c>
    </row>
    <row r="4261" spans="1:17" x14ac:dyDescent="0.3">
      <c r="A4261" t="s">
        <v>4664</v>
      </c>
      <c r="B4261" t="str">
        <f>"300505"</f>
        <v>300505</v>
      </c>
      <c r="C4261" t="s">
        <v>8865</v>
      </c>
      <c r="D4261" t="s">
        <v>183</v>
      </c>
      <c r="F4261">
        <v>1040827270</v>
      </c>
      <c r="G4261">
        <v>752751020</v>
      </c>
      <c r="H4261">
        <v>830653911</v>
      </c>
      <c r="I4261">
        <v>694115352</v>
      </c>
      <c r="J4261">
        <v>526488836</v>
      </c>
      <c r="K4261">
        <v>510040647</v>
      </c>
      <c r="L4261">
        <v>363563522</v>
      </c>
      <c r="P4261">
        <v>97</v>
      </c>
      <c r="Q4261" t="s">
        <v>8866</v>
      </c>
    </row>
    <row r="4262" spans="1:17" x14ac:dyDescent="0.3">
      <c r="A4262" t="s">
        <v>4664</v>
      </c>
      <c r="B4262" t="str">
        <f>"300506"</f>
        <v>300506</v>
      </c>
      <c r="C4262" t="s">
        <v>8867</v>
      </c>
      <c r="D4262" t="s">
        <v>450</v>
      </c>
      <c r="F4262">
        <v>475970825</v>
      </c>
      <c r="G4262">
        <v>414280004</v>
      </c>
      <c r="H4262">
        <v>507444307</v>
      </c>
      <c r="I4262">
        <v>312010418</v>
      </c>
      <c r="J4262">
        <v>105731170</v>
      </c>
      <c r="K4262">
        <v>84545994</v>
      </c>
      <c r="L4262">
        <v>70330204</v>
      </c>
      <c r="P4262">
        <v>294</v>
      </c>
      <c r="Q4262" t="s">
        <v>8868</v>
      </c>
    </row>
    <row r="4263" spans="1:17" x14ac:dyDescent="0.3">
      <c r="A4263" t="s">
        <v>4664</v>
      </c>
      <c r="B4263" t="str">
        <f>"300507"</f>
        <v>300507</v>
      </c>
      <c r="C4263" t="s">
        <v>8869</v>
      </c>
      <c r="D4263" t="s">
        <v>348</v>
      </c>
      <c r="F4263">
        <v>635011093</v>
      </c>
      <c r="G4263">
        <v>572445702</v>
      </c>
      <c r="H4263">
        <v>492689308</v>
      </c>
      <c r="I4263">
        <v>501918749</v>
      </c>
      <c r="J4263">
        <v>495668431</v>
      </c>
      <c r="K4263">
        <v>394458549</v>
      </c>
      <c r="L4263">
        <v>360722346</v>
      </c>
      <c r="P4263">
        <v>137</v>
      </c>
      <c r="Q4263" t="s">
        <v>8870</v>
      </c>
    </row>
    <row r="4264" spans="1:17" x14ac:dyDescent="0.3">
      <c r="A4264" t="s">
        <v>4664</v>
      </c>
      <c r="B4264" t="str">
        <f>"300508"</f>
        <v>300508</v>
      </c>
      <c r="C4264" t="s">
        <v>8871</v>
      </c>
      <c r="D4264" t="s">
        <v>236</v>
      </c>
      <c r="F4264">
        <v>311630884</v>
      </c>
      <c r="G4264">
        <v>125758276</v>
      </c>
      <c r="H4264">
        <v>138268701</v>
      </c>
      <c r="I4264">
        <v>168604467</v>
      </c>
      <c r="J4264">
        <v>150149080</v>
      </c>
      <c r="K4264">
        <v>112153949</v>
      </c>
      <c r="L4264">
        <v>110199758</v>
      </c>
      <c r="P4264">
        <v>130</v>
      </c>
      <c r="Q4264" t="s">
        <v>8872</v>
      </c>
    </row>
    <row r="4265" spans="1:17" x14ac:dyDescent="0.3">
      <c r="A4265" t="s">
        <v>4664</v>
      </c>
      <c r="B4265" t="str">
        <f>"300509"</f>
        <v>300509</v>
      </c>
      <c r="C4265" t="s">
        <v>8873</v>
      </c>
      <c r="D4265" t="s">
        <v>3388</v>
      </c>
      <c r="F4265">
        <v>673941261</v>
      </c>
      <c r="G4265">
        <v>601490736</v>
      </c>
      <c r="H4265">
        <v>508368954</v>
      </c>
      <c r="I4265">
        <v>442362236</v>
      </c>
      <c r="J4265">
        <v>404251997</v>
      </c>
      <c r="K4265">
        <v>327206191</v>
      </c>
      <c r="L4265">
        <v>369436469</v>
      </c>
      <c r="P4265">
        <v>64</v>
      </c>
      <c r="Q4265" t="s">
        <v>8874</v>
      </c>
    </row>
    <row r="4266" spans="1:17" x14ac:dyDescent="0.3">
      <c r="A4266" t="s">
        <v>4664</v>
      </c>
      <c r="B4266" t="str">
        <f>"300510"</f>
        <v>300510</v>
      </c>
      <c r="C4266" t="s">
        <v>8875</v>
      </c>
      <c r="D4266" t="s">
        <v>610</v>
      </c>
      <c r="F4266">
        <v>493131003</v>
      </c>
      <c r="G4266">
        <v>546933566</v>
      </c>
      <c r="H4266">
        <v>669173279</v>
      </c>
      <c r="I4266">
        <v>585672142</v>
      </c>
      <c r="J4266">
        <v>339814780</v>
      </c>
      <c r="K4266">
        <v>176161084</v>
      </c>
      <c r="L4266">
        <v>117957213</v>
      </c>
      <c r="P4266">
        <v>115</v>
      </c>
      <c r="Q4266" t="s">
        <v>8876</v>
      </c>
    </row>
    <row r="4267" spans="1:17" x14ac:dyDescent="0.3">
      <c r="A4267" t="s">
        <v>4664</v>
      </c>
      <c r="B4267" t="str">
        <f>"300511"</f>
        <v>300511</v>
      </c>
      <c r="C4267" t="s">
        <v>8877</v>
      </c>
      <c r="D4267" t="s">
        <v>7244</v>
      </c>
      <c r="F4267">
        <v>1430379929</v>
      </c>
      <c r="G4267">
        <v>1560006197</v>
      </c>
      <c r="H4267">
        <v>1351807915</v>
      </c>
      <c r="I4267">
        <v>1303848397</v>
      </c>
      <c r="J4267">
        <v>801491106</v>
      </c>
      <c r="K4267">
        <v>655364913</v>
      </c>
      <c r="L4267">
        <v>655061325</v>
      </c>
      <c r="P4267">
        <v>301</v>
      </c>
      <c r="Q4267" t="s">
        <v>8878</v>
      </c>
    </row>
    <row r="4268" spans="1:17" x14ac:dyDescent="0.3">
      <c r="A4268" t="s">
        <v>4664</v>
      </c>
      <c r="B4268" t="str">
        <f>"300512"</f>
        <v>300512</v>
      </c>
      <c r="C4268" t="s">
        <v>8879</v>
      </c>
      <c r="D4268" t="s">
        <v>3388</v>
      </c>
      <c r="F4268">
        <v>689575803</v>
      </c>
      <c r="G4268">
        <v>537864707</v>
      </c>
      <c r="H4268">
        <v>487634494</v>
      </c>
      <c r="I4268">
        <v>477344788</v>
      </c>
      <c r="J4268">
        <v>602792711</v>
      </c>
      <c r="K4268">
        <v>588673283</v>
      </c>
      <c r="L4268">
        <v>464023858</v>
      </c>
      <c r="P4268">
        <v>161</v>
      </c>
      <c r="Q4268" t="s">
        <v>8880</v>
      </c>
    </row>
    <row r="4269" spans="1:17" x14ac:dyDescent="0.3">
      <c r="A4269" t="s">
        <v>4664</v>
      </c>
      <c r="B4269" t="str">
        <f>"300513"</f>
        <v>300513</v>
      </c>
      <c r="C4269" t="s">
        <v>8881</v>
      </c>
      <c r="D4269" t="s">
        <v>654</v>
      </c>
      <c r="F4269">
        <v>800562797</v>
      </c>
      <c r="G4269">
        <v>833077741</v>
      </c>
      <c r="H4269">
        <v>721332837</v>
      </c>
      <c r="I4269">
        <v>591952252</v>
      </c>
      <c r="J4269">
        <v>319748931</v>
      </c>
      <c r="K4269">
        <v>204009617</v>
      </c>
      <c r="L4269">
        <v>222723799</v>
      </c>
      <c r="P4269">
        <v>160</v>
      </c>
      <c r="Q4269" t="s">
        <v>8882</v>
      </c>
    </row>
    <row r="4270" spans="1:17" x14ac:dyDescent="0.3">
      <c r="A4270" t="s">
        <v>4664</v>
      </c>
      <c r="B4270" t="str">
        <f>"300514"</f>
        <v>300514</v>
      </c>
      <c r="C4270" t="s">
        <v>8883</v>
      </c>
      <c r="D4270" t="s">
        <v>2171</v>
      </c>
      <c r="F4270">
        <v>507183219</v>
      </c>
      <c r="G4270">
        <v>542195473</v>
      </c>
      <c r="H4270">
        <v>396724552</v>
      </c>
      <c r="I4270">
        <v>347618931</v>
      </c>
      <c r="J4270">
        <v>277338833</v>
      </c>
      <c r="K4270">
        <v>263397725</v>
      </c>
      <c r="P4270">
        <v>148</v>
      </c>
      <c r="Q4270" t="s">
        <v>8884</v>
      </c>
    </row>
    <row r="4271" spans="1:17" x14ac:dyDescent="0.3">
      <c r="A4271" t="s">
        <v>4664</v>
      </c>
      <c r="B4271" t="str">
        <f>"300515"</f>
        <v>300515</v>
      </c>
      <c r="C4271" t="s">
        <v>8885</v>
      </c>
      <c r="D4271" t="s">
        <v>2551</v>
      </c>
      <c r="F4271">
        <v>257217967</v>
      </c>
      <c r="G4271">
        <v>228990619</v>
      </c>
      <c r="H4271">
        <v>216151108</v>
      </c>
      <c r="I4271">
        <v>167462834</v>
      </c>
      <c r="J4271">
        <v>155329621</v>
      </c>
      <c r="K4271">
        <v>136565652</v>
      </c>
      <c r="L4271">
        <v>147066522</v>
      </c>
      <c r="P4271">
        <v>80</v>
      </c>
      <c r="Q4271" t="s">
        <v>8886</v>
      </c>
    </row>
    <row r="4272" spans="1:17" x14ac:dyDescent="0.3">
      <c r="A4272" t="s">
        <v>4664</v>
      </c>
      <c r="B4272" t="str">
        <f>"300516"</f>
        <v>300516</v>
      </c>
      <c r="C4272" t="s">
        <v>8887</v>
      </c>
      <c r="D4272" t="s">
        <v>651</v>
      </c>
      <c r="F4272">
        <v>253047741</v>
      </c>
      <c r="G4272">
        <v>159029377</v>
      </c>
      <c r="H4272">
        <v>237454164</v>
      </c>
      <c r="I4272">
        <v>284124224</v>
      </c>
      <c r="J4272">
        <v>119014877</v>
      </c>
      <c r="K4272">
        <v>170503760</v>
      </c>
      <c r="L4272">
        <v>177622967</v>
      </c>
      <c r="P4272">
        <v>118</v>
      </c>
      <c r="Q4272" t="s">
        <v>8888</v>
      </c>
    </row>
    <row r="4273" spans="1:17" x14ac:dyDescent="0.3">
      <c r="A4273" t="s">
        <v>4664</v>
      </c>
      <c r="B4273" t="str">
        <f>"300517"</f>
        <v>300517</v>
      </c>
      <c r="C4273" t="s">
        <v>8889</v>
      </c>
      <c r="D4273" t="s">
        <v>978</v>
      </c>
      <c r="F4273">
        <v>477640779</v>
      </c>
      <c r="G4273">
        <v>563988647</v>
      </c>
      <c r="H4273">
        <v>485188578</v>
      </c>
      <c r="I4273">
        <v>370165066</v>
      </c>
      <c r="J4273">
        <v>239261743</v>
      </c>
      <c r="K4273">
        <v>240566970</v>
      </c>
      <c r="L4273">
        <v>282982169</v>
      </c>
      <c r="P4273">
        <v>76</v>
      </c>
      <c r="Q4273" t="s">
        <v>8890</v>
      </c>
    </row>
    <row r="4274" spans="1:17" x14ac:dyDescent="0.3">
      <c r="A4274" t="s">
        <v>4664</v>
      </c>
      <c r="B4274" t="str">
        <f>"300518"</f>
        <v>300518</v>
      </c>
      <c r="C4274" t="s">
        <v>8891</v>
      </c>
      <c r="D4274" t="s">
        <v>517</v>
      </c>
      <c r="F4274">
        <v>597982642</v>
      </c>
      <c r="G4274">
        <v>165454782</v>
      </c>
      <c r="H4274">
        <v>193638314</v>
      </c>
      <c r="I4274">
        <v>315899616</v>
      </c>
      <c r="J4274">
        <v>151835150</v>
      </c>
      <c r="K4274">
        <v>156017814</v>
      </c>
      <c r="L4274">
        <v>122162014</v>
      </c>
      <c r="P4274">
        <v>91</v>
      </c>
      <c r="Q4274" t="s">
        <v>8892</v>
      </c>
    </row>
    <row r="4275" spans="1:17" x14ac:dyDescent="0.3">
      <c r="A4275" t="s">
        <v>4664</v>
      </c>
      <c r="B4275" t="str">
        <f>"300519"</f>
        <v>300519</v>
      </c>
      <c r="C4275" t="s">
        <v>8893</v>
      </c>
      <c r="D4275" t="s">
        <v>188</v>
      </c>
      <c r="F4275">
        <v>231357764</v>
      </c>
      <c r="G4275">
        <v>189271336</v>
      </c>
      <c r="H4275">
        <v>194905933</v>
      </c>
      <c r="I4275">
        <v>186304301</v>
      </c>
      <c r="J4275">
        <v>207917271</v>
      </c>
      <c r="K4275">
        <v>228518520</v>
      </c>
      <c r="L4275">
        <v>227138097</v>
      </c>
      <c r="P4275">
        <v>251</v>
      </c>
      <c r="Q4275" t="s">
        <v>8894</v>
      </c>
    </row>
    <row r="4276" spans="1:17" x14ac:dyDescent="0.3">
      <c r="A4276" t="s">
        <v>4664</v>
      </c>
      <c r="B4276" t="str">
        <f>"300520"</f>
        <v>300520</v>
      </c>
      <c r="C4276" t="s">
        <v>8895</v>
      </c>
      <c r="D4276" t="s">
        <v>945</v>
      </c>
      <c r="F4276">
        <v>930398288</v>
      </c>
      <c r="G4276">
        <v>963172919</v>
      </c>
      <c r="H4276">
        <v>967353159</v>
      </c>
      <c r="I4276">
        <v>542229724</v>
      </c>
      <c r="J4276">
        <v>301227061</v>
      </c>
      <c r="K4276">
        <v>284445860</v>
      </c>
      <c r="L4276">
        <v>193232934</v>
      </c>
      <c r="P4276">
        <v>255</v>
      </c>
      <c r="Q4276" t="s">
        <v>8896</v>
      </c>
    </row>
    <row r="4277" spans="1:17" x14ac:dyDescent="0.3">
      <c r="A4277" t="s">
        <v>4664</v>
      </c>
      <c r="B4277" t="str">
        <f>"300521"</f>
        <v>300521</v>
      </c>
      <c r="C4277" t="s">
        <v>8897</v>
      </c>
      <c r="D4277" t="s">
        <v>3388</v>
      </c>
      <c r="F4277">
        <v>150272479</v>
      </c>
      <c r="G4277">
        <v>111432887</v>
      </c>
      <c r="H4277">
        <v>148850195</v>
      </c>
      <c r="I4277">
        <v>164316023</v>
      </c>
      <c r="J4277">
        <v>160918555</v>
      </c>
      <c r="K4277">
        <v>158028186</v>
      </c>
      <c r="L4277">
        <v>162716309</v>
      </c>
      <c r="P4277">
        <v>57</v>
      </c>
      <c r="Q4277" t="s">
        <v>8898</v>
      </c>
    </row>
    <row r="4278" spans="1:17" x14ac:dyDescent="0.3">
      <c r="A4278" t="s">
        <v>4664</v>
      </c>
      <c r="B4278" t="str">
        <f>"300522"</f>
        <v>300522</v>
      </c>
      <c r="C4278" t="s">
        <v>8899</v>
      </c>
      <c r="D4278" t="s">
        <v>2570</v>
      </c>
      <c r="F4278">
        <v>297866588</v>
      </c>
      <c r="G4278">
        <v>151628330</v>
      </c>
      <c r="H4278">
        <v>158527393</v>
      </c>
      <c r="I4278">
        <v>141079935</v>
      </c>
      <c r="J4278">
        <v>224493122</v>
      </c>
      <c r="K4278">
        <v>203094123</v>
      </c>
      <c r="L4278">
        <v>168213458</v>
      </c>
      <c r="P4278">
        <v>99</v>
      </c>
      <c r="Q4278" t="s">
        <v>8900</v>
      </c>
    </row>
    <row r="4279" spans="1:17" x14ac:dyDescent="0.3">
      <c r="A4279" t="s">
        <v>4664</v>
      </c>
      <c r="B4279" t="str">
        <f>"300523"</f>
        <v>300523</v>
      </c>
      <c r="C4279" t="s">
        <v>8901</v>
      </c>
      <c r="D4279" t="s">
        <v>316</v>
      </c>
      <c r="F4279">
        <v>840905825</v>
      </c>
      <c r="G4279">
        <v>895743923</v>
      </c>
      <c r="H4279">
        <v>651642383</v>
      </c>
      <c r="I4279">
        <v>488560701</v>
      </c>
      <c r="J4279">
        <v>192532064</v>
      </c>
      <c r="K4279">
        <v>228950007</v>
      </c>
      <c r="L4279">
        <v>196118696</v>
      </c>
      <c r="P4279">
        <v>135</v>
      </c>
      <c r="Q4279" t="s">
        <v>8902</v>
      </c>
    </row>
    <row r="4280" spans="1:17" x14ac:dyDescent="0.3">
      <c r="A4280" t="s">
        <v>4664</v>
      </c>
      <c r="B4280" t="str">
        <f>"300525"</f>
        <v>300525</v>
      </c>
      <c r="C4280" t="s">
        <v>8903</v>
      </c>
      <c r="D4280" t="s">
        <v>945</v>
      </c>
      <c r="F4280">
        <v>727286948</v>
      </c>
      <c r="G4280">
        <v>409993230</v>
      </c>
      <c r="H4280">
        <v>317229198</v>
      </c>
      <c r="I4280">
        <v>184482982</v>
      </c>
      <c r="J4280">
        <v>101199079</v>
      </c>
      <c r="K4280">
        <v>68282185</v>
      </c>
      <c r="L4280">
        <v>72921236</v>
      </c>
      <c r="P4280">
        <v>241</v>
      </c>
      <c r="Q4280" t="s">
        <v>8904</v>
      </c>
    </row>
    <row r="4281" spans="1:17" x14ac:dyDescent="0.3">
      <c r="A4281" t="s">
        <v>4664</v>
      </c>
      <c r="B4281" t="str">
        <f>"300526"</f>
        <v>300526</v>
      </c>
      <c r="C4281" t="s">
        <v>8905</v>
      </c>
      <c r="D4281" t="s">
        <v>330</v>
      </c>
      <c r="F4281">
        <v>39408122</v>
      </c>
      <c r="G4281">
        <v>284610729</v>
      </c>
      <c r="H4281">
        <v>343666387</v>
      </c>
      <c r="I4281">
        <v>323788268</v>
      </c>
      <c r="J4281">
        <v>299233939</v>
      </c>
      <c r="K4281">
        <v>236675228</v>
      </c>
      <c r="L4281">
        <v>221265623</v>
      </c>
      <c r="P4281">
        <v>104</v>
      </c>
      <c r="Q4281" t="s">
        <v>8906</v>
      </c>
    </row>
    <row r="4282" spans="1:17" x14ac:dyDescent="0.3">
      <c r="A4282" t="s">
        <v>4664</v>
      </c>
      <c r="B4282" t="str">
        <f>"300527"</f>
        <v>300527</v>
      </c>
      <c r="C4282" t="s">
        <v>8907</v>
      </c>
      <c r="D4282" t="s">
        <v>428</v>
      </c>
      <c r="F4282">
        <v>543746994</v>
      </c>
      <c r="G4282">
        <v>627880035</v>
      </c>
      <c r="H4282">
        <v>1763204809</v>
      </c>
      <c r="I4282">
        <v>849849768</v>
      </c>
      <c r="J4282">
        <v>1074343533</v>
      </c>
      <c r="K4282">
        <v>618357652</v>
      </c>
      <c r="L4282">
        <v>741514536</v>
      </c>
      <c r="P4282">
        <v>144</v>
      </c>
      <c r="Q4282" t="s">
        <v>8908</v>
      </c>
    </row>
    <row r="4283" spans="1:17" x14ac:dyDescent="0.3">
      <c r="A4283" t="s">
        <v>4664</v>
      </c>
      <c r="B4283" t="str">
        <f>"300528"</f>
        <v>300528</v>
      </c>
      <c r="C4283" t="s">
        <v>8909</v>
      </c>
      <c r="D4283" t="s">
        <v>2558</v>
      </c>
      <c r="F4283">
        <v>1194613029</v>
      </c>
      <c r="G4283">
        <v>510773561</v>
      </c>
      <c r="H4283">
        <v>1506451156</v>
      </c>
      <c r="I4283">
        <v>1511862201</v>
      </c>
      <c r="J4283">
        <v>1202125768</v>
      </c>
      <c r="K4283">
        <v>1269265912</v>
      </c>
      <c r="L4283">
        <v>1053087313</v>
      </c>
      <c r="P4283">
        <v>81</v>
      </c>
      <c r="Q4283" t="s">
        <v>8910</v>
      </c>
    </row>
    <row r="4284" spans="1:17" x14ac:dyDescent="0.3">
      <c r="A4284" t="s">
        <v>4664</v>
      </c>
      <c r="B4284" t="str">
        <f>"300529"</f>
        <v>300529</v>
      </c>
      <c r="C4284" t="s">
        <v>8911</v>
      </c>
      <c r="D4284" t="s">
        <v>1077</v>
      </c>
      <c r="F4284">
        <v>1841243957</v>
      </c>
      <c r="G4284">
        <v>1373388302</v>
      </c>
      <c r="H4284">
        <v>1105830338</v>
      </c>
      <c r="I4284">
        <v>794185764</v>
      </c>
      <c r="J4284">
        <v>581778038</v>
      </c>
      <c r="K4284">
        <v>430335001</v>
      </c>
      <c r="L4284">
        <v>386670571</v>
      </c>
      <c r="P4284">
        <v>5945</v>
      </c>
      <c r="Q4284" t="s">
        <v>8912</v>
      </c>
    </row>
    <row r="4285" spans="1:17" x14ac:dyDescent="0.3">
      <c r="A4285" t="s">
        <v>4664</v>
      </c>
      <c r="B4285" t="str">
        <f>"300530"</f>
        <v>300530</v>
      </c>
      <c r="C4285" t="s">
        <v>8913</v>
      </c>
      <c r="D4285" t="s">
        <v>386</v>
      </c>
      <c r="F4285">
        <v>105931993</v>
      </c>
      <c r="G4285">
        <v>86776607</v>
      </c>
      <c r="H4285">
        <v>119093840</v>
      </c>
      <c r="I4285">
        <v>142368927</v>
      </c>
      <c r="J4285">
        <v>107618814</v>
      </c>
      <c r="K4285">
        <v>109789793</v>
      </c>
      <c r="L4285">
        <v>105446734</v>
      </c>
      <c r="P4285">
        <v>64</v>
      </c>
      <c r="Q4285" t="s">
        <v>8914</v>
      </c>
    </row>
    <row r="4286" spans="1:17" x14ac:dyDescent="0.3">
      <c r="A4286" t="s">
        <v>4664</v>
      </c>
      <c r="B4286" t="str">
        <f>"300531"</f>
        <v>300531</v>
      </c>
      <c r="C4286" t="s">
        <v>8915</v>
      </c>
      <c r="D4286" t="s">
        <v>236</v>
      </c>
      <c r="F4286">
        <v>1010812206</v>
      </c>
      <c r="G4286">
        <v>790444808</v>
      </c>
      <c r="H4286">
        <v>750239666</v>
      </c>
      <c r="I4286">
        <v>519603566</v>
      </c>
      <c r="J4286">
        <v>268260248</v>
      </c>
      <c r="K4286">
        <v>251876164</v>
      </c>
      <c r="L4286">
        <v>196282535</v>
      </c>
      <c r="P4286">
        <v>173</v>
      </c>
      <c r="Q4286" t="s">
        <v>8916</v>
      </c>
    </row>
    <row r="4287" spans="1:17" x14ac:dyDescent="0.3">
      <c r="A4287" t="s">
        <v>4664</v>
      </c>
      <c r="B4287" t="str">
        <f>"300532"</f>
        <v>300532</v>
      </c>
      <c r="C4287" t="s">
        <v>8917</v>
      </c>
      <c r="D4287" t="s">
        <v>316</v>
      </c>
      <c r="F4287">
        <v>1090089232</v>
      </c>
      <c r="G4287">
        <v>582190245</v>
      </c>
      <c r="H4287">
        <v>497907080</v>
      </c>
      <c r="I4287">
        <v>521770500</v>
      </c>
      <c r="J4287">
        <v>307352396</v>
      </c>
      <c r="K4287">
        <v>244104077</v>
      </c>
      <c r="L4287">
        <v>257581446</v>
      </c>
      <c r="P4287">
        <v>220</v>
      </c>
      <c r="Q4287" t="s">
        <v>8918</v>
      </c>
    </row>
    <row r="4288" spans="1:17" x14ac:dyDescent="0.3">
      <c r="A4288" t="s">
        <v>4664</v>
      </c>
      <c r="B4288" t="str">
        <f>"300533"</f>
        <v>300533</v>
      </c>
      <c r="C4288" t="s">
        <v>8919</v>
      </c>
      <c r="D4288" t="s">
        <v>517</v>
      </c>
      <c r="F4288">
        <v>364350039</v>
      </c>
      <c r="G4288">
        <v>305789091</v>
      </c>
      <c r="H4288">
        <v>271044289</v>
      </c>
      <c r="I4288">
        <v>182686733</v>
      </c>
      <c r="J4288">
        <v>201348885</v>
      </c>
      <c r="K4288">
        <v>267639052</v>
      </c>
      <c r="L4288">
        <v>281478842</v>
      </c>
      <c r="P4288">
        <v>131</v>
      </c>
      <c r="Q4288" t="s">
        <v>8920</v>
      </c>
    </row>
    <row r="4289" spans="1:17" x14ac:dyDescent="0.3">
      <c r="A4289" t="s">
        <v>4664</v>
      </c>
      <c r="B4289" t="str">
        <f>"300534"</f>
        <v>300534</v>
      </c>
      <c r="C4289" t="s">
        <v>8921</v>
      </c>
      <c r="D4289" t="s">
        <v>188</v>
      </c>
      <c r="F4289">
        <v>214563116</v>
      </c>
      <c r="G4289">
        <v>216713567</v>
      </c>
      <c r="H4289">
        <v>151718995</v>
      </c>
      <c r="I4289">
        <v>136449290</v>
      </c>
      <c r="J4289">
        <v>172489775</v>
      </c>
      <c r="K4289">
        <v>186937591</v>
      </c>
      <c r="L4289">
        <v>193536012</v>
      </c>
      <c r="P4289">
        <v>109</v>
      </c>
      <c r="Q4289" t="s">
        <v>8922</v>
      </c>
    </row>
    <row r="4290" spans="1:17" x14ac:dyDescent="0.3">
      <c r="A4290" t="s">
        <v>4664</v>
      </c>
      <c r="B4290" t="str">
        <f>"300535"</f>
        <v>300535</v>
      </c>
      <c r="C4290" t="s">
        <v>8923</v>
      </c>
      <c r="D4290" t="s">
        <v>386</v>
      </c>
      <c r="F4290">
        <v>533867068</v>
      </c>
      <c r="G4290">
        <v>260206245</v>
      </c>
      <c r="H4290">
        <v>245564930</v>
      </c>
      <c r="I4290">
        <v>215500937</v>
      </c>
      <c r="J4290">
        <v>170502938</v>
      </c>
      <c r="K4290">
        <v>163949805</v>
      </c>
      <c r="L4290">
        <v>159344222</v>
      </c>
      <c r="P4290">
        <v>73</v>
      </c>
      <c r="Q4290" t="s">
        <v>8924</v>
      </c>
    </row>
    <row r="4291" spans="1:17" x14ac:dyDescent="0.3">
      <c r="A4291" t="s">
        <v>4664</v>
      </c>
      <c r="B4291" t="str">
        <f>"300536"</f>
        <v>300536</v>
      </c>
      <c r="C4291" t="s">
        <v>8925</v>
      </c>
      <c r="D4291" t="s">
        <v>2408</v>
      </c>
      <c r="F4291">
        <v>241610127</v>
      </c>
      <c r="G4291">
        <v>229028482</v>
      </c>
      <c r="H4291">
        <v>414204433</v>
      </c>
      <c r="I4291">
        <v>335421757</v>
      </c>
      <c r="J4291">
        <v>251459905</v>
      </c>
      <c r="K4291">
        <v>201415648</v>
      </c>
      <c r="L4291">
        <v>242907898</v>
      </c>
      <c r="P4291">
        <v>63</v>
      </c>
      <c r="Q4291" t="s">
        <v>8926</v>
      </c>
    </row>
    <row r="4292" spans="1:17" x14ac:dyDescent="0.3">
      <c r="A4292" t="s">
        <v>4664</v>
      </c>
      <c r="B4292" t="str">
        <f>"300537"</f>
        <v>300537</v>
      </c>
      <c r="C4292" t="s">
        <v>8927</v>
      </c>
      <c r="D4292" t="s">
        <v>2399</v>
      </c>
      <c r="F4292">
        <v>516616895</v>
      </c>
      <c r="G4292">
        <v>660395866</v>
      </c>
      <c r="H4292">
        <v>624408979</v>
      </c>
      <c r="I4292">
        <v>282266962</v>
      </c>
      <c r="J4292">
        <v>261937531</v>
      </c>
      <c r="K4292">
        <v>166881864</v>
      </c>
      <c r="L4292">
        <v>158728098</v>
      </c>
      <c r="P4292">
        <v>225</v>
      </c>
      <c r="Q4292" t="s">
        <v>8928</v>
      </c>
    </row>
    <row r="4293" spans="1:17" x14ac:dyDescent="0.3">
      <c r="A4293" t="s">
        <v>4664</v>
      </c>
      <c r="B4293" t="str">
        <f>"300538"</f>
        <v>300538</v>
      </c>
      <c r="C4293" t="s">
        <v>8929</v>
      </c>
      <c r="D4293" t="s">
        <v>341</v>
      </c>
      <c r="F4293">
        <v>1765009216</v>
      </c>
      <c r="G4293">
        <v>1950603819</v>
      </c>
      <c r="H4293">
        <v>1050355710</v>
      </c>
      <c r="I4293">
        <v>924276774</v>
      </c>
      <c r="J4293">
        <v>646865914</v>
      </c>
      <c r="K4293">
        <v>686169005</v>
      </c>
      <c r="L4293">
        <v>595692203</v>
      </c>
      <c r="P4293">
        <v>186</v>
      </c>
      <c r="Q4293" t="s">
        <v>8930</v>
      </c>
    </row>
    <row r="4294" spans="1:17" x14ac:dyDescent="0.3">
      <c r="A4294" t="s">
        <v>4664</v>
      </c>
      <c r="B4294" t="str">
        <f>"300539"</f>
        <v>300539</v>
      </c>
      <c r="C4294" t="s">
        <v>8931</v>
      </c>
      <c r="D4294" t="s">
        <v>1192</v>
      </c>
      <c r="F4294">
        <v>508232166</v>
      </c>
      <c r="G4294">
        <v>366657968</v>
      </c>
      <c r="H4294">
        <v>446568753</v>
      </c>
      <c r="I4294">
        <v>385565302</v>
      </c>
      <c r="J4294">
        <v>332172043</v>
      </c>
      <c r="K4294">
        <v>305010523</v>
      </c>
      <c r="L4294">
        <v>285709110</v>
      </c>
      <c r="P4294">
        <v>84</v>
      </c>
      <c r="Q4294" t="s">
        <v>8932</v>
      </c>
    </row>
    <row r="4295" spans="1:17" x14ac:dyDescent="0.3">
      <c r="A4295" t="s">
        <v>4664</v>
      </c>
      <c r="B4295" t="str">
        <f>"300540"</f>
        <v>300540</v>
      </c>
      <c r="C4295" t="s">
        <v>8933</v>
      </c>
      <c r="D4295" t="s">
        <v>741</v>
      </c>
      <c r="F4295">
        <v>184073546</v>
      </c>
      <c r="G4295">
        <v>251381565</v>
      </c>
      <c r="H4295">
        <v>213848625</v>
      </c>
      <c r="I4295">
        <v>132276817</v>
      </c>
      <c r="J4295">
        <v>63197278</v>
      </c>
      <c r="K4295">
        <v>164409114</v>
      </c>
      <c r="L4295">
        <v>131815252</v>
      </c>
      <c r="P4295">
        <v>65</v>
      </c>
      <c r="Q4295" t="s">
        <v>8934</v>
      </c>
    </row>
    <row r="4296" spans="1:17" x14ac:dyDescent="0.3">
      <c r="A4296" t="s">
        <v>4664</v>
      </c>
      <c r="B4296" t="str">
        <f>"300541"</f>
        <v>300541</v>
      </c>
      <c r="C4296" t="s">
        <v>8935</v>
      </c>
      <c r="D4296" t="s">
        <v>316</v>
      </c>
      <c r="F4296">
        <v>3291989314</v>
      </c>
      <c r="G4296">
        <v>1708620852</v>
      </c>
      <c r="H4296">
        <v>1167477993</v>
      </c>
      <c r="I4296">
        <v>905299751</v>
      </c>
      <c r="J4296">
        <v>559087130</v>
      </c>
      <c r="K4296">
        <v>481923497</v>
      </c>
      <c r="L4296">
        <v>552671064</v>
      </c>
      <c r="P4296">
        <v>177</v>
      </c>
      <c r="Q4296" t="s">
        <v>8936</v>
      </c>
    </row>
    <row r="4297" spans="1:17" x14ac:dyDescent="0.3">
      <c r="A4297" t="s">
        <v>4664</v>
      </c>
      <c r="B4297" t="str">
        <f>"300542"</f>
        <v>300542</v>
      </c>
      <c r="C4297" t="s">
        <v>8937</v>
      </c>
      <c r="D4297" t="s">
        <v>945</v>
      </c>
      <c r="F4297">
        <v>529732368</v>
      </c>
      <c r="G4297">
        <v>642227761</v>
      </c>
      <c r="H4297">
        <v>701964215</v>
      </c>
      <c r="I4297">
        <v>313232203</v>
      </c>
      <c r="J4297">
        <v>275776434</v>
      </c>
      <c r="K4297">
        <v>218428274</v>
      </c>
      <c r="L4297">
        <v>207558225</v>
      </c>
      <c r="P4297">
        <v>143</v>
      </c>
      <c r="Q4297" t="s">
        <v>8938</v>
      </c>
    </row>
    <row r="4298" spans="1:17" x14ac:dyDescent="0.3">
      <c r="A4298" t="s">
        <v>4664</v>
      </c>
      <c r="B4298" t="str">
        <f>"300543"</f>
        <v>300543</v>
      </c>
      <c r="C4298" t="s">
        <v>8939</v>
      </c>
      <c r="D4298" t="s">
        <v>313</v>
      </c>
      <c r="F4298">
        <v>1549995277</v>
      </c>
      <c r="G4298">
        <v>970115186</v>
      </c>
      <c r="H4298">
        <v>1035653439</v>
      </c>
      <c r="I4298">
        <v>775202163</v>
      </c>
      <c r="J4298">
        <v>680211051</v>
      </c>
      <c r="K4298">
        <v>521390788</v>
      </c>
      <c r="L4298">
        <v>545625464</v>
      </c>
      <c r="P4298">
        <v>152</v>
      </c>
      <c r="Q4298" t="s">
        <v>8940</v>
      </c>
    </row>
    <row r="4299" spans="1:17" x14ac:dyDescent="0.3">
      <c r="A4299" t="s">
        <v>4664</v>
      </c>
      <c r="B4299" t="str">
        <f>"300545"</f>
        <v>300545</v>
      </c>
      <c r="C4299" t="s">
        <v>8941</v>
      </c>
      <c r="D4299" t="s">
        <v>1117</v>
      </c>
      <c r="F4299">
        <v>585855926</v>
      </c>
      <c r="G4299">
        <v>490092972</v>
      </c>
      <c r="H4299">
        <v>543606015</v>
      </c>
      <c r="I4299">
        <v>432611536</v>
      </c>
      <c r="J4299">
        <v>430352349</v>
      </c>
      <c r="K4299">
        <v>128638957</v>
      </c>
      <c r="L4299">
        <v>181559224</v>
      </c>
      <c r="P4299">
        <v>182</v>
      </c>
      <c r="Q4299" t="s">
        <v>8942</v>
      </c>
    </row>
    <row r="4300" spans="1:17" x14ac:dyDescent="0.3">
      <c r="A4300" t="s">
        <v>4664</v>
      </c>
      <c r="B4300" t="str">
        <f>"300546"</f>
        <v>300546</v>
      </c>
      <c r="C4300" t="s">
        <v>8943</v>
      </c>
      <c r="D4300" t="s">
        <v>236</v>
      </c>
      <c r="F4300">
        <v>313922091</v>
      </c>
      <c r="G4300">
        <v>240936383</v>
      </c>
      <c r="H4300">
        <v>364710717</v>
      </c>
      <c r="I4300">
        <v>367989942</v>
      </c>
      <c r="J4300">
        <v>202343136</v>
      </c>
      <c r="K4300">
        <v>141812024</v>
      </c>
      <c r="L4300">
        <v>155043166</v>
      </c>
      <c r="P4300">
        <v>196</v>
      </c>
      <c r="Q4300" t="s">
        <v>8944</v>
      </c>
    </row>
    <row r="4301" spans="1:17" x14ac:dyDescent="0.3">
      <c r="A4301" t="s">
        <v>4664</v>
      </c>
      <c r="B4301" t="str">
        <f>"300547"</f>
        <v>300547</v>
      </c>
      <c r="C4301" t="s">
        <v>8945</v>
      </c>
      <c r="D4301" t="s">
        <v>348</v>
      </c>
      <c r="F4301">
        <v>412021602</v>
      </c>
      <c r="G4301">
        <v>322723355</v>
      </c>
      <c r="H4301">
        <v>279586954</v>
      </c>
      <c r="I4301">
        <v>363299379</v>
      </c>
      <c r="J4301">
        <v>314501415</v>
      </c>
      <c r="K4301">
        <v>232393061</v>
      </c>
      <c r="L4301">
        <v>288985902</v>
      </c>
      <c r="P4301">
        <v>181</v>
      </c>
      <c r="Q4301" t="s">
        <v>8946</v>
      </c>
    </row>
    <row r="4302" spans="1:17" x14ac:dyDescent="0.3">
      <c r="A4302" t="s">
        <v>4664</v>
      </c>
      <c r="B4302" t="str">
        <f>"300548"</f>
        <v>300548</v>
      </c>
      <c r="C4302" t="s">
        <v>8947</v>
      </c>
      <c r="D4302" t="s">
        <v>1019</v>
      </c>
      <c r="F4302">
        <v>621217107</v>
      </c>
      <c r="G4302">
        <v>327877731</v>
      </c>
      <c r="H4302">
        <v>206512842</v>
      </c>
      <c r="I4302">
        <v>237864505</v>
      </c>
      <c r="J4302">
        <v>276314248</v>
      </c>
      <c r="K4302">
        <v>230619836</v>
      </c>
      <c r="L4302">
        <v>145289656</v>
      </c>
      <c r="P4302">
        <v>289</v>
      </c>
      <c r="Q4302" t="s">
        <v>8948</v>
      </c>
    </row>
    <row r="4303" spans="1:17" x14ac:dyDescent="0.3">
      <c r="A4303" t="s">
        <v>4664</v>
      </c>
      <c r="B4303" t="str">
        <f>"300549"</f>
        <v>300549</v>
      </c>
      <c r="C4303" t="s">
        <v>8949</v>
      </c>
      <c r="D4303" t="s">
        <v>741</v>
      </c>
      <c r="F4303">
        <v>301805410</v>
      </c>
      <c r="G4303">
        <v>251705623</v>
      </c>
      <c r="H4303">
        <v>297106076</v>
      </c>
      <c r="I4303">
        <v>358004166</v>
      </c>
      <c r="J4303">
        <v>343588266</v>
      </c>
      <c r="K4303">
        <v>275022694</v>
      </c>
      <c r="L4303">
        <v>270280907</v>
      </c>
      <c r="P4303">
        <v>92</v>
      </c>
      <c r="Q4303" t="s">
        <v>8950</v>
      </c>
    </row>
    <row r="4304" spans="1:17" x14ac:dyDescent="0.3">
      <c r="A4304" t="s">
        <v>4664</v>
      </c>
      <c r="B4304" t="str">
        <f>"300550"</f>
        <v>300550</v>
      </c>
      <c r="C4304" t="s">
        <v>8951</v>
      </c>
      <c r="D4304" t="s">
        <v>945</v>
      </c>
      <c r="F4304">
        <v>268195807</v>
      </c>
      <c r="G4304">
        <v>160164829</v>
      </c>
      <c r="H4304">
        <v>275265669</v>
      </c>
      <c r="I4304">
        <v>160806552</v>
      </c>
      <c r="J4304">
        <v>124351754</v>
      </c>
      <c r="K4304">
        <v>99237626</v>
      </c>
      <c r="L4304">
        <v>111585546</v>
      </c>
      <c r="P4304">
        <v>123</v>
      </c>
      <c r="Q4304" t="s">
        <v>8952</v>
      </c>
    </row>
    <row r="4305" spans="1:17" x14ac:dyDescent="0.3">
      <c r="A4305" t="s">
        <v>4664</v>
      </c>
      <c r="B4305" t="str">
        <f>"300551"</f>
        <v>300551</v>
      </c>
      <c r="C4305" t="s">
        <v>8953</v>
      </c>
      <c r="D4305" t="s">
        <v>236</v>
      </c>
      <c r="F4305">
        <v>107146074</v>
      </c>
      <c r="G4305">
        <v>178076350</v>
      </c>
      <c r="H4305">
        <v>234155607</v>
      </c>
      <c r="I4305">
        <v>115225585</v>
      </c>
      <c r="J4305">
        <v>122759054</v>
      </c>
      <c r="K4305">
        <v>135330337</v>
      </c>
      <c r="L4305">
        <v>103529980</v>
      </c>
      <c r="P4305">
        <v>89</v>
      </c>
      <c r="Q4305" t="s">
        <v>8954</v>
      </c>
    </row>
    <row r="4306" spans="1:17" x14ac:dyDescent="0.3">
      <c r="A4306" t="s">
        <v>4664</v>
      </c>
      <c r="B4306" t="str">
        <f>"300552"</f>
        <v>300552</v>
      </c>
      <c r="C4306" t="s">
        <v>8955</v>
      </c>
      <c r="D4306" t="s">
        <v>236</v>
      </c>
      <c r="F4306">
        <v>824594656</v>
      </c>
      <c r="G4306">
        <v>1052636146</v>
      </c>
      <c r="H4306">
        <v>1413210661</v>
      </c>
      <c r="I4306">
        <v>372246765</v>
      </c>
      <c r="J4306">
        <v>270186990</v>
      </c>
      <c r="K4306">
        <v>353283176</v>
      </c>
      <c r="L4306">
        <v>210714550</v>
      </c>
      <c r="P4306">
        <v>327</v>
      </c>
      <c r="Q4306" t="s">
        <v>8956</v>
      </c>
    </row>
    <row r="4307" spans="1:17" x14ac:dyDescent="0.3">
      <c r="A4307" t="s">
        <v>4664</v>
      </c>
      <c r="B4307" t="str">
        <f>"300553"</f>
        <v>300553</v>
      </c>
      <c r="C4307" t="s">
        <v>8957</v>
      </c>
      <c r="D4307" t="s">
        <v>2551</v>
      </c>
      <c r="F4307">
        <v>169070460</v>
      </c>
      <c r="G4307">
        <v>96643223</v>
      </c>
      <c r="H4307">
        <v>98707960</v>
      </c>
      <c r="I4307">
        <v>82953857</v>
      </c>
      <c r="J4307">
        <v>66421244</v>
      </c>
      <c r="K4307">
        <v>62643569</v>
      </c>
      <c r="L4307">
        <v>49793357</v>
      </c>
      <c r="P4307">
        <v>72</v>
      </c>
      <c r="Q4307" t="s">
        <v>8958</v>
      </c>
    </row>
    <row r="4308" spans="1:17" x14ac:dyDescent="0.3">
      <c r="A4308" t="s">
        <v>4664</v>
      </c>
      <c r="B4308" t="str">
        <f>"300554"</f>
        <v>300554</v>
      </c>
      <c r="C4308" t="s">
        <v>8959</v>
      </c>
      <c r="D4308" t="s">
        <v>404</v>
      </c>
      <c r="F4308">
        <v>263170585</v>
      </c>
      <c r="G4308">
        <v>187879180</v>
      </c>
      <c r="H4308">
        <v>251164826</v>
      </c>
      <c r="I4308">
        <v>235930686</v>
      </c>
      <c r="J4308">
        <v>191343922</v>
      </c>
      <c r="K4308">
        <v>99089486</v>
      </c>
      <c r="P4308">
        <v>123</v>
      </c>
      <c r="Q4308" t="s">
        <v>8960</v>
      </c>
    </row>
    <row r="4309" spans="1:17" x14ac:dyDescent="0.3">
      <c r="A4309" t="s">
        <v>4664</v>
      </c>
      <c r="B4309" t="str">
        <f>"300555"</f>
        <v>300555</v>
      </c>
      <c r="C4309" t="s">
        <v>8961</v>
      </c>
      <c r="D4309" t="s">
        <v>786</v>
      </c>
      <c r="F4309">
        <v>154373146</v>
      </c>
      <c r="G4309">
        <v>210125976</v>
      </c>
      <c r="H4309">
        <v>200743505</v>
      </c>
      <c r="I4309">
        <v>193503209</v>
      </c>
      <c r="J4309">
        <v>188284550</v>
      </c>
      <c r="K4309">
        <v>179121640</v>
      </c>
      <c r="L4309">
        <v>157898703</v>
      </c>
      <c r="P4309">
        <v>72</v>
      </c>
      <c r="Q4309" t="s">
        <v>8962</v>
      </c>
    </row>
    <row r="4310" spans="1:17" x14ac:dyDescent="0.3">
      <c r="A4310" t="s">
        <v>4664</v>
      </c>
      <c r="B4310" t="str">
        <f>"300556"</f>
        <v>300556</v>
      </c>
      <c r="C4310" t="s">
        <v>8963</v>
      </c>
      <c r="D4310" t="s">
        <v>945</v>
      </c>
      <c r="F4310">
        <v>834325466</v>
      </c>
      <c r="G4310">
        <v>686985079</v>
      </c>
      <c r="H4310">
        <v>540217663</v>
      </c>
      <c r="I4310">
        <v>430727935</v>
      </c>
      <c r="J4310">
        <v>357635476</v>
      </c>
      <c r="K4310">
        <v>238938813</v>
      </c>
      <c r="L4310">
        <v>214460892</v>
      </c>
      <c r="P4310">
        <v>112</v>
      </c>
      <c r="Q4310" t="s">
        <v>8964</v>
      </c>
    </row>
    <row r="4311" spans="1:17" x14ac:dyDescent="0.3">
      <c r="A4311" t="s">
        <v>4664</v>
      </c>
      <c r="B4311" t="str">
        <f>"300557"</f>
        <v>300557</v>
      </c>
      <c r="C4311" t="s">
        <v>8965</v>
      </c>
      <c r="D4311" t="s">
        <v>2551</v>
      </c>
      <c r="F4311">
        <v>336952413</v>
      </c>
      <c r="G4311">
        <v>238207351</v>
      </c>
      <c r="H4311">
        <v>182141854</v>
      </c>
      <c r="I4311">
        <v>134425713</v>
      </c>
      <c r="J4311">
        <v>117580293</v>
      </c>
      <c r="K4311">
        <v>98866008</v>
      </c>
      <c r="P4311">
        <v>61</v>
      </c>
      <c r="Q4311" t="s">
        <v>8966</v>
      </c>
    </row>
    <row r="4312" spans="1:17" x14ac:dyDescent="0.3">
      <c r="A4312" t="s">
        <v>4664</v>
      </c>
      <c r="B4312" t="str">
        <f>"300558"</f>
        <v>300558</v>
      </c>
      <c r="C4312" t="s">
        <v>8967</v>
      </c>
      <c r="D4312" t="s">
        <v>143</v>
      </c>
      <c r="F4312">
        <v>1712220624</v>
      </c>
      <c r="G4312">
        <v>1433413952</v>
      </c>
      <c r="H4312">
        <v>1237885318</v>
      </c>
      <c r="I4312">
        <v>1042543710</v>
      </c>
      <c r="J4312">
        <v>859911605</v>
      </c>
      <c r="K4312">
        <v>908395747</v>
      </c>
      <c r="L4312">
        <v>790615907</v>
      </c>
      <c r="P4312">
        <v>756</v>
      </c>
      <c r="Q4312" t="s">
        <v>8968</v>
      </c>
    </row>
    <row r="4313" spans="1:17" x14ac:dyDescent="0.3">
      <c r="A4313" t="s">
        <v>4664</v>
      </c>
      <c r="B4313" t="str">
        <f>"300559"</f>
        <v>300559</v>
      </c>
      <c r="C4313" t="s">
        <v>8969</v>
      </c>
      <c r="D4313" t="s">
        <v>945</v>
      </c>
      <c r="F4313">
        <v>349678551</v>
      </c>
      <c r="G4313">
        <v>424597277</v>
      </c>
      <c r="H4313">
        <v>458842243</v>
      </c>
      <c r="I4313">
        <v>201043237</v>
      </c>
      <c r="J4313">
        <v>136188223</v>
      </c>
      <c r="K4313">
        <v>107490545</v>
      </c>
      <c r="L4313">
        <v>125397172</v>
      </c>
      <c r="P4313">
        <v>369</v>
      </c>
      <c r="Q4313" t="s">
        <v>8970</v>
      </c>
    </row>
    <row r="4314" spans="1:17" x14ac:dyDescent="0.3">
      <c r="A4314" t="s">
        <v>4664</v>
      </c>
      <c r="B4314" t="str">
        <f>"300560"</f>
        <v>300560</v>
      </c>
      <c r="C4314" t="s">
        <v>8971</v>
      </c>
      <c r="D4314" t="s">
        <v>654</v>
      </c>
      <c r="F4314">
        <v>506067604</v>
      </c>
      <c r="G4314">
        <v>348528387</v>
      </c>
      <c r="H4314">
        <v>353833236</v>
      </c>
      <c r="I4314">
        <v>277861941</v>
      </c>
      <c r="J4314">
        <v>200076825</v>
      </c>
      <c r="K4314">
        <v>204733648</v>
      </c>
      <c r="L4314">
        <v>193284253</v>
      </c>
      <c r="P4314">
        <v>192</v>
      </c>
      <c r="Q4314" t="s">
        <v>8972</v>
      </c>
    </row>
    <row r="4315" spans="1:17" x14ac:dyDescent="0.3">
      <c r="A4315" t="s">
        <v>4664</v>
      </c>
      <c r="B4315" t="str">
        <f>"300561"</f>
        <v>300561</v>
      </c>
      <c r="C4315" t="s">
        <v>8973</v>
      </c>
      <c r="D4315" t="s">
        <v>945</v>
      </c>
      <c r="F4315">
        <v>112017703</v>
      </c>
      <c r="G4315">
        <v>128705453</v>
      </c>
      <c r="H4315">
        <v>144424522</v>
      </c>
      <c r="I4315">
        <v>107823251</v>
      </c>
      <c r="J4315">
        <v>88936575</v>
      </c>
      <c r="K4315">
        <v>98510973</v>
      </c>
      <c r="L4315">
        <v>79098962</v>
      </c>
      <c r="P4315">
        <v>114</v>
      </c>
      <c r="Q4315" t="s">
        <v>8974</v>
      </c>
    </row>
    <row r="4316" spans="1:17" x14ac:dyDescent="0.3">
      <c r="A4316" t="s">
        <v>4664</v>
      </c>
      <c r="B4316" t="str">
        <f>"300562"</f>
        <v>300562</v>
      </c>
      <c r="C4316" t="s">
        <v>8975</v>
      </c>
      <c r="D4316" t="s">
        <v>122</v>
      </c>
      <c r="F4316">
        <v>1246753101</v>
      </c>
      <c r="G4316">
        <v>820721920</v>
      </c>
      <c r="H4316">
        <v>608565441</v>
      </c>
      <c r="I4316">
        <v>576457725</v>
      </c>
      <c r="J4316">
        <v>678827796</v>
      </c>
      <c r="K4316">
        <v>586076924</v>
      </c>
      <c r="L4316">
        <v>0</v>
      </c>
      <c r="P4316">
        <v>155</v>
      </c>
      <c r="Q4316" t="s">
        <v>8976</v>
      </c>
    </row>
    <row r="4317" spans="1:17" x14ac:dyDescent="0.3">
      <c r="A4317" t="s">
        <v>4664</v>
      </c>
      <c r="B4317" t="str">
        <f>"300563"</f>
        <v>300563</v>
      </c>
      <c r="C4317" t="s">
        <v>8977</v>
      </c>
      <c r="D4317" t="s">
        <v>250</v>
      </c>
      <c r="F4317">
        <v>661161457</v>
      </c>
      <c r="G4317">
        <v>453659680</v>
      </c>
      <c r="H4317">
        <v>383038113</v>
      </c>
      <c r="I4317">
        <v>287657758</v>
      </c>
      <c r="J4317">
        <v>270237840</v>
      </c>
      <c r="K4317">
        <v>200714015</v>
      </c>
      <c r="L4317">
        <v>173115486</v>
      </c>
      <c r="P4317">
        <v>144</v>
      </c>
      <c r="Q4317" t="s">
        <v>8978</v>
      </c>
    </row>
    <row r="4318" spans="1:17" x14ac:dyDescent="0.3">
      <c r="A4318" t="s">
        <v>4664</v>
      </c>
      <c r="B4318" t="str">
        <f>"300564"</f>
        <v>300564</v>
      </c>
      <c r="C4318" t="s">
        <v>8979</v>
      </c>
      <c r="D4318" t="s">
        <v>1272</v>
      </c>
      <c r="F4318">
        <v>566328247</v>
      </c>
      <c r="G4318">
        <v>533354362</v>
      </c>
      <c r="H4318">
        <v>582715184</v>
      </c>
      <c r="I4318">
        <v>591134283</v>
      </c>
      <c r="P4318">
        <v>211</v>
      </c>
      <c r="Q4318" t="s">
        <v>8980</v>
      </c>
    </row>
    <row r="4319" spans="1:17" x14ac:dyDescent="0.3">
      <c r="A4319" t="s">
        <v>4664</v>
      </c>
      <c r="B4319" t="str">
        <f>"300565"</f>
        <v>300565</v>
      </c>
      <c r="C4319" t="s">
        <v>8981</v>
      </c>
      <c r="D4319" t="s">
        <v>1019</v>
      </c>
      <c r="F4319">
        <v>655010900</v>
      </c>
      <c r="G4319">
        <v>321430039</v>
      </c>
      <c r="H4319">
        <v>292140986</v>
      </c>
      <c r="I4319">
        <v>396030196</v>
      </c>
      <c r="J4319">
        <v>517111120</v>
      </c>
      <c r="K4319">
        <v>431051633</v>
      </c>
      <c r="L4319">
        <v>522759991</v>
      </c>
      <c r="P4319">
        <v>113</v>
      </c>
      <c r="Q4319" t="s">
        <v>8982</v>
      </c>
    </row>
    <row r="4320" spans="1:17" x14ac:dyDescent="0.3">
      <c r="A4320" t="s">
        <v>4664</v>
      </c>
      <c r="B4320" t="str">
        <f>"300566"</f>
        <v>300566</v>
      </c>
      <c r="C4320" t="s">
        <v>8983</v>
      </c>
      <c r="D4320" t="s">
        <v>164</v>
      </c>
      <c r="F4320">
        <v>1288516217</v>
      </c>
      <c r="G4320">
        <v>958025463</v>
      </c>
      <c r="H4320">
        <v>787154980</v>
      </c>
      <c r="I4320">
        <v>234021147</v>
      </c>
      <c r="J4320">
        <v>340715943</v>
      </c>
      <c r="K4320">
        <v>341208236</v>
      </c>
      <c r="L4320">
        <v>254318154</v>
      </c>
      <c r="P4320">
        <v>197</v>
      </c>
      <c r="Q4320" t="s">
        <v>8984</v>
      </c>
    </row>
    <row r="4321" spans="1:17" x14ac:dyDescent="0.3">
      <c r="A4321" t="s">
        <v>4664</v>
      </c>
      <c r="B4321" t="str">
        <f>"300567"</f>
        <v>300567</v>
      </c>
      <c r="C4321" t="s">
        <v>8985</v>
      </c>
      <c r="D4321" t="s">
        <v>2551</v>
      </c>
      <c r="F4321">
        <v>1605180948</v>
      </c>
      <c r="G4321">
        <v>1361763238</v>
      </c>
      <c r="H4321">
        <v>1048790555</v>
      </c>
      <c r="I4321">
        <v>1114617369</v>
      </c>
      <c r="J4321">
        <v>673319727</v>
      </c>
      <c r="K4321">
        <v>314936447</v>
      </c>
      <c r="L4321">
        <v>293575699</v>
      </c>
      <c r="P4321">
        <v>1242</v>
      </c>
      <c r="Q4321" t="s">
        <v>8986</v>
      </c>
    </row>
    <row r="4322" spans="1:17" x14ac:dyDescent="0.3">
      <c r="A4322" t="s">
        <v>4664</v>
      </c>
      <c r="B4322" t="str">
        <f>"300568"</f>
        <v>300568</v>
      </c>
      <c r="C4322" t="s">
        <v>8987</v>
      </c>
      <c r="D4322" t="s">
        <v>1786</v>
      </c>
      <c r="F4322">
        <v>1064595762</v>
      </c>
      <c r="G4322">
        <v>587332650</v>
      </c>
      <c r="H4322">
        <v>359467280</v>
      </c>
      <c r="I4322">
        <v>434812977</v>
      </c>
      <c r="J4322">
        <v>341996946</v>
      </c>
      <c r="K4322">
        <v>370575828</v>
      </c>
      <c r="L4322">
        <v>174414563</v>
      </c>
      <c r="P4322">
        <v>474</v>
      </c>
      <c r="Q4322" t="s">
        <v>8988</v>
      </c>
    </row>
    <row r="4323" spans="1:17" x14ac:dyDescent="0.3">
      <c r="A4323" t="s">
        <v>4664</v>
      </c>
      <c r="B4323" t="str">
        <f>"300569"</f>
        <v>300569</v>
      </c>
      <c r="C4323" t="s">
        <v>8989</v>
      </c>
      <c r="D4323" t="s">
        <v>950</v>
      </c>
      <c r="F4323">
        <v>1940790575</v>
      </c>
      <c r="G4323">
        <v>2008287729</v>
      </c>
      <c r="H4323">
        <v>1283997939</v>
      </c>
      <c r="I4323">
        <v>611257607</v>
      </c>
      <c r="J4323">
        <v>530140842</v>
      </c>
      <c r="K4323">
        <v>508305777</v>
      </c>
      <c r="L4323">
        <v>608419100</v>
      </c>
      <c r="P4323">
        <v>201</v>
      </c>
      <c r="Q4323" t="s">
        <v>8990</v>
      </c>
    </row>
    <row r="4324" spans="1:17" x14ac:dyDescent="0.3">
      <c r="A4324" t="s">
        <v>4664</v>
      </c>
      <c r="B4324" t="str">
        <f>"300570"</f>
        <v>300570</v>
      </c>
      <c r="C4324" t="s">
        <v>8991</v>
      </c>
      <c r="D4324" t="s">
        <v>1019</v>
      </c>
      <c r="F4324">
        <v>473482023</v>
      </c>
      <c r="G4324">
        <v>321149110</v>
      </c>
      <c r="H4324">
        <v>718752700</v>
      </c>
      <c r="I4324">
        <v>424581757</v>
      </c>
      <c r="J4324">
        <v>354093098</v>
      </c>
      <c r="K4324">
        <v>323268155</v>
      </c>
      <c r="L4324">
        <v>0</v>
      </c>
      <c r="P4324">
        <v>229</v>
      </c>
      <c r="Q4324" t="s">
        <v>8992</v>
      </c>
    </row>
    <row r="4325" spans="1:17" x14ac:dyDescent="0.3">
      <c r="A4325" t="s">
        <v>4664</v>
      </c>
      <c r="B4325" t="str">
        <f>"300571"</f>
        <v>300571</v>
      </c>
      <c r="C4325" t="s">
        <v>8993</v>
      </c>
      <c r="D4325" t="s">
        <v>5597</v>
      </c>
      <c r="F4325">
        <v>2038707640</v>
      </c>
      <c r="G4325">
        <v>1082646833</v>
      </c>
      <c r="H4325">
        <v>975037410</v>
      </c>
      <c r="I4325">
        <v>667608064</v>
      </c>
      <c r="J4325">
        <v>698324691</v>
      </c>
      <c r="K4325">
        <v>282785690</v>
      </c>
      <c r="L4325">
        <v>105612162</v>
      </c>
      <c r="P4325">
        <v>2111</v>
      </c>
      <c r="Q4325" t="s">
        <v>8994</v>
      </c>
    </row>
    <row r="4326" spans="1:17" x14ac:dyDescent="0.3">
      <c r="A4326" t="s">
        <v>4664</v>
      </c>
      <c r="B4326" t="str">
        <f>"300572"</f>
        <v>300572</v>
      </c>
      <c r="C4326" t="s">
        <v>8995</v>
      </c>
      <c r="D4326" t="s">
        <v>2499</v>
      </c>
      <c r="F4326">
        <v>417966520</v>
      </c>
      <c r="G4326">
        <v>553281882</v>
      </c>
      <c r="H4326">
        <v>679703616</v>
      </c>
      <c r="I4326">
        <v>326866149</v>
      </c>
      <c r="J4326">
        <v>436529703</v>
      </c>
      <c r="K4326">
        <v>281835306</v>
      </c>
      <c r="L4326">
        <v>276496624</v>
      </c>
      <c r="P4326">
        <v>466</v>
      </c>
      <c r="Q4326" t="s">
        <v>8996</v>
      </c>
    </row>
    <row r="4327" spans="1:17" x14ac:dyDescent="0.3">
      <c r="A4327" t="s">
        <v>4664</v>
      </c>
      <c r="B4327" t="str">
        <f>"300573"</f>
        <v>300573</v>
      </c>
      <c r="C4327" t="s">
        <v>8997</v>
      </c>
      <c r="D4327" t="s">
        <v>143</v>
      </c>
      <c r="F4327">
        <v>742484670</v>
      </c>
      <c r="G4327">
        <v>414577418</v>
      </c>
      <c r="H4327">
        <v>362373603</v>
      </c>
      <c r="I4327">
        <v>325990225</v>
      </c>
      <c r="J4327">
        <v>263278066</v>
      </c>
      <c r="K4327">
        <v>250149566</v>
      </c>
      <c r="P4327">
        <v>315</v>
      </c>
      <c r="Q4327" t="s">
        <v>8998</v>
      </c>
    </row>
    <row r="4328" spans="1:17" x14ac:dyDescent="0.3">
      <c r="A4328" t="s">
        <v>4664</v>
      </c>
      <c r="B4328" t="str">
        <f>"300575"</f>
        <v>300575</v>
      </c>
      <c r="C4328" t="s">
        <v>8999</v>
      </c>
      <c r="D4328" t="s">
        <v>853</v>
      </c>
      <c r="F4328">
        <v>1253657381</v>
      </c>
      <c r="G4328">
        <v>1078616727</v>
      </c>
      <c r="H4328">
        <v>1228213804</v>
      </c>
      <c r="I4328">
        <v>1069694486</v>
      </c>
      <c r="J4328">
        <v>635062081</v>
      </c>
      <c r="K4328">
        <v>493408737</v>
      </c>
      <c r="L4328">
        <v>526401066</v>
      </c>
      <c r="P4328">
        <v>187</v>
      </c>
      <c r="Q4328" t="s">
        <v>9000</v>
      </c>
    </row>
    <row r="4329" spans="1:17" x14ac:dyDescent="0.3">
      <c r="A4329" t="s">
        <v>4664</v>
      </c>
      <c r="B4329" t="str">
        <f>"300576"</f>
        <v>300576</v>
      </c>
      <c r="C4329" t="s">
        <v>9001</v>
      </c>
      <c r="D4329" t="s">
        <v>2399</v>
      </c>
      <c r="F4329">
        <v>276584046</v>
      </c>
      <c r="G4329">
        <v>154731609</v>
      </c>
      <c r="H4329">
        <v>148333612</v>
      </c>
      <c r="I4329">
        <v>136102975</v>
      </c>
      <c r="J4329">
        <v>124158748</v>
      </c>
      <c r="K4329">
        <v>121061498</v>
      </c>
      <c r="L4329">
        <v>110218890</v>
      </c>
      <c r="P4329">
        <v>189</v>
      </c>
      <c r="Q4329" t="s">
        <v>9002</v>
      </c>
    </row>
    <row r="4330" spans="1:17" x14ac:dyDescent="0.3">
      <c r="A4330" t="s">
        <v>4664</v>
      </c>
      <c r="B4330" t="str">
        <f>"300577"</f>
        <v>300577</v>
      </c>
      <c r="C4330" t="s">
        <v>9003</v>
      </c>
      <c r="D4330" t="s">
        <v>330</v>
      </c>
      <c r="F4330">
        <v>1623386572</v>
      </c>
      <c r="G4330">
        <v>1696469904</v>
      </c>
      <c r="H4330">
        <v>1846656956</v>
      </c>
      <c r="I4330">
        <v>1558933699</v>
      </c>
      <c r="J4330">
        <v>855204358</v>
      </c>
      <c r="K4330">
        <v>555181385</v>
      </c>
      <c r="L4330">
        <v>331674756</v>
      </c>
      <c r="P4330">
        <v>486</v>
      </c>
      <c r="Q4330" t="s">
        <v>9004</v>
      </c>
    </row>
    <row r="4331" spans="1:17" x14ac:dyDescent="0.3">
      <c r="A4331" t="s">
        <v>4664</v>
      </c>
      <c r="B4331" t="str">
        <f>"300578"</f>
        <v>300578</v>
      </c>
      <c r="C4331" t="s">
        <v>9005</v>
      </c>
      <c r="D4331" t="s">
        <v>5597</v>
      </c>
      <c r="F4331">
        <v>571877248</v>
      </c>
      <c r="G4331">
        <v>565688880</v>
      </c>
      <c r="H4331">
        <v>363823978</v>
      </c>
      <c r="I4331">
        <v>193365413</v>
      </c>
      <c r="J4331">
        <v>190038442</v>
      </c>
      <c r="K4331">
        <v>189766360</v>
      </c>
      <c r="P4331">
        <v>305</v>
      </c>
      <c r="Q4331" t="s">
        <v>9006</v>
      </c>
    </row>
    <row r="4332" spans="1:17" x14ac:dyDescent="0.3">
      <c r="A4332" t="s">
        <v>4664</v>
      </c>
      <c r="B4332" t="str">
        <f>"300579"</f>
        <v>300579</v>
      </c>
      <c r="C4332" t="s">
        <v>9007</v>
      </c>
      <c r="D4332" t="s">
        <v>945</v>
      </c>
      <c r="F4332">
        <v>595668723</v>
      </c>
      <c r="G4332">
        <v>416396922</v>
      </c>
      <c r="H4332">
        <v>402637092</v>
      </c>
      <c r="I4332">
        <v>470731576</v>
      </c>
      <c r="J4332">
        <v>283971962</v>
      </c>
      <c r="K4332">
        <v>220641931</v>
      </c>
      <c r="L4332">
        <v>158855763</v>
      </c>
      <c r="P4332">
        <v>335</v>
      </c>
      <c r="Q4332" t="s">
        <v>9008</v>
      </c>
    </row>
    <row r="4333" spans="1:17" x14ac:dyDescent="0.3">
      <c r="A4333" t="s">
        <v>4664</v>
      </c>
      <c r="B4333" t="str">
        <f>"300580"</f>
        <v>300580</v>
      </c>
      <c r="C4333" t="s">
        <v>9009</v>
      </c>
      <c r="D4333" t="s">
        <v>348</v>
      </c>
      <c r="F4333">
        <v>604672201</v>
      </c>
      <c r="G4333">
        <v>484770745</v>
      </c>
      <c r="H4333">
        <v>441622486</v>
      </c>
      <c r="I4333">
        <v>374630025</v>
      </c>
      <c r="J4333">
        <v>355597841</v>
      </c>
      <c r="K4333">
        <v>372370788</v>
      </c>
      <c r="L4333">
        <v>373728520</v>
      </c>
      <c r="P4333">
        <v>148</v>
      </c>
      <c r="Q4333" t="s">
        <v>9010</v>
      </c>
    </row>
    <row r="4334" spans="1:17" x14ac:dyDescent="0.3">
      <c r="A4334" t="s">
        <v>4664</v>
      </c>
      <c r="B4334" t="str">
        <f>"300581"</f>
        <v>300581</v>
      </c>
      <c r="C4334" t="s">
        <v>9011</v>
      </c>
      <c r="D4334" t="s">
        <v>98</v>
      </c>
      <c r="F4334">
        <v>189921669</v>
      </c>
      <c r="G4334">
        <v>113217667</v>
      </c>
      <c r="H4334">
        <v>106255343</v>
      </c>
      <c r="I4334">
        <v>107570902</v>
      </c>
      <c r="J4334">
        <v>57198086</v>
      </c>
      <c r="K4334">
        <v>65487151</v>
      </c>
      <c r="L4334">
        <v>66725594</v>
      </c>
      <c r="P4334">
        <v>151</v>
      </c>
      <c r="Q4334" t="s">
        <v>9012</v>
      </c>
    </row>
    <row r="4335" spans="1:17" x14ac:dyDescent="0.3">
      <c r="A4335" t="s">
        <v>4664</v>
      </c>
      <c r="B4335" t="str">
        <f>"300582"</f>
        <v>300582</v>
      </c>
      <c r="C4335" t="s">
        <v>9013</v>
      </c>
      <c r="D4335" t="s">
        <v>803</v>
      </c>
      <c r="F4335">
        <v>724058569</v>
      </c>
      <c r="G4335">
        <v>577365897</v>
      </c>
      <c r="H4335">
        <v>535338439</v>
      </c>
      <c r="I4335">
        <v>520902287</v>
      </c>
      <c r="J4335">
        <v>444202174</v>
      </c>
      <c r="K4335">
        <v>398968473</v>
      </c>
      <c r="L4335">
        <v>354947045</v>
      </c>
      <c r="P4335">
        <v>152</v>
      </c>
      <c r="Q4335" t="s">
        <v>9014</v>
      </c>
    </row>
    <row r="4336" spans="1:17" x14ac:dyDescent="0.3">
      <c r="A4336" t="s">
        <v>4664</v>
      </c>
      <c r="B4336" t="str">
        <f>"300583"</f>
        <v>300583</v>
      </c>
      <c r="C4336" t="s">
        <v>9015</v>
      </c>
      <c r="D4336" t="s">
        <v>496</v>
      </c>
      <c r="F4336">
        <v>525720162</v>
      </c>
      <c r="G4336">
        <v>649673785</v>
      </c>
      <c r="H4336">
        <v>522842953</v>
      </c>
      <c r="I4336">
        <v>579380010</v>
      </c>
      <c r="J4336">
        <v>393960309</v>
      </c>
      <c r="K4336">
        <v>416459816</v>
      </c>
      <c r="L4336">
        <v>0</v>
      </c>
      <c r="P4336">
        <v>76</v>
      </c>
      <c r="Q4336" t="s">
        <v>9016</v>
      </c>
    </row>
    <row r="4337" spans="1:17" x14ac:dyDescent="0.3">
      <c r="A4337" t="s">
        <v>4664</v>
      </c>
      <c r="B4337" t="str">
        <f>"300584"</f>
        <v>300584</v>
      </c>
      <c r="C4337" t="s">
        <v>9017</v>
      </c>
      <c r="D4337" t="s">
        <v>143</v>
      </c>
      <c r="F4337">
        <v>478998179</v>
      </c>
      <c r="G4337">
        <v>544906983</v>
      </c>
      <c r="H4337">
        <v>677900028</v>
      </c>
      <c r="I4337">
        <v>582946278</v>
      </c>
      <c r="J4337">
        <v>295271584</v>
      </c>
      <c r="K4337">
        <v>184673565</v>
      </c>
      <c r="L4337">
        <v>149776013</v>
      </c>
      <c r="P4337">
        <v>195</v>
      </c>
      <c r="Q4337" t="s">
        <v>9018</v>
      </c>
    </row>
    <row r="4338" spans="1:17" x14ac:dyDescent="0.3">
      <c r="A4338" t="s">
        <v>4664</v>
      </c>
      <c r="B4338" t="str">
        <f>"300585"</f>
        <v>300585</v>
      </c>
      <c r="C4338" t="s">
        <v>9019</v>
      </c>
      <c r="D4338" t="s">
        <v>348</v>
      </c>
      <c r="F4338">
        <v>204216086</v>
      </c>
      <c r="G4338">
        <v>153391920</v>
      </c>
      <c r="H4338">
        <v>144998503</v>
      </c>
      <c r="I4338">
        <v>148210672</v>
      </c>
      <c r="J4338">
        <v>162791847</v>
      </c>
      <c r="K4338">
        <v>132095291</v>
      </c>
      <c r="L4338">
        <v>142937358</v>
      </c>
      <c r="P4338">
        <v>92</v>
      </c>
      <c r="Q4338" t="s">
        <v>9020</v>
      </c>
    </row>
    <row r="4339" spans="1:17" x14ac:dyDescent="0.3">
      <c r="A4339" t="s">
        <v>4664</v>
      </c>
      <c r="B4339" t="str">
        <f>"300586"</f>
        <v>300586</v>
      </c>
      <c r="C4339" t="s">
        <v>9021</v>
      </c>
      <c r="D4339" t="s">
        <v>341</v>
      </c>
      <c r="F4339">
        <v>1163555770</v>
      </c>
      <c r="G4339">
        <v>1004587985</v>
      </c>
      <c r="H4339">
        <v>840402917</v>
      </c>
      <c r="I4339">
        <v>351201335</v>
      </c>
      <c r="J4339">
        <v>348863067</v>
      </c>
      <c r="K4339">
        <v>341205125</v>
      </c>
      <c r="L4339">
        <v>274623519</v>
      </c>
      <c r="P4339">
        <v>132</v>
      </c>
      <c r="Q4339" t="s">
        <v>9022</v>
      </c>
    </row>
    <row r="4340" spans="1:17" x14ac:dyDescent="0.3">
      <c r="A4340" t="s">
        <v>4664</v>
      </c>
      <c r="B4340" t="str">
        <f>"300587"</f>
        <v>300587</v>
      </c>
      <c r="C4340" t="s">
        <v>9023</v>
      </c>
      <c r="D4340" t="s">
        <v>2460</v>
      </c>
      <c r="F4340">
        <v>888555980</v>
      </c>
      <c r="G4340">
        <v>635553272</v>
      </c>
      <c r="H4340">
        <v>404057897</v>
      </c>
      <c r="I4340">
        <v>250706951</v>
      </c>
      <c r="J4340">
        <v>142802686</v>
      </c>
      <c r="K4340">
        <v>167181888</v>
      </c>
      <c r="L4340">
        <v>124612699</v>
      </c>
      <c r="P4340">
        <v>153</v>
      </c>
      <c r="Q4340" t="s">
        <v>9024</v>
      </c>
    </row>
    <row r="4341" spans="1:17" x14ac:dyDescent="0.3">
      <c r="A4341" t="s">
        <v>4664</v>
      </c>
      <c r="B4341" t="str">
        <f>"300588"</f>
        <v>300588</v>
      </c>
      <c r="C4341" t="s">
        <v>9025</v>
      </c>
      <c r="D4341" t="s">
        <v>2953</v>
      </c>
      <c r="F4341">
        <v>244678131</v>
      </c>
      <c r="G4341">
        <v>155832880</v>
      </c>
      <c r="H4341">
        <v>243472416</v>
      </c>
      <c r="I4341">
        <v>295941410</v>
      </c>
      <c r="J4341">
        <v>316917882</v>
      </c>
      <c r="K4341">
        <v>307967914</v>
      </c>
      <c r="P4341">
        <v>144</v>
      </c>
      <c r="Q4341" t="s">
        <v>9026</v>
      </c>
    </row>
    <row r="4342" spans="1:17" x14ac:dyDescent="0.3">
      <c r="A4342" t="s">
        <v>4664</v>
      </c>
      <c r="B4342" t="str">
        <f>"300589"</f>
        <v>300589</v>
      </c>
      <c r="C4342" t="s">
        <v>9027</v>
      </c>
      <c r="D4342" t="s">
        <v>167</v>
      </c>
      <c r="F4342">
        <v>398417147</v>
      </c>
      <c r="G4342">
        <v>329953874</v>
      </c>
      <c r="H4342">
        <v>387703568</v>
      </c>
      <c r="I4342">
        <v>429659453</v>
      </c>
      <c r="J4342">
        <v>210634809</v>
      </c>
      <c r="K4342">
        <v>200641921</v>
      </c>
      <c r="L4342">
        <v>0</v>
      </c>
      <c r="P4342">
        <v>87</v>
      </c>
      <c r="Q4342" t="s">
        <v>9028</v>
      </c>
    </row>
    <row r="4343" spans="1:17" x14ac:dyDescent="0.3">
      <c r="A4343" t="s">
        <v>4664</v>
      </c>
      <c r="B4343" t="str">
        <f>"300590"</f>
        <v>300590</v>
      </c>
      <c r="C4343" t="s">
        <v>9029</v>
      </c>
      <c r="D4343" t="s">
        <v>786</v>
      </c>
      <c r="F4343">
        <v>647066388</v>
      </c>
      <c r="G4343">
        <v>377363774</v>
      </c>
      <c r="H4343">
        <v>397136906</v>
      </c>
      <c r="I4343">
        <v>330165681</v>
      </c>
      <c r="J4343">
        <v>252557862</v>
      </c>
      <c r="K4343">
        <v>176372008</v>
      </c>
      <c r="L4343">
        <v>210949260</v>
      </c>
      <c r="P4343">
        <v>410</v>
      </c>
      <c r="Q4343" t="s">
        <v>9030</v>
      </c>
    </row>
    <row r="4344" spans="1:17" x14ac:dyDescent="0.3">
      <c r="A4344" t="s">
        <v>4664</v>
      </c>
      <c r="B4344" t="str">
        <f>"300591"</f>
        <v>300591</v>
      </c>
      <c r="C4344" t="s">
        <v>9031</v>
      </c>
      <c r="D4344" t="s">
        <v>330</v>
      </c>
      <c r="F4344">
        <v>320720766</v>
      </c>
      <c r="G4344">
        <v>269926087</v>
      </c>
      <c r="H4344">
        <v>602995922</v>
      </c>
      <c r="I4344">
        <v>484421009</v>
      </c>
      <c r="J4344">
        <v>302159095</v>
      </c>
      <c r="K4344">
        <v>451975457</v>
      </c>
      <c r="L4344">
        <v>0</v>
      </c>
      <c r="P4344">
        <v>88</v>
      </c>
      <c r="Q4344" t="s">
        <v>9032</v>
      </c>
    </row>
    <row r="4345" spans="1:17" x14ac:dyDescent="0.3">
      <c r="A4345" t="s">
        <v>4664</v>
      </c>
      <c r="B4345" t="str">
        <f>"300592"</f>
        <v>300592</v>
      </c>
      <c r="C4345" t="s">
        <v>9033</v>
      </c>
      <c r="D4345" t="s">
        <v>450</v>
      </c>
      <c r="F4345">
        <v>1190349852</v>
      </c>
      <c r="G4345">
        <v>237187256</v>
      </c>
      <c r="H4345">
        <v>277545407</v>
      </c>
      <c r="I4345">
        <v>329425628</v>
      </c>
      <c r="J4345">
        <v>308252684</v>
      </c>
      <c r="K4345">
        <v>279854221</v>
      </c>
      <c r="L4345">
        <v>200143280</v>
      </c>
      <c r="P4345">
        <v>65</v>
      </c>
      <c r="Q4345" t="s">
        <v>9034</v>
      </c>
    </row>
    <row r="4346" spans="1:17" x14ac:dyDescent="0.3">
      <c r="A4346" t="s">
        <v>4664</v>
      </c>
      <c r="B4346" t="str">
        <f>"300593"</f>
        <v>300593</v>
      </c>
      <c r="C4346" t="s">
        <v>9035</v>
      </c>
      <c r="D4346" t="s">
        <v>880</v>
      </c>
      <c r="F4346">
        <v>663692852</v>
      </c>
      <c r="G4346">
        <v>420218715</v>
      </c>
      <c r="H4346">
        <v>488900087</v>
      </c>
      <c r="I4346">
        <v>347866992</v>
      </c>
      <c r="J4346">
        <v>230949745</v>
      </c>
      <c r="K4346">
        <v>231930419</v>
      </c>
      <c r="L4346">
        <v>248658568</v>
      </c>
      <c r="P4346">
        <v>254</v>
      </c>
      <c r="Q4346" t="s">
        <v>9036</v>
      </c>
    </row>
    <row r="4347" spans="1:17" x14ac:dyDescent="0.3">
      <c r="A4347" t="s">
        <v>4664</v>
      </c>
      <c r="B4347" t="str">
        <f>"300594"</f>
        <v>300594</v>
      </c>
      <c r="C4347" t="s">
        <v>9037</v>
      </c>
      <c r="D4347" t="s">
        <v>1012</v>
      </c>
      <c r="F4347">
        <v>210952575</v>
      </c>
      <c r="G4347">
        <v>138882306</v>
      </c>
      <c r="H4347">
        <v>185040021</v>
      </c>
      <c r="I4347">
        <v>226472404</v>
      </c>
      <c r="P4347">
        <v>72</v>
      </c>
      <c r="Q4347" t="s">
        <v>9038</v>
      </c>
    </row>
    <row r="4348" spans="1:17" x14ac:dyDescent="0.3">
      <c r="A4348" t="s">
        <v>4664</v>
      </c>
      <c r="B4348" t="str">
        <f>"300595"</f>
        <v>300595</v>
      </c>
      <c r="C4348" t="s">
        <v>9039</v>
      </c>
      <c r="D4348" t="s">
        <v>1077</v>
      </c>
      <c r="F4348">
        <v>1047785062</v>
      </c>
      <c r="G4348">
        <v>620699571</v>
      </c>
      <c r="H4348">
        <v>520597802</v>
      </c>
      <c r="I4348">
        <v>377079294</v>
      </c>
      <c r="J4348">
        <v>260956163</v>
      </c>
      <c r="K4348">
        <v>196848121</v>
      </c>
      <c r="L4348">
        <v>148594024</v>
      </c>
      <c r="P4348">
        <v>4330</v>
      </c>
      <c r="Q4348" t="s">
        <v>9040</v>
      </c>
    </row>
    <row r="4349" spans="1:17" x14ac:dyDescent="0.3">
      <c r="A4349" t="s">
        <v>4664</v>
      </c>
      <c r="B4349" t="str">
        <f>"300596"</f>
        <v>300596</v>
      </c>
      <c r="C4349" t="s">
        <v>9041</v>
      </c>
      <c r="D4349" t="s">
        <v>1192</v>
      </c>
      <c r="F4349">
        <v>1730245460</v>
      </c>
      <c r="G4349">
        <v>1225990208</v>
      </c>
      <c r="H4349">
        <v>1002430702</v>
      </c>
      <c r="I4349">
        <v>769846062</v>
      </c>
      <c r="J4349">
        <v>612817645</v>
      </c>
      <c r="K4349">
        <v>419422554</v>
      </c>
      <c r="L4349">
        <v>381465733</v>
      </c>
      <c r="P4349">
        <v>391</v>
      </c>
      <c r="Q4349" t="s">
        <v>9042</v>
      </c>
    </row>
    <row r="4350" spans="1:17" x14ac:dyDescent="0.3">
      <c r="A4350" t="s">
        <v>4664</v>
      </c>
      <c r="B4350" t="str">
        <f>"300597"</f>
        <v>300597</v>
      </c>
      <c r="C4350" t="s">
        <v>9043</v>
      </c>
      <c r="D4350" t="s">
        <v>654</v>
      </c>
      <c r="F4350">
        <v>381884056</v>
      </c>
      <c r="G4350">
        <v>311208036</v>
      </c>
      <c r="H4350">
        <v>299015757</v>
      </c>
      <c r="I4350">
        <v>303163010</v>
      </c>
      <c r="J4350">
        <v>229911783</v>
      </c>
      <c r="K4350">
        <v>277235294</v>
      </c>
      <c r="L4350">
        <v>281499860</v>
      </c>
      <c r="P4350">
        <v>110</v>
      </c>
      <c r="Q4350" t="s">
        <v>9044</v>
      </c>
    </row>
    <row r="4351" spans="1:17" x14ac:dyDescent="0.3">
      <c r="A4351" t="s">
        <v>4664</v>
      </c>
      <c r="B4351" t="str">
        <f>"300598"</f>
        <v>300598</v>
      </c>
      <c r="C4351" t="s">
        <v>9045</v>
      </c>
      <c r="D4351" t="s">
        <v>945</v>
      </c>
      <c r="F4351">
        <v>877838717</v>
      </c>
      <c r="G4351">
        <v>597184424</v>
      </c>
      <c r="H4351">
        <v>435040808</v>
      </c>
      <c r="I4351">
        <v>301509755</v>
      </c>
      <c r="J4351">
        <v>314994107</v>
      </c>
      <c r="K4351">
        <v>376250964</v>
      </c>
      <c r="L4351">
        <v>305720425</v>
      </c>
      <c r="P4351">
        <v>319</v>
      </c>
      <c r="Q4351" t="s">
        <v>9046</v>
      </c>
    </row>
    <row r="4352" spans="1:17" x14ac:dyDescent="0.3">
      <c r="A4352" t="s">
        <v>4664</v>
      </c>
      <c r="B4352" t="str">
        <f>"300599"</f>
        <v>300599</v>
      </c>
      <c r="C4352" t="s">
        <v>9047</v>
      </c>
      <c r="D4352" t="s">
        <v>3320</v>
      </c>
      <c r="F4352">
        <v>1805698452</v>
      </c>
      <c r="G4352">
        <v>1547496928</v>
      </c>
      <c r="H4352">
        <v>1504834569</v>
      </c>
      <c r="I4352">
        <v>1473777619</v>
      </c>
      <c r="J4352">
        <v>1247433415</v>
      </c>
      <c r="K4352">
        <v>908103989</v>
      </c>
      <c r="L4352">
        <v>873402066</v>
      </c>
      <c r="P4352">
        <v>102</v>
      </c>
      <c r="Q4352" t="s">
        <v>9048</v>
      </c>
    </row>
    <row r="4353" spans="1:17" x14ac:dyDescent="0.3">
      <c r="A4353" t="s">
        <v>4664</v>
      </c>
      <c r="B4353" t="str">
        <f>"300600"</f>
        <v>300600</v>
      </c>
      <c r="C4353" t="s">
        <v>9049</v>
      </c>
      <c r="D4353" t="s">
        <v>167</v>
      </c>
      <c r="F4353">
        <v>262650078</v>
      </c>
      <c r="G4353">
        <v>327364650</v>
      </c>
      <c r="H4353">
        <v>243279090</v>
      </c>
      <c r="I4353">
        <v>196443226</v>
      </c>
      <c r="J4353">
        <v>207764338</v>
      </c>
      <c r="K4353">
        <v>256594139</v>
      </c>
      <c r="L4353">
        <v>228287644</v>
      </c>
      <c r="P4353">
        <v>101</v>
      </c>
      <c r="Q4353" t="s">
        <v>9050</v>
      </c>
    </row>
    <row r="4354" spans="1:17" x14ac:dyDescent="0.3">
      <c r="A4354" t="s">
        <v>4664</v>
      </c>
      <c r="B4354" t="str">
        <f>"300601"</f>
        <v>300601</v>
      </c>
      <c r="C4354" t="s">
        <v>9051</v>
      </c>
      <c r="D4354" t="s">
        <v>1499</v>
      </c>
      <c r="F4354">
        <v>2388383332</v>
      </c>
      <c r="G4354">
        <v>1064288938</v>
      </c>
      <c r="H4354">
        <v>1208602158</v>
      </c>
      <c r="I4354">
        <v>1095649000</v>
      </c>
      <c r="J4354">
        <v>536987066</v>
      </c>
      <c r="K4354">
        <v>208075098</v>
      </c>
      <c r="L4354">
        <v>241757944</v>
      </c>
      <c r="P4354">
        <v>1384</v>
      </c>
      <c r="Q4354" t="s">
        <v>9052</v>
      </c>
    </row>
    <row r="4355" spans="1:17" x14ac:dyDescent="0.3">
      <c r="A4355" t="s">
        <v>4664</v>
      </c>
      <c r="B4355" t="str">
        <f>"300602"</f>
        <v>300602</v>
      </c>
      <c r="C4355" t="s">
        <v>9053</v>
      </c>
      <c r="D4355" t="s">
        <v>313</v>
      </c>
      <c r="F4355">
        <v>2059857642</v>
      </c>
      <c r="G4355">
        <v>2523152660</v>
      </c>
      <c r="H4355">
        <v>1589583350</v>
      </c>
      <c r="I4355">
        <v>864962867</v>
      </c>
      <c r="J4355">
        <v>737403428</v>
      </c>
      <c r="K4355">
        <v>592034618</v>
      </c>
      <c r="L4355">
        <v>470925742</v>
      </c>
      <c r="P4355">
        <v>597</v>
      </c>
      <c r="Q4355" t="s">
        <v>9054</v>
      </c>
    </row>
    <row r="4356" spans="1:17" x14ac:dyDescent="0.3">
      <c r="A4356" t="s">
        <v>4664</v>
      </c>
      <c r="B4356" t="str">
        <f>"300603"</f>
        <v>300603</v>
      </c>
      <c r="C4356" t="s">
        <v>9055</v>
      </c>
      <c r="D4356" t="s">
        <v>5597</v>
      </c>
      <c r="F4356">
        <v>736477929</v>
      </c>
      <c r="G4356">
        <v>1031653293</v>
      </c>
      <c r="H4356">
        <v>642781860</v>
      </c>
      <c r="I4356">
        <v>303128537</v>
      </c>
      <c r="J4356">
        <v>426456310</v>
      </c>
      <c r="K4356">
        <v>169332613</v>
      </c>
      <c r="L4356">
        <v>257500417</v>
      </c>
      <c r="P4356">
        <v>196</v>
      </c>
      <c r="Q4356" t="s">
        <v>9056</v>
      </c>
    </row>
    <row r="4357" spans="1:17" x14ac:dyDescent="0.3">
      <c r="A4357" t="s">
        <v>4664</v>
      </c>
      <c r="B4357" t="str">
        <f>"300604"</f>
        <v>300604</v>
      </c>
      <c r="C4357" t="s">
        <v>9057</v>
      </c>
      <c r="D4357" t="s">
        <v>3160</v>
      </c>
      <c r="F4357">
        <v>776172116</v>
      </c>
      <c r="G4357">
        <v>451302151</v>
      </c>
      <c r="H4357">
        <v>148276470</v>
      </c>
      <c r="I4357">
        <v>138232331</v>
      </c>
      <c r="J4357">
        <v>68608110</v>
      </c>
      <c r="K4357">
        <v>63084158</v>
      </c>
      <c r="P4357">
        <v>370</v>
      </c>
      <c r="Q4357" t="s">
        <v>9058</v>
      </c>
    </row>
    <row r="4358" spans="1:17" x14ac:dyDescent="0.3">
      <c r="A4358" t="s">
        <v>4664</v>
      </c>
      <c r="B4358" t="str">
        <f>"300605"</f>
        <v>300605</v>
      </c>
      <c r="C4358" t="s">
        <v>9059</v>
      </c>
      <c r="D4358" t="s">
        <v>945</v>
      </c>
      <c r="F4358">
        <v>272157894</v>
      </c>
      <c r="G4358">
        <v>329680926</v>
      </c>
      <c r="H4358">
        <v>271831249</v>
      </c>
      <c r="I4358">
        <v>289756800</v>
      </c>
      <c r="J4358">
        <v>173453501</v>
      </c>
      <c r="K4358">
        <v>194476374</v>
      </c>
      <c r="L4358">
        <v>155209153</v>
      </c>
      <c r="P4358">
        <v>93</v>
      </c>
      <c r="Q4358" t="s">
        <v>9060</v>
      </c>
    </row>
    <row r="4359" spans="1:17" x14ac:dyDescent="0.3">
      <c r="A4359" t="s">
        <v>4664</v>
      </c>
      <c r="B4359" t="str">
        <f>"300606"</f>
        <v>300606</v>
      </c>
      <c r="C4359" t="s">
        <v>9061</v>
      </c>
      <c r="D4359" t="s">
        <v>404</v>
      </c>
      <c r="F4359">
        <v>248225838</v>
      </c>
      <c r="G4359">
        <v>400527258</v>
      </c>
      <c r="H4359">
        <v>229274714</v>
      </c>
      <c r="I4359">
        <v>239193604</v>
      </c>
      <c r="J4359">
        <v>202678835</v>
      </c>
      <c r="K4359">
        <v>173914885</v>
      </c>
      <c r="L4359">
        <v>164695128</v>
      </c>
      <c r="P4359">
        <v>92</v>
      </c>
      <c r="Q4359" t="s">
        <v>9062</v>
      </c>
    </row>
    <row r="4360" spans="1:17" x14ac:dyDescent="0.3">
      <c r="A4360" t="s">
        <v>4664</v>
      </c>
      <c r="B4360" t="str">
        <f>"300607"</f>
        <v>300607</v>
      </c>
      <c r="C4360" t="s">
        <v>9063</v>
      </c>
      <c r="D4360" t="s">
        <v>2911</v>
      </c>
      <c r="F4360">
        <v>2108887595</v>
      </c>
      <c r="G4360">
        <v>2799967983</v>
      </c>
      <c r="H4360">
        <v>826046428</v>
      </c>
      <c r="I4360">
        <v>813385617</v>
      </c>
      <c r="J4360">
        <v>494730928</v>
      </c>
      <c r="K4360">
        <v>360857511</v>
      </c>
      <c r="L4360">
        <v>0</v>
      </c>
      <c r="P4360">
        <v>1388</v>
      </c>
      <c r="Q4360" t="s">
        <v>9064</v>
      </c>
    </row>
    <row r="4361" spans="1:17" x14ac:dyDescent="0.3">
      <c r="A4361" t="s">
        <v>4664</v>
      </c>
      <c r="B4361" t="str">
        <f>"300608"</f>
        <v>300608</v>
      </c>
      <c r="C4361" t="s">
        <v>9065</v>
      </c>
      <c r="D4361" t="s">
        <v>945</v>
      </c>
      <c r="F4361">
        <v>504972808</v>
      </c>
      <c r="G4361">
        <v>552081675</v>
      </c>
      <c r="H4361">
        <v>602326839</v>
      </c>
      <c r="I4361">
        <v>492266973</v>
      </c>
      <c r="J4361">
        <v>430896221</v>
      </c>
      <c r="K4361">
        <v>432667488</v>
      </c>
      <c r="L4361">
        <v>366246378</v>
      </c>
      <c r="P4361">
        <v>217</v>
      </c>
      <c r="Q4361" t="s">
        <v>9066</v>
      </c>
    </row>
    <row r="4362" spans="1:17" x14ac:dyDescent="0.3">
      <c r="A4362" t="s">
        <v>4664</v>
      </c>
      <c r="B4362" t="str">
        <f>"300609"</f>
        <v>300609</v>
      </c>
      <c r="C4362" t="s">
        <v>9067</v>
      </c>
      <c r="D4362" t="s">
        <v>316</v>
      </c>
      <c r="F4362">
        <v>191005407</v>
      </c>
      <c r="G4362">
        <v>173503897</v>
      </c>
      <c r="H4362">
        <v>231161243</v>
      </c>
      <c r="I4362">
        <v>145601194</v>
      </c>
      <c r="J4362">
        <v>149396152</v>
      </c>
      <c r="K4362">
        <v>106080835</v>
      </c>
      <c r="L4362">
        <v>86037288</v>
      </c>
      <c r="P4362">
        <v>155</v>
      </c>
      <c r="Q4362" t="s">
        <v>9068</v>
      </c>
    </row>
    <row r="4363" spans="1:17" x14ac:dyDescent="0.3">
      <c r="A4363" t="s">
        <v>4664</v>
      </c>
      <c r="B4363" t="str">
        <f>"300610"</f>
        <v>300610</v>
      </c>
      <c r="C4363" t="s">
        <v>9069</v>
      </c>
      <c r="D4363" t="s">
        <v>1192</v>
      </c>
      <c r="F4363">
        <v>636688903</v>
      </c>
      <c r="G4363">
        <v>407311134</v>
      </c>
      <c r="H4363">
        <v>389013661</v>
      </c>
      <c r="I4363">
        <v>368316539</v>
      </c>
      <c r="J4363">
        <v>305128787</v>
      </c>
      <c r="K4363">
        <v>221448895</v>
      </c>
      <c r="L4363">
        <v>214823439</v>
      </c>
      <c r="P4363">
        <v>129</v>
      </c>
      <c r="Q4363" t="s">
        <v>9070</v>
      </c>
    </row>
    <row r="4364" spans="1:17" x14ac:dyDescent="0.3">
      <c r="A4364" t="s">
        <v>4664</v>
      </c>
      <c r="B4364" t="str">
        <f>"300611"</f>
        <v>300611</v>
      </c>
      <c r="C4364" t="s">
        <v>9071</v>
      </c>
      <c r="D4364" t="s">
        <v>348</v>
      </c>
      <c r="F4364">
        <v>419706625</v>
      </c>
      <c r="G4364">
        <v>444171545</v>
      </c>
      <c r="H4364">
        <v>343490342</v>
      </c>
      <c r="I4364">
        <v>454948625</v>
      </c>
      <c r="J4364">
        <v>326186829</v>
      </c>
      <c r="K4364">
        <v>281976009</v>
      </c>
      <c r="L4364">
        <v>256748626</v>
      </c>
      <c r="P4364">
        <v>97</v>
      </c>
      <c r="Q4364" t="s">
        <v>9072</v>
      </c>
    </row>
    <row r="4365" spans="1:17" x14ac:dyDescent="0.3">
      <c r="A4365" t="s">
        <v>4664</v>
      </c>
      <c r="B4365" t="str">
        <f>"300612"</f>
        <v>300612</v>
      </c>
      <c r="C4365" t="s">
        <v>9073</v>
      </c>
      <c r="D4365" t="s">
        <v>207</v>
      </c>
      <c r="F4365">
        <v>652210287</v>
      </c>
      <c r="G4365">
        <v>464961909</v>
      </c>
      <c r="H4365">
        <v>225612837</v>
      </c>
      <c r="I4365">
        <v>431781751</v>
      </c>
      <c r="J4365">
        <v>330847642</v>
      </c>
      <c r="K4365">
        <v>319767048</v>
      </c>
      <c r="P4365">
        <v>84</v>
      </c>
      <c r="Q4365" t="s">
        <v>9074</v>
      </c>
    </row>
    <row r="4366" spans="1:17" x14ac:dyDescent="0.3">
      <c r="A4366" t="s">
        <v>4664</v>
      </c>
      <c r="B4366" t="str">
        <f>"300613"</f>
        <v>300613</v>
      </c>
      <c r="C4366" t="s">
        <v>9075</v>
      </c>
      <c r="D4366" t="s">
        <v>461</v>
      </c>
      <c r="F4366">
        <v>1185916698</v>
      </c>
      <c r="G4366">
        <v>509392411</v>
      </c>
      <c r="H4366">
        <v>393901962</v>
      </c>
      <c r="I4366">
        <v>352232197</v>
      </c>
      <c r="J4366">
        <v>303693406</v>
      </c>
      <c r="K4366">
        <v>233773058</v>
      </c>
      <c r="P4366">
        <v>355</v>
      </c>
      <c r="Q4366" t="s">
        <v>9076</v>
      </c>
    </row>
    <row r="4367" spans="1:17" x14ac:dyDescent="0.3">
      <c r="A4367" t="s">
        <v>4664</v>
      </c>
      <c r="B4367" t="str">
        <f>"300614"</f>
        <v>300614</v>
      </c>
      <c r="C4367" t="s">
        <v>9077</v>
      </c>
      <c r="D4367" t="s">
        <v>499</v>
      </c>
      <c r="F4367">
        <v>305483673</v>
      </c>
      <c r="G4367">
        <v>303430787</v>
      </c>
      <c r="P4367">
        <v>41</v>
      </c>
      <c r="Q4367" t="s">
        <v>9078</v>
      </c>
    </row>
    <row r="4368" spans="1:17" x14ac:dyDescent="0.3">
      <c r="A4368" t="s">
        <v>4664</v>
      </c>
      <c r="B4368" t="str">
        <f>"300615"</f>
        <v>300615</v>
      </c>
      <c r="C4368" t="s">
        <v>9079</v>
      </c>
      <c r="D4368" t="s">
        <v>786</v>
      </c>
      <c r="F4368">
        <v>200555063</v>
      </c>
      <c r="G4368">
        <v>174306627</v>
      </c>
      <c r="H4368">
        <v>187365498</v>
      </c>
      <c r="I4368">
        <v>170771144</v>
      </c>
      <c r="J4368">
        <v>190082174</v>
      </c>
      <c r="K4368">
        <v>164397838</v>
      </c>
      <c r="L4368">
        <v>180248119</v>
      </c>
      <c r="P4368">
        <v>156</v>
      </c>
      <c r="Q4368" t="s">
        <v>9080</v>
      </c>
    </row>
    <row r="4369" spans="1:17" x14ac:dyDescent="0.3">
      <c r="A4369" t="s">
        <v>4664</v>
      </c>
      <c r="B4369" t="str">
        <f>"300616"</f>
        <v>300616</v>
      </c>
      <c r="C4369" t="s">
        <v>9081</v>
      </c>
      <c r="D4369" t="s">
        <v>2647</v>
      </c>
      <c r="F4369">
        <v>5401239784</v>
      </c>
      <c r="G4369">
        <v>4845913097</v>
      </c>
      <c r="H4369">
        <v>5680708914</v>
      </c>
      <c r="I4369">
        <v>5468975322</v>
      </c>
      <c r="J4369">
        <v>4328560060</v>
      </c>
      <c r="K4369">
        <v>3269042804</v>
      </c>
      <c r="P4369">
        <v>694</v>
      </c>
      <c r="Q4369" t="s">
        <v>9082</v>
      </c>
    </row>
    <row r="4370" spans="1:17" x14ac:dyDescent="0.3">
      <c r="A4370" t="s">
        <v>4664</v>
      </c>
      <c r="B4370" t="str">
        <f>"300617"</f>
        <v>300617</v>
      </c>
      <c r="C4370" t="s">
        <v>9083</v>
      </c>
      <c r="D4370" t="s">
        <v>1164</v>
      </c>
      <c r="F4370">
        <v>421961706</v>
      </c>
      <c r="G4370">
        <v>352662660</v>
      </c>
      <c r="H4370">
        <v>235522335</v>
      </c>
      <c r="I4370">
        <v>218484286</v>
      </c>
      <c r="J4370">
        <v>238414867</v>
      </c>
      <c r="K4370">
        <v>228543769</v>
      </c>
      <c r="P4370">
        <v>148</v>
      </c>
      <c r="Q4370" t="s">
        <v>9084</v>
      </c>
    </row>
    <row r="4371" spans="1:17" x14ac:dyDescent="0.3">
      <c r="A4371" t="s">
        <v>4664</v>
      </c>
      <c r="B4371" t="str">
        <f>"300618"</f>
        <v>300618</v>
      </c>
      <c r="C4371" t="s">
        <v>9085</v>
      </c>
      <c r="D4371" t="s">
        <v>1440</v>
      </c>
      <c r="F4371">
        <v>2853722705</v>
      </c>
      <c r="G4371">
        <v>1684471329</v>
      </c>
      <c r="H4371">
        <v>1471537941</v>
      </c>
      <c r="I4371">
        <v>1957503693</v>
      </c>
      <c r="J4371">
        <v>887723868</v>
      </c>
      <c r="K4371">
        <v>476299390</v>
      </c>
      <c r="P4371">
        <v>574</v>
      </c>
      <c r="Q4371" t="s">
        <v>9086</v>
      </c>
    </row>
    <row r="4372" spans="1:17" x14ac:dyDescent="0.3">
      <c r="A4372" t="s">
        <v>4664</v>
      </c>
      <c r="B4372" t="str">
        <f>"300619"</f>
        <v>300619</v>
      </c>
      <c r="C4372" t="s">
        <v>9087</v>
      </c>
      <c r="D4372" t="s">
        <v>3749</v>
      </c>
      <c r="F4372">
        <v>673999407</v>
      </c>
      <c r="G4372">
        <v>294999756</v>
      </c>
      <c r="H4372">
        <v>312426658</v>
      </c>
      <c r="I4372">
        <v>318225002</v>
      </c>
      <c r="J4372">
        <v>218010551</v>
      </c>
      <c r="K4372">
        <v>167308287</v>
      </c>
      <c r="P4372">
        <v>94</v>
      </c>
      <c r="Q4372" t="s">
        <v>9088</v>
      </c>
    </row>
    <row r="4373" spans="1:17" x14ac:dyDescent="0.3">
      <c r="A4373" t="s">
        <v>4664</v>
      </c>
      <c r="B4373" t="str">
        <f>"300620"</f>
        <v>300620</v>
      </c>
      <c r="C4373" t="s">
        <v>9089</v>
      </c>
      <c r="D4373" t="s">
        <v>1019</v>
      </c>
      <c r="F4373">
        <v>412691178</v>
      </c>
      <c r="G4373">
        <v>297514204</v>
      </c>
      <c r="H4373">
        <v>280240754</v>
      </c>
      <c r="I4373">
        <v>194678294</v>
      </c>
      <c r="J4373">
        <v>156002274</v>
      </c>
      <c r="K4373">
        <v>127480727</v>
      </c>
      <c r="P4373">
        <v>245</v>
      </c>
      <c r="Q4373" t="s">
        <v>9090</v>
      </c>
    </row>
    <row r="4374" spans="1:17" x14ac:dyDescent="0.3">
      <c r="A4374" t="s">
        <v>4664</v>
      </c>
      <c r="B4374" t="str">
        <f>"300621"</f>
        <v>300621</v>
      </c>
      <c r="C4374" t="s">
        <v>9091</v>
      </c>
      <c r="D4374" t="s">
        <v>450</v>
      </c>
      <c r="F4374">
        <v>6546354212</v>
      </c>
      <c r="G4374">
        <v>1473177988</v>
      </c>
      <c r="H4374">
        <v>1729895382</v>
      </c>
      <c r="I4374">
        <v>1775672971</v>
      </c>
      <c r="J4374">
        <v>1341050209</v>
      </c>
      <c r="K4374">
        <v>1086321358</v>
      </c>
      <c r="P4374">
        <v>56</v>
      </c>
      <c r="Q4374" t="s">
        <v>9092</v>
      </c>
    </row>
    <row r="4375" spans="1:17" x14ac:dyDescent="0.3">
      <c r="A4375" t="s">
        <v>4664</v>
      </c>
      <c r="B4375" t="str">
        <f>"300622"</f>
        <v>300622</v>
      </c>
      <c r="C4375" t="s">
        <v>9093</v>
      </c>
      <c r="D4375" t="s">
        <v>295</v>
      </c>
      <c r="F4375">
        <v>666231671</v>
      </c>
      <c r="G4375">
        <v>453166009</v>
      </c>
      <c r="H4375">
        <v>488451244</v>
      </c>
      <c r="I4375">
        <v>448606071</v>
      </c>
      <c r="J4375">
        <v>396400768</v>
      </c>
      <c r="K4375">
        <v>353142419</v>
      </c>
      <c r="P4375">
        <v>123</v>
      </c>
      <c r="Q4375" t="s">
        <v>9094</v>
      </c>
    </row>
    <row r="4376" spans="1:17" x14ac:dyDescent="0.3">
      <c r="A4376" t="s">
        <v>4664</v>
      </c>
      <c r="B4376" t="str">
        <f>"300623"</f>
        <v>300623</v>
      </c>
      <c r="C4376" t="s">
        <v>9095</v>
      </c>
      <c r="D4376" t="s">
        <v>795</v>
      </c>
      <c r="F4376">
        <v>1384788420</v>
      </c>
      <c r="G4376">
        <v>490646044</v>
      </c>
      <c r="H4376">
        <v>491108981</v>
      </c>
      <c r="I4376">
        <v>433403181</v>
      </c>
      <c r="J4376">
        <v>318834964</v>
      </c>
      <c r="K4376">
        <v>254918718</v>
      </c>
      <c r="P4376">
        <v>664</v>
      </c>
      <c r="Q4376" t="s">
        <v>9096</v>
      </c>
    </row>
    <row r="4377" spans="1:17" x14ac:dyDescent="0.3">
      <c r="A4377" t="s">
        <v>4664</v>
      </c>
      <c r="B4377" t="str">
        <f>"300624"</f>
        <v>300624</v>
      </c>
      <c r="C4377" t="s">
        <v>9097</v>
      </c>
      <c r="D4377" t="s">
        <v>1189</v>
      </c>
      <c r="F4377">
        <v>754017271</v>
      </c>
      <c r="G4377">
        <v>709587861</v>
      </c>
      <c r="H4377">
        <v>496595415</v>
      </c>
      <c r="I4377">
        <v>389656908</v>
      </c>
      <c r="J4377">
        <v>343076947</v>
      </c>
      <c r="K4377">
        <v>0</v>
      </c>
      <c r="P4377">
        <v>332</v>
      </c>
      <c r="Q4377" t="s">
        <v>9098</v>
      </c>
    </row>
    <row r="4378" spans="1:17" x14ac:dyDescent="0.3">
      <c r="A4378" t="s">
        <v>4664</v>
      </c>
      <c r="B4378" t="str">
        <f>"300625"</f>
        <v>300625</v>
      </c>
      <c r="C4378" t="s">
        <v>9099</v>
      </c>
      <c r="D4378" t="s">
        <v>598</v>
      </c>
      <c r="F4378">
        <v>1581601979</v>
      </c>
      <c r="G4378">
        <v>1137181149</v>
      </c>
      <c r="H4378">
        <v>1438276287</v>
      </c>
      <c r="I4378">
        <v>1514190200</v>
      </c>
      <c r="J4378">
        <v>1403670032</v>
      </c>
      <c r="K4378">
        <v>1209955623</v>
      </c>
      <c r="P4378">
        <v>137</v>
      </c>
      <c r="Q4378" t="s">
        <v>9100</v>
      </c>
    </row>
    <row r="4379" spans="1:17" x14ac:dyDescent="0.3">
      <c r="A4379" t="s">
        <v>4664</v>
      </c>
      <c r="B4379" t="str">
        <f>"300626"</f>
        <v>300626</v>
      </c>
      <c r="C4379" t="s">
        <v>9101</v>
      </c>
      <c r="D4379" t="s">
        <v>1171</v>
      </c>
      <c r="F4379">
        <v>747766000</v>
      </c>
      <c r="G4379">
        <v>526432150</v>
      </c>
      <c r="H4379">
        <v>619539888</v>
      </c>
      <c r="I4379">
        <v>564767466</v>
      </c>
      <c r="J4379">
        <v>597230720</v>
      </c>
      <c r="K4379">
        <v>506347859</v>
      </c>
      <c r="P4379">
        <v>55</v>
      </c>
      <c r="Q4379" t="s">
        <v>9102</v>
      </c>
    </row>
    <row r="4380" spans="1:17" x14ac:dyDescent="0.3">
      <c r="A4380" t="s">
        <v>4664</v>
      </c>
      <c r="B4380" t="str">
        <f>"300627"</f>
        <v>300627</v>
      </c>
      <c r="C4380" t="s">
        <v>9103</v>
      </c>
      <c r="D4380" t="s">
        <v>786</v>
      </c>
      <c r="F4380">
        <v>1332814623</v>
      </c>
      <c r="G4380">
        <v>867212569</v>
      </c>
      <c r="H4380">
        <v>676916789</v>
      </c>
      <c r="I4380">
        <v>503363195</v>
      </c>
      <c r="J4380">
        <v>403697371</v>
      </c>
      <c r="K4380">
        <v>277153491</v>
      </c>
      <c r="P4380">
        <v>295</v>
      </c>
      <c r="Q4380" t="s">
        <v>9104</v>
      </c>
    </row>
    <row r="4381" spans="1:17" x14ac:dyDescent="0.3">
      <c r="A4381" t="s">
        <v>4664</v>
      </c>
      <c r="B4381" t="str">
        <f>"300628"</f>
        <v>300628</v>
      </c>
      <c r="C4381" t="s">
        <v>9105</v>
      </c>
      <c r="D4381" t="s">
        <v>786</v>
      </c>
      <c r="F4381">
        <v>2514413229</v>
      </c>
      <c r="G4381">
        <v>1923473235</v>
      </c>
      <c r="H4381">
        <v>1748856905</v>
      </c>
      <c r="I4381">
        <v>1209780277</v>
      </c>
      <c r="J4381">
        <v>995044522</v>
      </c>
      <c r="K4381">
        <v>661169072</v>
      </c>
      <c r="P4381">
        <v>2264</v>
      </c>
      <c r="Q4381" t="s">
        <v>9106</v>
      </c>
    </row>
    <row r="4382" spans="1:17" x14ac:dyDescent="0.3">
      <c r="A4382" t="s">
        <v>4664</v>
      </c>
      <c r="B4382" t="str">
        <f>"300629"</f>
        <v>300629</v>
      </c>
      <c r="C4382" t="s">
        <v>9107</v>
      </c>
      <c r="D4382" t="s">
        <v>404</v>
      </c>
      <c r="F4382">
        <v>166373991</v>
      </c>
      <c r="G4382">
        <v>242860093</v>
      </c>
      <c r="H4382">
        <v>95175964</v>
      </c>
      <c r="I4382">
        <v>120642432</v>
      </c>
      <c r="J4382">
        <v>153802159</v>
      </c>
      <c r="K4382">
        <v>130922128</v>
      </c>
      <c r="P4382">
        <v>65</v>
      </c>
      <c r="Q4382" t="s">
        <v>9108</v>
      </c>
    </row>
    <row r="4383" spans="1:17" x14ac:dyDescent="0.3">
      <c r="A4383" t="s">
        <v>4664</v>
      </c>
      <c r="B4383" t="str">
        <f>"300630"</f>
        <v>300630</v>
      </c>
      <c r="C4383" t="s">
        <v>9109</v>
      </c>
      <c r="D4383" t="s">
        <v>143</v>
      </c>
      <c r="F4383">
        <v>1139350302</v>
      </c>
      <c r="G4383">
        <v>929064197</v>
      </c>
      <c r="H4383">
        <v>591232578</v>
      </c>
      <c r="I4383">
        <v>375937937</v>
      </c>
      <c r="J4383">
        <v>166961058</v>
      </c>
      <c r="K4383">
        <v>141972128</v>
      </c>
      <c r="P4383">
        <v>1261</v>
      </c>
      <c r="Q4383" t="s">
        <v>9110</v>
      </c>
    </row>
    <row r="4384" spans="1:17" x14ac:dyDescent="0.3">
      <c r="A4384" t="s">
        <v>4664</v>
      </c>
      <c r="B4384" t="str">
        <f>"300631"</f>
        <v>300631</v>
      </c>
      <c r="C4384" t="s">
        <v>9111</v>
      </c>
      <c r="D4384" t="s">
        <v>1070</v>
      </c>
      <c r="F4384">
        <v>383544540</v>
      </c>
      <c r="G4384">
        <v>232066649</v>
      </c>
      <c r="H4384">
        <v>306047153</v>
      </c>
      <c r="I4384">
        <v>380730307</v>
      </c>
      <c r="J4384">
        <v>126775813</v>
      </c>
      <c r="K4384">
        <v>154003983</v>
      </c>
      <c r="P4384">
        <v>135</v>
      </c>
      <c r="Q4384" t="s">
        <v>9112</v>
      </c>
    </row>
    <row r="4385" spans="1:17" x14ac:dyDescent="0.3">
      <c r="A4385" t="s">
        <v>4664</v>
      </c>
      <c r="B4385" t="str">
        <f>"300632"</f>
        <v>300632</v>
      </c>
      <c r="C4385" t="s">
        <v>9113</v>
      </c>
      <c r="D4385" t="s">
        <v>803</v>
      </c>
      <c r="F4385">
        <v>763684271</v>
      </c>
      <c r="G4385">
        <v>739806029</v>
      </c>
      <c r="H4385">
        <v>722205089</v>
      </c>
      <c r="I4385">
        <v>409595957</v>
      </c>
      <c r="J4385">
        <v>321810313</v>
      </c>
      <c r="K4385">
        <v>242940985</v>
      </c>
      <c r="P4385">
        <v>201</v>
      </c>
      <c r="Q4385" t="s">
        <v>9114</v>
      </c>
    </row>
    <row r="4386" spans="1:17" x14ac:dyDescent="0.3">
      <c r="A4386" t="s">
        <v>4664</v>
      </c>
      <c r="B4386" t="str">
        <f>"300633"</f>
        <v>300633</v>
      </c>
      <c r="C4386" t="s">
        <v>9115</v>
      </c>
      <c r="D4386" t="s">
        <v>122</v>
      </c>
      <c r="F4386">
        <v>1054129024</v>
      </c>
      <c r="G4386">
        <v>867134391</v>
      </c>
      <c r="H4386">
        <v>935539019</v>
      </c>
      <c r="I4386">
        <v>805005173</v>
      </c>
      <c r="J4386">
        <v>740060703</v>
      </c>
      <c r="K4386">
        <v>498252659</v>
      </c>
      <c r="P4386">
        <v>515</v>
      </c>
      <c r="Q4386" t="s">
        <v>9116</v>
      </c>
    </row>
    <row r="4387" spans="1:17" x14ac:dyDescent="0.3">
      <c r="A4387" t="s">
        <v>4664</v>
      </c>
      <c r="B4387" t="str">
        <f>"300634"</f>
        <v>300634</v>
      </c>
      <c r="C4387" t="s">
        <v>9117</v>
      </c>
      <c r="D4387" t="s">
        <v>316</v>
      </c>
      <c r="F4387">
        <v>589015085</v>
      </c>
      <c r="G4387">
        <v>422767438</v>
      </c>
      <c r="H4387">
        <v>460632303</v>
      </c>
      <c r="I4387">
        <v>362093184</v>
      </c>
      <c r="J4387">
        <v>298778062</v>
      </c>
      <c r="P4387">
        <v>159</v>
      </c>
      <c r="Q4387" t="s">
        <v>9118</v>
      </c>
    </row>
    <row r="4388" spans="1:17" x14ac:dyDescent="0.3">
      <c r="A4388" t="s">
        <v>4664</v>
      </c>
      <c r="B4388" t="str">
        <f>"300635"</f>
        <v>300635</v>
      </c>
      <c r="C4388" t="s">
        <v>9119</v>
      </c>
      <c r="D4388" t="s">
        <v>1272</v>
      </c>
      <c r="F4388">
        <v>427106120</v>
      </c>
      <c r="G4388">
        <v>361851391</v>
      </c>
      <c r="H4388">
        <v>349737946</v>
      </c>
      <c r="I4388">
        <v>296123350</v>
      </c>
      <c r="J4388">
        <v>214800392</v>
      </c>
      <c r="K4388">
        <v>270905721</v>
      </c>
      <c r="P4388">
        <v>113</v>
      </c>
      <c r="Q4388" t="s">
        <v>9120</v>
      </c>
    </row>
    <row r="4389" spans="1:17" x14ac:dyDescent="0.3">
      <c r="A4389" t="s">
        <v>4664</v>
      </c>
      <c r="B4389" t="str">
        <f>"300636"</f>
        <v>300636</v>
      </c>
      <c r="C4389" t="s">
        <v>9121</v>
      </c>
      <c r="D4389" t="s">
        <v>496</v>
      </c>
      <c r="F4389">
        <v>385195042</v>
      </c>
      <c r="G4389">
        <v>377663311</v>
      </c>
      <c r="H4389">
        <v>287690721</v>
      </c>
      <c r="I4389">
        <v>209394908</v>
      </c>
      <c r="J4389">
        <v>225252483</v>
      </c>
      <c r="K4389">
        <v>175983312</v>
      </c>
      <c r="P4389">
        <v>136</v>
      </c>
      <c r="Q4389" t="s">
        <v>9122</v>
      </c>
    </row>
    <row r="4390" spans="1:17" x14ac:dyDescent="0.3">
      <c r="A4390" t="s">
        <v>4664</v>
      </c>
      <c r="B4390" t="str">
        <f>"300637"</f>
        <v>300637</v>
      </c>
      <c r="C4390" t="s">
        <v>9123</v>
      </c>
      <c r="D4390" t="s">
        <v>2399</v>
      </c>
      <c r="F4390">
        <v>510922130</v>
      </c>
      <c r="G4390">
        <v>361195040</v>
      </c>
      <c r="H4390">
        <v>410959166</v>
      </c>
      <c r="I4390">
        <v>461536767</v>
      </c>
      <c r="J4390">
        <v>363265700</v>
      </c>
      <c r="K4390">
        <v>315653277</v>
      </c>
      <c r="P4390">
        <v>117</v>
      </c>
      <c r="Q4390" t="s">
        <v>9124</v>
      </c>
    </row>
    <row r="4391" spans="1:17" x14ac:dyDescent="0.3">
      <c r="A4391" t="s">
        <v>4664</v>
      </c>
      <c r="B4391" t="str">
        <f>"300638"</f>
        <v>300638</v>
      </c>
      <c r="C4391" t="s">
        <v>9125</v>
      </c>
      <c r="D4391" t="s">
        <v>786</v>
      </c>
      <c r="F4391">
        <v>2622993207</v>
      </c>
      <c r="G4391">
        <v>1901517193</v>
      </c>
      <c r="H4391">
        <v>1231651862</v>
      </c>
      <c r="I4391">
        <v>793362139</v>
      </c>
      <c r="J4391">
        <v>302093243</v>
      </c>
      <c r="K4391">
        <v>188010655</v>
      </c>
      <c r="P4391">
        <v>757</v>
      </c>
      <c r="Q4391" t="s">
        <v>9126</v>
      </c>
    </row>
    <row r="4392" spans="1:17" x14ac:dyDescent="0.3">
      <c r="A4392" t="s">
        <v>4664</v>
      </c>
      <c r="B4392" t="str">
        <f>"300639"</f>
        <v>300639</v>
      </c>
      <c r="C4392" t="s">
        <v>9127</v>
      </c>
      <c r="D4392" t="s">
        <v>1305</v>
      </c>
      <c r="F4392">
        <v>1468809358</v>
      </c>
      <c r="G4392">
        <v>720216162</v>
      </c>
      <c r="H4392">
        <v>481515447</v>
      </c>
      <c r="I4392">
        <v>375360245</v>
      </c>
      <c r="J4392">
        <v>321760314</v>
      </c>
      <c r="K4392">
        <v>291520224</v>
      </c>
      <c r="P4392">
        <v>535</v>
      </c>
      <c r="Q4392" t="s">
        <v>9128</v>
      </c>
    </row>
    <row r="4393" spans="1:17" x14ac:dyDescent="0.3">
      <c r="A4393" t="s">
        <v>4664</v>
      </c>
      <c r="B4393" t="str">
        <f>"300640"</f>
        <v>300640</v>
      </c>
      <c r="C4393" t="s">
        <v>9129</v>
      </c>
      <c r="D4393" t="s">
        <v>2436</v>
      </c>
      <c r="F4393">
        <v>526171862</v>
      </c>
      <c r="G4393">
        <v>377490294</v>
      </c>
      <c r="H4393">
        <v>472433862</v>
      </c>
      <c r="I4393">
        <v>373358922</v>
      </c>
      <c r="J4393">
        <v>327701515</v>
      </c>
      <c r="K4393">
        <v>265805165</v>
      </c>
      <c r="P4393">
        <v>79</v>
      </c>
      <c r="Q4393" t="s">
        <v>9130</v>
      </c>
    </row>
    <row r="4394" spans="1:17" x14ac:dyDescent="0.3">
      <c r="A4394" t="s">
        <v>4664</v>
      </c>
      <c r="B4394" t="str">
        <f>"300641"</f>
        <v>300641</v>
      </c>
      <c r="C4394" t="s">
        <v>9131</v>
      </c>
      <c r="D4394" t="s">
        <v>386</v>
      </c>
      <c r="F4394">
        <v>1410249882</v>
      </c>
      <c r="G4394">
        <v>1019574272</v>
      </c>
      <c r="H4394">
        <v>872333726</v>
      </c>
      <c r="I4394">
        <v>888002239</v>
      </c>
      <c r="J4394">
        <v>996170971</v>
      </c>
      <c r="K4394">
        <v>864267890</v>
      </c>
      <c r="P4394">
        <v>79</v>
      </c>
      <c r="Q4394" t="s">
        <v>9132</v>
      </c>
    </row>
    <row r="4395" spans="1:17" x14ac:dyDescent="0.3">
      <c r="A4395" t="s">
        <v>4664</v>
      </c>
      <c r="B4395" t="str">
        <f>"300642"</f>
        <v>300642</v>
      </c>
      <c r="C4395" t="s">
        <v>9133</v>
      </c>
      <c r="D4395" t="s">
        <v>1305</v>
      </c>
      <c r="F4395">
        <v>478966962</v>
      </c>
      <c r="G4395">
        <v>302274458</v>
      </c>
      <c r="H4395">
        <v>311456349</v>
      </c>
      <c r="I4395">
        <v>270655564</v>
      </c>
      <c r="J4395">
        <v>219671863</v>
      </c>
      <c r="K4395">
        <v>174400181</v>
      </c>
      <c r="P4395">
        <v>417</v>
      </c>
      <c r="Q4395" t="s">
        <v>9134</v>
      </c>
    </row>
    <row r="4396" spans="1:17" x14ac:dyDescent="0.3">
      <c r="A4396" t="s">
        <v>4664</v>
      </c>
      <c r="B4396" t="str">
        <f>"300643"</f>
        <v>300643</v>
      </c>
      <c r="C4396" t="s">
        <v>9135</v>
      </c>
      <c r="D4396" t="s">
        <v>985</v>
      </c>
      <c r="F4396">
        <v>683591737</v>
      </c>
      <c r="G4396">
        <v>544883511</v>
      </c>
      <c r="H4396">
        <v>217603206</v>
      </c>
      <c r="I4396">
        <v>186017229</v>
      </c>
      <c r="J4396">
        <v>248860368</v>
      </c>
      <c r="K4396">
        <v>202983513</v>
      </c>
      <c r="P4396">
        <v>96</v>
      </c>
      <c r="Q4396" t="s">
        <v>9136</v>
      </c>
    </row>
    <row r="4397" spans="1:17" x14ac:dyDescent="0.3">
      <c r="A4397" t="s">
        <v>4664</v>
      </c>
      <c r="B4397" t="str">
        <f>"300644"</f>
        <v>300644</v>
      </c>
      <c r="C4397" t="s">
        <v>9137</v>
      </c>
      <c r="D4397" t="s">
        <v>341</v>
      </c>
      <c r="F4397">
        <v>834993007</v>
      </c>
      <c r="G4397">
        <v>632650999</v>
      </c>
      <c r="H4397">
        <v>494921195</v>
      </c>
      <c r="I4397">
        <v>420120293</v>
      </c>
      <c r="J4397">
        <v>445684147</v>
      </c>
      <c r="P4397">
        <v>133</v>
      </c>
      <c r="Q4397" t="s">
        <v>9138</v>
      </c>
    </row>
    <row r="4398" spans="1:17" x14ac:dyDescent="0.3">
      <c r="A4398" t="s">
        <v>4664</v>
      </c>
      <c r="B4398" t="str">
        <f>"300645"</f>
        <v>300645</v>
      </c>
      <c r="C4398" t="s">
        <v>9139</v>
      </c>
      <c r="D4398" t="s">
        <v>236</v>
      </c>
      <c r="F4398">
        <v>450084023</v>
      </c>
      <c r="G4398">
        <v>451705553</v>
      </c>
      <c r="H4398">
        <v>298627352</v>
      </c>
      <c r="I4398">
        <v>251363978</v>
      </c>
      <c r="J4398">
        <v>218137244</v>
      </c>
      <c r="K4398">
        <v>167364107</v>
      </c>
      <c r="P4398">
        <v>111</v>
      </c>
      <c r="Q4398" t="s">
        <v>9140</v>
      </c>
    </row>
    <row r="4399" spans="1:17" x14ac:dyDescent="0.3">
      <c r="A4399" t="s">
        <v>4664</v>
      </c>
      <c r="B4399" t="str">
        <f>"300647"</f>
        <v>300647</v>
      </c>
      <c r="C4399" t="s">
        <v>9141</v>
      </c>
      <c r="D4399" t="s">
        <v>313</v>
      </c>
      <c r="F4399">
        <v>418726035</v>
      </c>
      <c r="G4399">
        <v>391576199</v>
      </c>
      <c r="H4399">
        <v>343870979</v>
      </c>
      <c r="I4399">
        <v>460916981</v>
      </c>
      <c r="J4399">
        <v>263041086</v>
      </c>
      <c r="K4399">
        <v>268022064</v>
      </c>
      <c r="P4399">
        <v>116</v>
      </c>
      <c r="Q4399" t="s">
        <v>9142</v>
      </c>
    </row>
    <row r="4400" spans="1:17" x14ac:dyDescent="0.3">
      <c r="A4400" t="s">
        <v>4664</v>
      </c>
      <c r="B4400" t="str">
        <f>"300648"</f>
        <v>300648</v>
      </c>
      <c r="C4400" t="s">
        <v>9143</v>
      </c>
      <c r="D4400" t="s">
        <v>3749</v>
      </c>
      <c r="F4400">
        <v>466503141</v>
      </c>
      <c r="G4400">
        <v>269213395</v>
      </c>
      <c r="H4400">
        <v>159737896</v>
      </c>
      <c r="I4400">
        <v>180249155</v>
      </c>
      <c r="J4400">
        <v>125067745</v>
      </c>
      <c r="K4400">
        <v>149962710</v>
      </c>
      <c r="P4400">
        <v>266</v>
      </c>
      <c r="Q4400" t="s">
        <v>9144</v>
      </c>
    </row>
    <row r="4401" spans="1:17" x14ac:dyDescent="0.3">
      <c r="A4401" t="s">
        <v>4664</v>
      </c>
      <c r="B4401" t="str">
        <f>"300649"</f>
        <v>300649</v>
      </c>
      <c r="C4401" t="s">
        <v>9145</v>
      </c>
      <c r="D4401" t="s">
        <v>2408</v>
      </c>
      <c r="F4401">
        <v>571790052</v>
      </c>
      <c r="G4401">
        <v>310720387</v>
      </c>
      <c r="H4401">
        <v>389379910</v>
      </c>
      <c r="I4401">
        <v>281641126</v>
      </c>
      <c r="J4401">
        <v>75031600</v>
      </c>
      <c r="K4401">
        <v>72104804</v>
      </c>
      <c r="P4401">
        <v>91</v>
      </c>
      <c r="Q4401" t="s">
        <v>9146</v>
      </c>
    </row>
    <row r="4402" spans="1:17" x14ac:dyDescent="0.3">
      <c r="A4402" t="s">
        <v>4664</v>
      </c>
      <c r="B4402" t="str">
        <f>"300650"</f>
        <v>300650</v>
      </c>
      <c r="C4402" t="s">
        <v>9147</v>
      </c>
      <c r="D4402" t="s">
        <v>803</v>
      </c>
      <c r="F4402">
        <v>3871105979</v>
      </c>
      <c r="G4402">
        <v>285597630</v>
      </c>
      <c r="H4402">
        <v>414391695</v>
      </c>
      <c r="I4402">
        <v>325230103</v>
      </c>
      <c r="J4402">
        <v>245472860</v>
      </c>
      <c r="K4402">
        <v>204853521</v>
      </c>
      <c r="P4402">
        <v>125</v>
      </c>
      <c r="Q4402" t="s">
        <v>9148</v>
      </c>
    </row>
    <row r="4403" spans="1:17" x14ac:dyDescent="0.3">
      <c r="A4403" t="s">
        <v>4664</v>
      </c>
      <c r="B4403" t="str">
        <f>"300651"</f>
        <v>300651</v>
      </c>
      <c r="C4403" t="s">
        <v>9149</v>
      </c>
      <c r="D4403" t="s">
        <v>327</v>
      </c>
      <c r="F4403">
        <v>453298618</v>
      </c>
      <c r="G4403">
        <v>340936046</v>
      </c>
      <c r="H4403">
        <v>368527205</v>
      </c>
      <c r="I4403">
        <v>380441881</v>
      </c>
      <c r="J4403">
        <v>222990056</v>
      </c>
      <c r="K4403">
        <v>202816419</v>
      </c>
      <c r="P4403">
        <v>99</v>
      </c>
      <c r="Q4403" t="s">
        <v>9150</v>
      </c>
    </row>
    <row r="4404" spans="1:17" x14ac:dyDescent="0.3">
      <c r="A4404" t="s">
        <v>4664</v>
      </c>
      <c r="B4404" t="str">
        <f>"300652"</f>
        <v>300652</v>
      </c>
      <c r="C4404" t="s">
        <v>9151</v>
      </c>
      <c r="D4404" t="s">
        <v>422</v>
      </c>
      <c r="F4404">
        <v>306864710</v>
      </c>
      <c r="G4404">
        <v>318029886</v>
      </c>
      <c r="H4404">
        <v>356503678</v>
      </c>
      <c r="I4404">
        <v>368976004</v>
      </c>
      <c r="J4404">
        <v>338303846</v>
      </c>
      <c r="K4404">
        <v>245414170</v>
      </c>
      <c r="P4404">
        <v>92</v>
      </c>
      <c r="Q4404" t="s">
        <v>9152</v>
      </c>
    </row>
    <row r="4405" spans="1:17" x14ac:dyDescent="0.3">
      <c r="A4405" t="s">
        <v>4664</v>
      </c>
      <c r="B4405" t="str">
        <f>"300653"</f>
        <v>300653</v>
      </c>
      <c r="C4405" t="s">
        <v>9153</v>
      </c>
      <c r="D4405" t="s">
        <v>1077</v>
      </c>
      <c r="F4405">
        <v>307666644</v>
      </c>
      <c r="G4405">
        <v>220617626</v>
      </c>
      <c r="H4405">
        <v>205048644</v>
      </c>
      <c r="I4405">
        <v>169804359</v>
      </c>
      <c r="J4405">
        <v>127079628</v>
      </c>
      <c r="K4405">
        <v>101255262</v>
      </c>
      <c r="P4405">
        <v>898</v>
      </c>
      <c r="Q4405" t="s">
        <v>9154</v>
      </c>
    </row>
    <row r="4406" spans="1:17" x14ac:dyDescent="0.3">
      <c r="A4406" t="s">
        <v>4664</v>
      </c>
      <c r="B4406" t="str">
        <f>"300654"</f>
        <v>300654</v>
      </c>
      <c r="C4406" t="s">
        <v>9155</v>
      </c>
      <c r="D4406" t="s">
        <v>1536</v>
      </c>
      <c r="F4406">
        <v>264980467</v>
      </c>
      <c r="G4406">
        <v>200113341</v>
      </c>
      <c r="H4406">
        <v>237410269</v>
      </c>
      <c r="I4406">
        <v>230415603</v>
      </c>
      <c r="J4406">
        <v>227862792</v>
      </c>
      <c r="K4406">
        <v>207165124</v>
      </c>
      <c r="P4406">
        <v>73</v>
      </c>
      <c r="Q4406" t="s">
        <v>9156</v>
      </c>
    </row>
    <row r="4407" spans="1:17" x14ac:dyDescent="0.3">
      <c r="A4407" t="s">
        <v>4664</v>
      </c>
      <c r="B4407" t="str">
        <f>"300655"</f>
        <v>300655</v>
      </c>
      <c r="C4407" t="s">
        <v>9157</v>
      </c>
      <c r="D4407" t="s">
        <v>2399</v>
      </c>
      <c r="F4407">
        <v>814700532</v>
      </c>
      <c r="G4407">
        <v>524598989</v>
      </c>
      <c r="H4407">
        <v>544898518</v>
      </c>
      <c r="I4407">
        <v>455420516</v>
      </c>
      <c r="J4407">
        <v>259971436</v>
      </c>
      <c r="K4407">
        <v>204261423</v>
      </c>
      <c r="P4407">
        <v>3076</v>
      </c>
      <c r="Q4407" t="s">
        <v>9158</v>
      </c>
    </row>
    <row r="4408" spans="1:17" x14ac:dyDescent="0.3">
      <c r="A4408" t="s">
        <v>4664</v>
      </c>
      <c r="B4408" t="str">
        <f>"300656"</f>
        <v>300656</v>
      </c>
      <c r="C4408" t="s">
        <v>9159</v>
      </c>
      <c r="D4408" t="s">
        <v>651</v>
      </c>
      <c r="F4408">
        <v>371993928</v>
      </c>
      <c r="G4408">
        <v>231584195</v>
      </c>
      <c r="H4408">
        <v>205012382</v>
      </c>
      <c r="I4408">
        <v>171981050</v>
      </c>
      <c r="J4408">
        <v>85357559</v>
      </c>
      <c r="K4408">
        <v>99684645</v>
      </c>
      <c r="P4408">
        <v>80</v>
      </c>
      <c r="Q4408" t="s">
        <v>9160</v>
      </c>
    </row>
    <row r="4409" spans="1:17" x14ac:dyDescent="0.3">
      <c r="A4409" t="s">
        <v>4664</v>
      </c>
      <c r="B4409" t="str">
        <f>"300657"</f>
        <v>300657</v>
      </c>
      <c r="C4409" t="s">
        <v>9161</v>
      </c>
      <c r="D4409" t="s">
        <v>425</v>
      </c>
      <c r="F4409">
        <v>2329533954</v>
      </c>
      <c r="G4409">
        <v>2090177508</v>
      </c>
      <c r="H4409">
        <v>1528971648</v>
      </c>
      <c r="I4409">
        <v>1170700733</v>
      </c>
      <c r="J4409">
        <v>1000810481</v>
      </c>
      <c r="K4409">
        <v>686055417</v>
      </c>
      <c r="P4409">
        <v>257</v>
      </c>
      <c r="Q4409" t="s">
        <v>9162</v>
      </c>
    </row>
    <row r="4410" spans="1:17" x14ac:dyDescent="0.3">
      <c r="A4410" t="s">
        <v>4664</v>
      </c>
      <c r="B4410" t="str">
        <f>"300658"</f>
        <v>300658</v>
      </c>
      <c r="C4410" t="s">
        <v>9163</v>
      </c>
      <c r="D4410" t="s">
        <v>2728</v>
      </c>
      <c r="F4410">
        <v>882990237</v>
      </c>
      <c r="G4410">
        <v>1466541153</v>
      </c>
      <c r="H4410">
        <v>751999324</v>
      </c>
      <c r="I4410">
        <v>560003856</v>
      </c>
      <c r="J4410">
        <v>612455488</v>
      </c>
      <c r="K4410">
        <v>461050475</v>
      </c>
      <c r="P4410">
        <v>232</v>
      </c>
      <c r="Q4410" t="s">
        <v>9164</v>
      </c>
    </row>
    <row r="4411" spans="1:17" x14ac:dyDescent="0.3">
      <c r="A4411" t="s">
        <v>4664</v>
      </c>
      <c r="B4411" t="str">
        <f>"300659"</f>
        <v>300659</v>
      </c>
      <c r="C4411" t="s">
        <v>9165</v>
      </c>
      <c r="D4411" t="s">
        <v>236</v>
      </c>
      <c r="F4411">
        <v>687120794</v>
      </c>
      <c r="G4411">
        <v>391845269</v>
      </c>
      <c r="H4411">
        <v>298918235</v>
      </c>
      <c r="I4411">
        <v>179792505</v>
      </c>
      <c r="J4411">
        <v>127061532</v>
      </c>
      <c r="K4411">
        <v>119526886</v>
      </c>
      <c r="P4411">
        <v>272</v>
      </c>
      <c r="Q4411" t="s">
        <v>9166</v>
      </c>
    </row>
    <row r="4412" spans="1:17" x14ac:dyDescent="0.3">
      <c r="A4412" t="s">
        <v>4664</v>
      </c>
      <c r="B4412" t="str">
        <f>"300660"</f>
        <v>300660</v>
      </c>
      <c r="C4412" t="s">
        <v>9167</v>
      </c>
      <c r="D4412" t="s">
        <v>1171</v>
      </c>
      <c r="F4412">
        <v>2465541361</v>
      </c>
      <c r="G4412">
        <v>1868459572</v>
      </c>
      <c r="H4412">
        <v>1759611656</v>
      </c>
      <c r="I4412">
        <v>1694868339</v>
      </c>
      <c r="J4412">
        <v>1279790049</v>
      </c>
      <c r="K4412">
        <v>1098228947</v>
      </c>
      <c r="P4412">
        <v>108</v>
      </c>
      <c r="Q4412" t="s">
        <v>9168</v>
      </c>
    </row>
    <row r="4413" spans="1:17" x14ac:dyDescent="0.3">
      <c r="A4413" t="s">
        <v>4664</v>
      </c>
      <c r="B4413" t="str">
        <f>"300661"</f>
        <v>300661</v>
      </c>
      <c r="C4413" t="s">
        <v>9169</v>
      </c>
      <c r="D4413" t="s">
        <v>401</v>
      </c>
      <c r="F4413">
        <v>1590439005</v>
      </c>
      <c r="G4413">
        <v>861862116</v>
      </c>
      <c r="H4413">
        <v>518333716</v>
      </c>
      <c r="I4413">
        <v>483444102</v>
      </c>
      <c r="J4413">
        <v>396974136</v>
      </c>
      <c r="K4413">
        <v>328046072</v>
      </c>
      <c r="P4413">
        <v>1054</v>
      </c>
      <c r="Q4413" t="s">
        <v>9170</v>
      </c>
    </row>
    <row r="4414" spans="1:17" x14ac:dyDescent="0.3">
      <c r="A4414" t="s">
        <v>4664</v>
      </c>
      <c r="B4414" t="str">
        <f>"300662"</f>
        <v>300662</v>
      </c>
      <c r="C4414" t="s">
        <v>9171</v>
      </c>
      <c r="D4414" t="s">
        <v>9172</v>
      </c>
      <c r="F4414">
        <v>5010661250</v>
      </c>
      <c r="G4414">
        <v>2891333130</v>
      </c>
      <c r="H4414">
        <v>2608106652</v>
      </c>
      <c r="I4414">
        <v>1440156023</v>
      </c>
      <c r="J4414">
        <v>832862051</v>
      </c>
      <c r="K4414">
        <v>600238728</v>
      </c>
      <c r="P4414">
        <v>688</v>
      </c>
      <c r="Q4414" t="s">
        <v>9173</v>
      </c>
    </row>
    <row r="4415" spans="1:17" x14ac:dyDescent="0.3">
      <c r="A4415" t="s">
        <v>4664</v>
      </c>
      <c r="B4415" t="str">
        <f>"300663"</f>
        <v>300663</v>
      </c>
      <c r="C4415" t="s">
        <v>9174</v>
      </c>
      <c r="D4415" t="s">
        <v>945</v>
      </c>
      <c r="F4415">
        <v>552848147</v>
      </c>
      <c r="G4415">
        <v>364862461</v>
      </c>
      <c r="H4415">
        <v>367742202</v>
      </c>
      <c r="I4415">
        <v>276141687</v>
      </c>
      <c r="J4415">
        <v>222185394</v>
      </c>
      <c r="K4415">
        <v>238040043</v>
      </c>
      <c r="P4415">
        <v>261</v>
      </c>
      <c r="Q4415" t="s">
        <v>9175</v>
      </c>
    </row>
    <row r="4416" spans="1:17" x14ac:dyDescent="0.3">
      <c r="A4416" t="s">
        <v>4664</v>
      </c>
      <c r="B4416" t="str">
        <f>"300664"</f>
        <v>300664</v>
      </c>
      <c r="C4416" t="s">
        <v>9176</v>
      </c>
      <c r="D4416" t="s">
        <v>33</v>
      </c>
      <c r="F4416">
        <v>1262362320</v>
      </c>
      <c r="G4416">
        <v>1051905298</v>
      </c>
      <c r="H4416">
        <v>849893313</v>
      </c>
      <c r="I4416">
        <v>601965336</v>
      </c>
      <c r="J4416">
        <v>0</v>
      </c>
      <c r="K4416">
        <v>0</v>
      </c>
      <c r="P4416">
        <v>118</v>
      </c>
      <c r="Q4416" t="s">
        <v>9177</v>
      </c>
    </row>
    <row r="4417" spans="1:17" x14ac:dyDescent="0.3">
      <c r="A4417" t="s">
        <v>4664</v>
      </c>
      <c r="B4417" t="str">
        <f>"300665"</f>
        <v>300665</v>
      </c>
      <c r="C4417" t="s">
        <v>9178</v>
      </c>
      <c r="D4417" t="s">
        <v>2570</v>
      </c>
      <c r="F4417">
        <v>294153624</v>
      </c>
      <c r="G4417">
        <v>230126356</v>
      </c>
      <c r="H4417">
        <v>262412445</v>
      </c>
      <c r="I4417">
        <v>201856727</v>
      </c>
      <c r="J4417">
        <v>125097498</v>
      </c>
      <c r="K4417">
        <v>114074590</v>
      </c>
      <c r="P4417">
        <v>109</v>
      </c>
      <c r="Q4417" t="s">
        <v>9179</v>
      </c>
    </row>
    <row r="4418" spans="1:17" x14ac:dyDescent="0.3">
      <c r="A4418" t="s">
        <v>4664</v>
      </c>
      <c r="B4418" t="str">
        <f>"300666"</f>
        <v>300666</v>
      </c>
      <c r="C4418" t="s">
        <v>9180</v>
      </c>
      <c r="D4418" t="s">
        <v>475</v>
      </c>
      <c r="F4418">
        <v>1042467371</v>
      </c>
      <c r="G4418">
        <v>767046421</v>
      </c>
      <c r="H4418">
        <v>529758478</v>
      </c>
      <c r="I4418">
        <v>488529145</v>
      </c>
      <c r="J4418">
        <v>377880923</v>
      </c>
      <c r="K4418">
        <v>296935684</v>
      </c>
      <c r="P4418">
        <v>519</v>
      </c>
      <c r="Q4418" t="s">
        <v>9181</v>
      </c>
    </row>
    <row r="4419" spans="1:17" x14ac:dyDescent="0.3">
      <c r="A4419" t="s">
        <v>4664</v>
      </c>
      <c r="B4419" t="str">
        <f>"300667"</f>
        <v>300667</v>
      </c>
      <c r="C4419" t="s">
        <v>9182</v>
      </c>
      <c r="D4419" t="s">
        <v>2551</v>
      </c>
      <c r="F4419">
        <v>656801153</v>
      </c>
      <c r="G4419">
        <v>552834026</v>
      </c>
      <c r="H4419">
        <v>220115651</v>
      </c>
      <c r="I4419">
        <v>95043813</v>
      </c>
      <c r="J4419">
        <v>93275368</v>
      </c>
      <c r="K4419">
        <v>72304379</v>
      </c>
      <c r="P4419">
        <v>144</v>
      </c>
      <c r="Q4419" t="s">
        <v>9183</v>
      </c>
    </row>
    <row r="4420" spans="1:17" x14ac:dyDescent="0.3">
      <c r="A4420" t="s">
        <v>4664</v>
      </c>
      <c r="B4420" t="str">
        <f>"300668"</f>
        <v>300668</v>
      </c>
      <c r="C4420" t="s">
        <v>9184</v>
      </c>
      <c r="D4420" t="s">
        <v>1272</v>
      </c>
      <c r="F4420">
        <v>233176839</v>
      </c>
      <c r="G4420">
        <v>218004162</v>
      </c>
      <c r="H4420">
        <v>216829462</v>
      </c>
      <c r="I4420">
        <v>193935468</v>
      </c>
      <c r="J4420">
        <v>166692235</v>
      </c>
      <c r="K4420">
        <v>106390165</v>
      </c>
      <c r="P4420">
        <v>207</v>
      </c>
      <c r="Q4420" t="s">
        <v>9185</v>
      </c>
    </row>
    <row r="4421" spans="1:17" x14ac:dyDescent="0.3">
      <c r="A4421" t="s">
        <v>4664</v>
      </c>
      <c r="B4421" t="str">
        <f>"300669"</f>
        <v>300669</v>
      </c>
      <c r="C4421" t="s">
        <v>9186</v>
      </c>
      <c r="D4421" t="s">
        <v>1689</v>
      </c>
      <c r="F4421">
        <v>296995858</v>
      </c>
      <c r="G4421">
        <v>269101509</v>
      </c>
      <c r="H4421">
        <v>242098550</v>
      </c>
      <c r="I4421">
        <v>198073259</v>
      </c>
      <c r="J4421">
        <v>201485258</v>
      </c>
      <c r="K4421">
        <v>188556523</v>
      </c>
      <c r="P4421">
        <v>102</v>
      </c>
      <c r="Q4421" t="s">
        <v>9187</v>
      </c>
    </row>
    <row r="4422" spans="1:17" x14ac:dyDescent="0.3">
      <c r="A4422" t="s">
        <v>4664</v>
      </c>
      <c r="B4422" t="str">
        <f>"300670"</f>
        <v>300670</v>
      </c>
      <c r="C4422" t="s">
        <v>9188</v>
      </c>
      <c r="D4422" t="s">
        <v>657</v>
      </c>
      <c r="F4422">
        <v>384501546</v>
      </c>
      <c r="G4422">
        <v>424430538</v>
      </c>
      <c r="H4422">
        <v>278112289</v>
      </c>
      <c r="I4422">
        <v>186096954</v>
      </c>
      <c r="J4422">
        <v>207731139</v>
      </c>
      <c r="K4422">
        <v>190354945</v>
      </c>
      <c r="P4422">
        <v>67</v>
      </c>
      <c r="Q4422" t="s">
        <v>9189</v>
      </c>
    </row>
    <row r="4423" spans="1:17" x14ac:dyDescent="0.3">
      <c r="A4423" t="s">
        <v>4664</v>
      </c>
      <c r="B4423" t="str">
        <f>"300671"</f>
        <v>300671</v>
      </c>
      <c r="C4423" t="s">
        <v>9190</v>
      </c>
      <c r="D4423" t="s">
        <v>401</v>
      </c>
      <c r="F4423">
        <v>979017910</v>
      </c>
      <c r="G4423">
        <v>465996952</v>
      </c>
      <c r="H4423">
        <v>340872906</v>
      </c>
      <c r="I4423">
        <v>387653451</v>
      </c>
      <c r="J4423">
        <v>215833879</v>
      </c>
      <c r="K4423">
        <v>159363510</v>
      </c>
      <c r="P4423">
        <v>301</v>
      </c>
      <c r="Q4423" t="s">
        <v>9191</v>
      </c>
    </row>
    <row r="4424" spans="1:17" x14ac:dyDescent="0.3">
      <c r="A4424" t="s">
        <v>4664</v>
      </c>
      <c r="B4424" t="str">
        <f>"300672"</f>
        <v>300672</v>
      </c>
      <c r="C4424" t="s">
        <v>9192</v>
      </c>
      <c r="D4424" t="s">
        <v>461</v>
      </c>
      <c r="F4424">
        <v>2295724835</v>
      </c>
      <c r="G4424">
        <v>918773359</v>
      </c>
      <c r="H4424">
        <v>191842029</v>
      </c>
      <c r="I4424">
        <v>91498481</v>
      </c>
      <c r="J4424">
        <v>115388812</v>
      </c>
      <c r="K4424">
        <v>226802978</v>
      </c>
      <c r="P4424">
        <v>305</v>
      </c>
      <c r="Q4424" t="s">
        <v>9193</v>
      </c>
    </row>
    <row r="4425" spans="1:17" x14ac:dyDescent="0.3">
      <c r="A4425" t="s">
        <v>4664</v>
      </c>
      <c r="B4425" t="str">
        <f>"300673"</f>
        <v>300673</v>
      </c>
      <c r="C4425" t="s">
        <v>9194</v>
      </c>
      <c r="D4425" t="s">
        <v>7467</v>
      </c>
      <c r="F4425">
        <v>972931726</v>
      </c>
      <c r="G4425">
        <v>816635974</v>
      </c>
      <c r="H4425">
        <v>604487306</v>
      </c>
      <c r="I4425">
        <v>544604803</v>
      </c>
      <c r="J4425">
        <v>405804361</v>
      </c>
      <c r="K4425">
        <v>409194848</v>
      </c>
      <c r="P4425">
        <v>512</v>
      </c>
      <c r="Q4425" t="s">
        <v>9195</v>
      </c>
    </row>
    <row r="4426" spans="1:17" x14ac:dyDescent="0.3">
      <c r="A4426" t="s">
        <v>4664</v>
      </c>
      <c r="B4426" t="str">
        <f>"300674"</f>
        <v>300674</v>
      </c>
      <c r="C4426" t="s">
        <v>9196</v>
      </c>
      <c r="D4426" t="s">
        <v>316</v>
      </c>
      <c r="F4426">
        <v>2145390656</v>
      </c>
      <c r="G4426">
        <v>1621722769</v>
      </c>
      <c r="H4426">
        <v>1397094378</v>
      </c>
      <c r="I4426">
        <v>1090244486</v>
      </c>
      <c r="J4426">
        <v>806684504</v>
      </c>
      <c r="P4426">
        <v>348</v>
      </c>
      <c r="Q4426" t="s">
        <v>9197</v>
      </c>
    </row>
    <row r="4427" spans="1:17" x14ac:dyDescent="0.3">
      <c r="A4427" t="s">
        <v>4664</v>
      </c>
      <c r="B4427" t="str">
        <f>"300675"</f>
        <v>300675</v>
      </c>
      <c r="C4427" t="s">
        <v>9198</v>
      </c>
      <c r="D4427" t="s">
        <v>1272</v>
      </c>
      <c r="F4427">
        <v>246830247</v>
      </c>
      <c r="G4427">
        <v>393923140</v>
      </c>
      <c r="H4427">
        <v>321169933</v>
      </c>
      <c r="I4427">
        <v>279308028</v>
      </c>
      <c r="J4427">
        <v>191893308</v>
      </c>
      <c r="K4427">
        <v>185696162</v>
      </c>
      <c r="P4427">
        <v>85</v>
      </c>
      <c r="Q4427" t="s">
        <v>9199</v>
      </c>
    </row>
    <row r="4428" spans="1:17" x14ac:dyDescent="0.3">
      <c r="A4428" t="s">
        <v>4664</v>
      </c>
      <c r="B4428" t="str">
        <f>"300676"</f>
        <v>300676</v>
      </c>
      <c r="C4428" t="s">
        <v>9200</v>
      </c>
      <c r="D4428" t="s">
        <v>1305</v>
      </c>
      <c r="F4428">
        <v>5731570693</v>
      </c>
      <c r="G4428">
        <v>6121375694</v>
      </c>
      <c r="H4428">
        <v>1764495713</v>
      </c>
      <c r="I4428">
        <v>1431836949</v>
      </c>
      <c r="J4428">
        <v>1228493701</v>
      </c>
      <c r="K4428">
        <v>1071337474</v>
      </c>
      <c r="P4428">
        <v>1481</v>
      </c>
      <c r="Q4428" t="s">
        <v>9201</v>
      </c>
    </row>
    <row r="4429" spans="1:17" x14ac:dyDescent="0.3">
      <c r="A4429" t="s">
        <v>4664</v>
      </c>
      <c r="B4429" t="str">
        <f>"300677"</f>
        <v>300677</v>
      </c>
      <c r="C4429" t="s">
        <v>9202</v>
      </c>
      <c r="D4429" t="s">
        <v>1077</v>
      </c>
      <c r="F4429">
        <v>13674844981</v>
      </c>
      <c r="G4429">
        <v>9735108248</v>
      </c>
      <c r="H4429">
        <v>1512578735</v>
      </c>
      <c r="I4429">
        <v>1306350425</v>
      </c>
      <c r="J4429">
        <v>1324035971</v>
      </c>
      <c r="K4429">
        <v>835897289</v>
      </c>
      <c r="P4429">
        <v>1821</v>
      </c>
      <c r="Q4429" t="s">
        <v>9203</v>
      </c>
    </row>
    <row r="4430" spans="1:17" x14ac:dyDescent="0.3">
      <c r="A4430" t="s">
        <v>4664</v>
      </c>
      <c r="B4430" t="str">
        <f>"300678"</f>
        <v>300678</v>
      </c>
      <c r="C4430" t="s">
        <v>9204</v>
      </c>
      <c r="D4430" t="s">
        <v>316</v>
      </c>
      <c r="F4430">
        <v>223907546</v>
      </c>
      <c r="G4430">
        <v>188421433</v>
      </c>
      <c r="H4430">
        <v>190780224</v>
      </c>
      <c r="I4430">
        <v>190253356</v>
      </c>
      <c r="J4430">
        <v>139503466</v>
      </c>
      <c r="K4430">
        <v>119793415</v>
      </c>
      <c r="P4430">
        <v>105</v>
      </c>
      <c r="Q4430" t="s">
        <v>9205</v>
      </c>
    </row>
    <row r="4431" spans="1:17" x14ac:dyDescent="0.3">
      <c r="A4431" t="s">
        <v>4664</v>
      </c>
      <c r="B4431" t="str">
        <f>"300679"</f>
        <v>300679</v>
      </c>
      <c r="C4431" t="s">
        <v>9206</v>
      </c>
      <c r="D4431" t="s">
        <v>313</v>
      </c>
      <c r="F4431">
        <v>2308723145</v>
      </c>
      <c r="G4431">
        <v>1707350421</v>
      </c>
      <c r="H4431">
        <v>1374157855</v>
      </c>
      <c r="I4431">
        <v>1017252562</v>
      </c>
      <c r="J4431">
        <v>1248097564</v>
      </c>
      <c r="K4431">
        <v>933482778</v>
      </c>
      <c r="P4431">
        <v>334</v>
      </c>
      <c r="Q4431" t="s">
        <v>9207</v>
      </c>
    </row>
    <row r="4432" spans="1:17" x14ac:dyDescent="0.3">
      <c r="A4432" t="s">
        <v>4664</v>
      </c>
      <c r="B4432" t="str">
        <f>"300680"</f>
        <v>300680</v>
      </c>
      <c r="C4432" t="s">
        <v>9208</v>
      </c>
      <c r="D4432" t="s">
        <v>348</v>
      </c>
      <c r="F4432">
        <v>454168845</v>
      </c>
      <c r="G4432">
        <v>270546549</v>
      </c>
      <c r="H4432">
        <v>241448925</v>
      </c>
      <c r="I4432">
        <v>114344400</v>
      </c>
      <c r="J4432">
        <v>109958414</v>
      </c>
      <c r="K4432">
        <v>130432759</v>
      </c>
      <c r="P4432">
        <v>114</v>
      </c>
      <c r="Q4432" t="s">
        <v>9209</v>
      </c>
    </row>
    <row r="4433" spans="1:17" x14ac:dyDescent="0.3">
      <c r="A4433" t="s">
        <v>4664</v>
      </c>
      <c r="B4433" t="str">
        <f>"300681"</f>
        <v>300681</v>
      </c>
      <c r="C4433" t="s">
        <v>9210</v>
      </c>
      <c r="D4433" t="s">
        <v>1415</v>
      </c>
      <c r="F4433">
        <v>283120993</v>
      </c>
      <c r="G4433">
        <v>178661708</v>
      </c>
      <c r="H4433">
        <v>295526063</v>
      </c>
      <c r="I4433">
        <v>241944438</v>
      </c>
      <c r="J4433">
        <v>102978043</v>
      </c>
      <c r="K4433">
        <v>98197393</v>
      </c>
      <c r="P4433">
        <v>89</v>
      </c>
      <c r="Q4433" t="s">
        <v>9211</v>
      </c>
    </row>
    <row r="4434" spans="1:17" x14ac:dyDescent="0.3">
      <c r="A4434" t="s">
        <v>4664</v>
      </c>
      <c r="B4434" t="str">
        <f>"300682"</f>
        <v>300682</v>
      </c>
      <c r="C4434" t="s">
        <v>9212</v>
      </c>
      <c r="D4434" t="s">
        <v>316</v>
      </c>
      <c r="F4434">
        <v>2431622083</v>
      </c>
      <c r="G4434">
        <v>1713414973</v>
      </c>
      <c r="H4434">
        <v>1895793806</v>
      </c>
      <c r="I4434">
        <v>408714834</v>
      </c>
      <c r="J4434">
        <v>420393157</v>
      </c>
      <c r="K4434">
        <v>302441801</v>
      </c>
      <c r="P4434">
        <v>254</v>
      </c>
      <c r="Q4434" t="s">
        <v>9213</v>
      </c>
    </row>
    <row r="4435" spans="1:17" x14ac:dyDescent="0.3">
      <c r="A4435" t="s">
        <v>4664</v>
      </c>
      <c r="B4435" t="str">
        <f>"300683"</f>
        <v>300683</v>
      </c>
      <c r="C4435" t="s">
        <v>9214</v>
      </c>
      <c r="D4435" t="s">
        <v>1379</v>
      </c>
      <c r="F4435">
        <v>363978992</v>
      </c>
      <c r="G4435">
        <v>371064464</v>
      </c>
      <c r="H4435">
        <v>513141581</v>
      </c>
      <c r="I4435">
        <v>460307943</v>
      </c>
      <c r="J4435">
        <v>571120660</v>
      </c>
      <c r="K4435">
        <v>502918682</v>
      </c>
      <c r="P4435">
        <v>123</v>
      </c>
      <c r="Q4435" t="s">
        <v>9215</v>
      </c>
    </row>
    <row r="4436" spans="1:17" x14ac:dyDescent="0.3">
      <c r="A4436" t="s">
        <v>4664</v>
      </c>
      <c r="B4436" t="str">
        <f>"300684"</f>
        <v>300684</v>
      </c>
      <c r="C4436" t="s">
        <v>9216</v>
      </c>
      <c r="D4436" t="s">
        <v>313</v>
      </c>
      <c r="F4436">
        <v>984723401</v>
      </c>
      <c r="G4436">
        <v>746653599</v>
      </c>
      <c r="H4436">
        <v>409381198</v>
      </c>
      <c r="I4436">
        <v>615690751</v>
      </c>
      <c r="J4436">
        <v>192300827</v>
      </c>
      <c r="P4436">
        <v>348</v>
      </c>
      <c r="Q4436" t="s">
        <v>9217</v>
      </c>
    </row>
    <row r="4437" spans="1:17" x14ac:dyDescent="0.3">
      <c r="A4437" t="s">
        <v>4664</v>
      </c>
      <c r="B4437" t="str">
        <f>"300685"</f>
        <v>300685</v>
      </c>
      <c r="C4437" t="s">
        <v>9218</v>
      </c>
      <c r="D4437" t="s">
        <v>1305</v>
      </c>
      <c r="F4437">
        <v>569350520</v>
      </c>
      <c r="G4437">
        <v>457100919</v>
      </c>
      <c r="H4437">
        <v>393741010</v>
      </c>
      <c r="I4437">
        <v>286131755</v>
      </c>
      <c r="J4437">
        <v>219117902</v>
      </c>
      <c r="K4437">
        <v>164074239</v>
      </c>
      <c r="P4437">
        <v>974</v>
      </c>
      <c r="Q4437" t="s">
        <v>9219</v>
      </c>
    </row>
    <row r="4438" spans="1:17" x14ac:dyDescent="0.3">
      <c r="A4438" t="s">
        <v>4664</v>
      </c>
      <c r="B4438" t="str">
        <f>"300686"</f>
        <v>300686</v>
      </c>
      <c r="C4438" t="s">
        <v>9220</v>
      </c>
      <c r="D4438" t="s">
        <v>313</v>
      </c>
      <c r="F4438">
        <v>1678265769</v>
      </c>
      <c r="G4438">
        <v>1359736983</v>
      </c>
      <c r="H4438">
        <v>1129027972</v>
      </c>
      <c r="I4438">
        <v>392030917</v>
      </c>
      <c r="J4438">
        <v>383569119</v>
      </c>
      <c r="K4438">
        <v>523444201</v>
      </c>
      <c r="P4438">
        <v>192</v>
      </c>
      <c r="Q4438" t="s">
        <v>9221</v>
      </c>
    </row>
    <row r="4439" spans="1:17" x14ac:dyDescent="0.3">
      <c r="A4439" t="s">
        <v>4664</v>
      </c>
      <c r="B4439" t="str">
        <f>"300687"</f>
        <v>300687</v>
      </c>
      <c r="C4439" t="s">
        <v>9222</v>
      </c>
      <c r="D4439" t="s">
        <v>316</v>
      </c>
      <c r="F4439">
        <v>1422400323</v>
      </c>
      <c r="G4439">
        <v>907238030</v>
      </c>
      <c r="H4439">
        <v>799600390</v>
      </c>
      <c r="I4439">
        <v>526156319</v>
      </c>
      <c r="J4439">
        <v>542301689</v>
      </c>
      <c r="K4439">
        <v>472646495</v>
      </c>
      <c r="P4439">
        <v>266</v>
      </c>
      <c r="Q4439" t="s">
        <v>9223</v>
      </c>
    </row>
    <row r="4440" spans="1:17" x14ac:dyDescent="0.3">
      <c r="A4440" t="s">
        <v>4664</v>
      </c>
      <c r="B4440" t="str">
        <f>"300688"</f>
        <v>300688</v>
      </c>
      <c r="C4440" t="s">
        <v>9224</v>
      </c>
      <c r="D4440" t="s">
        <v>1336</v>
      </c>
      <c r="F4440">
        <v>216823298</v>
      </c>
      <c r="G4440">
        <v>86912746</v>
      </c>
      <c r="H4440">
        <v>156029821</v>
      </c>
      <c r="I4440">
        <v>231521478</v>
      </c>
      <c r="J4440">
        <v>99052094</v>
      </c>
      <c r="K4440">
        <v>129248889</v>
      </c>
      <c r="P4440">
        <v>83</v>
      </c>
      <c r="Q4440" t="s">
        <v>9225</v>
      </c>
    </row>
    <row r="4441" spans="1:17" x14ac:dyDescent="0.3">
      <c r="A4441" t="s">
        <v>4664</v>
      </c>
      <c r="B4441" t="str">
        <f>"300689"</f>
        <v>300689</v>
      </c>
      <c r="C4441" t="s">
        <v>9226</v>
      </c>
      <c r="D4441" t="s">
        <v>786</v>
      </c>
      <c r="F4441">
        <v>276964929</v>
      </c>
      <c r="G4441">
        <v>297358369</v>
      </c>
      <c r="H4441">
        <v>259186578</v>
      </c>
      <c r="I4441">
        <v>224124076</v>
      </c>
      <c r="J4441">
        <v>208785955</v>
      </c>
      <c r="K4441">
        <v>203975065</v>
      </c>
      <c r="P4441">
        <v>76</v>
      </c>
      <c r="Q4441" t="s">
        <v>9227</v>
      </c>
    </row>
    <row r="4442" spans="1:17" x14ac:dyDescent="0.3">
      <c r="A4442" t="s">
        <v>4664</v>
      </c>
      <c r="B4442" t="str">
        <f>"300690"</f>
        <v>300690</v>
      </c>
      <c r="C4442" t="s">
        <v>9228</v>
      </c>
      <c r="D4442" t="s">
        <v>950</v>
      </c>
      <c r="F4442">
        <v>869802253</v>
      </c>
      <c r="G4442">
        <v>963747558</v>
      </c>
      <c r="H4442">
        <v>527130766</v>
      </c>
      <c r="I4442">
        <v>412098105</v>
      </c>
      <c r="J4442">
        <v>432131343</v>
      </c>
      <c r="K4442">
        <v>386025022</v>
      </c>
      <c r="P4442">
        <v>214</v>
      </c>
      <c r="Q4442" t="s">
        <v>9229</v>
      </c>
    </row>
    <row r="4443" spans="1:17" x14ac:dyDescent="0.3">
      <c r="A4443" t="s">
        <v>4664</v>
      </c>
      <c r="B4443" t="str">
        <f>"300691"</f>
        <v>300691</v>
      </c>
      <c r="C4443" t="s">
        <v>9230</v>
      </c>
      <c r="D4443" t="s">
        <v>2953</v>
      </c>
      <c r="F4443">
        <v>1389311264</v>
      </c>
      <c r="G4443">
        <v>989891845</v>
      </c>
      <c r="H4443">
        <v>1026449755</v>
      </c>
      <c r="I4443">
        <v>946522948</v>
      </c>
      <c r="J4443">
        <v>693218884</v>
      </c>
      <c r="K4443">
        <v>587076879</v>
      </c>
      <c r="P4443">
        <v>186</v>
      </c>
      <c r="Q4443" t="s">
        <v>9231</v>
      </c>
    </row>
    <row r="4444" spans="1:17" x14ac:dyDescent="0.3">
      <c r="A4444" t="s">
        <v>4664</v>
      </c>
      <c r="B4444" t="str">
        <f>"300692"</f>
        <v>300692</v>
      </c>
      <c r="C4444" t="s">
        <v>9232</v>
      </c>
      <c r="D4444" t="s">
        <v>33</v>
      </c>
      <c r="F4444">
        <v>875832425</v>
      </c>
      <c r="G4444">
        <v>422159472</v>
      </c>
      <c r="H4444">
        <v>417949498</v>
      </c>
      <c r="I4444">
        <v>259072939</v>
      </c>
      <c r="J4444">
        <v>120561882</v>
      </c>
      <c r="K4444">
        <v>102113221</v>
      </c>
      <c r="P4444">
        <v>162</v>
      </c>
      <c r="Q4444" t="s">
        <v>9233</v>
      </c>
    </row>
    <row r="4445" spans="1:17" x14ac:dyDescent="0.3">
      <c r="A4445" t="s">
        <v>4664</v>
      </c>
      <c r="B4445" t="str">
        <f>"300693"</f>
        <v>300693</v>
      </c>
      <c r="C4445" t="s">
        <v>9234</v>
      </c>
      <c r="D4445" t="s">
        <v>880</v>
      </c>
      <c r="F4445">
        <v>572252901</v>
      </c>
      <c r="G4445">
        <v>384694236</v>
      </c>
      <c r="H4445">
        <v>340621746</v>
      </c>
      <c r="I4445">
        <v>286226574</v>
      </c>
      <c r="J4445">
        <v>256117111</v>
      </c>
      <c r="K4445">
        <v>242055143</v>
      </c>
      <c r="P4445">
        <v>214</v>
      </c>
      <c r="Q4445" t="s">
        <v>9235</v>
      </c>
    </row>
    <row r="4446" spans="1:17" x14ac:dyDescent="0.3">
      <c r="A4446" t="s">
        <v>4664</v>
      </c>
      <c r="B4446" t="str">
        <f>"300694"</f>
        <v>300694</v>
      </c>
      <c r="C4446" t="s">
        <v>9236</v>
      </c>
      <c r="D4446" t="s">
        <v>348</v>
      </c>
      <c r="F4446">
        <v>1094714535</v>
      </c>
      <c r="G4446">
        <v>875482874</v>
      </c>
      <c r="H4446">
        <v>923057982</v>
      </c>
      <c r="I4446">
        <v>818418711</v>
      </c>
      <c r="J4446">
        <v>654406494</v>
      </c>
      <c r="P4446">
        <v>74</v>
      </c>
      <c r="Q4446" t="s">
        <v>9237</v>
      </c>
    </row>
    <row r="4447" spans="1:17" x14ac:dyDescent="0.3">
      <c r="A4447" t="s">
        <v>4664</v>
      </c>
      <c r="B4447" t="str">
        <f>"300695"</f>
        <v>300695</v>
      </c>
      <c r="C4447" t="s">
        <v>9238</v>
      </c>
      <c r="D4447" t="s">
        <v>422</v>
      </c>
      <c r="F4447">
        <v>396783564</v>
      </c>
      <c r="G4447">
        <v>409667232</v>
      </c>
      <c r="H4447">
        <v>328384024</v>
      </c>
      <c r="I4447">
        <v>430178378</v>
      </c>
      <c r="J4447">
        <v>414799140</v>
      </c>
      <c r="K4447">
        <v>293169251</v>
      </c>
      <c r="P4447">
        <v>125</v>
      </c>
      <c r="Q4447" t="s">
        <v>9239</v>
      </c>
    </row>
    <row r="4448" spans="1:17" x14ac:dyDescent="0.3">
      <c r="A4448" t="s">
        <v>4664</v>
      </c>
      <c r="B4448" t="str">
        <f>"300696"</f>
        <v>300696</v>
      </c>
      <c r="C4448" t="s">
        <v>9240</v>
      </c>
      <c r="D4448" t="s">
        <v>98</v>
      </c>
      <c r="F4448">
        <v>210765441</v>
      </c>
      <c r="G4448">
        <v>39847676</v>
      </c>
      <c r="H4448">
        <v>125622010</v>
      </c>
      <c r="I4448">
        <v>46282449</v>
      </c>
      <c r="J4448">
        <v>105018572</v>
      </c>
      <c r="K4448">
        <v>22852118</v>
      </c>
      <c r="P4448">
        <v>222</v>
      </c>
      <c r="Q4448" t="s">
        <v>9241</v>
      </c>
    </row>
    <row r="4449" spans="1:17" x14ac:dyDescent="0.3">
      <c r="A4449" t="s">
        <v>4664</v>
      </c>
      <c r="B4449" t="str">
        <f>"300697"</f>
        <v>300697</v>
      </c>
      <c r="C4449" t="s">
        <v>9242</v>
      </c>
      <c r="D4449" t="s">
        <v>263</v>
      </c>
      <c r="F4449">
        <v>1626719070</v>
      </c>
      <c r="G4449">
        <v>1202618836</v>
      </c>
      <c r="H4449">
        <v>1667210735</v>
      </c>
      <c r="I4449">
        <v>1104409392</v>
      </c>
      <c r="J4449">
        <v>931066801</v>
      </c>
      <c r="K4449">
        <v>768826249</v>
      </c>
      <c r="P4449">
        <v>77</v>
      </c>
      <c r="Q4449" t="s">
        <v>9243</v>
      </c>
    </row>
    <row r="4450" spans="1:17" x14ac:dyDescent="0.3">
      <c r="A4450" t="s">
        <v>4664</v>
      </c>
      <c r="B4450" t="str">
        <f>"300698"</f>
        <v>300698</v>
      </c>
      <c r="C4450" t="s">
        <v>9244</v>
      </c>
      <c r="D4450" t="s">
        <v>1019</v>
      </c>
      <c r="F4450">
        <v>369122747</v>
      </c>
      <c r="G4450">
        <v>349653742</v>
      </c>
      <c r="H4450">
        <v>285166391</v>
      </c>
      <c r="I4450">
        <v>212919537</v>
      </c>
      <c r="J4450">
        <v>311116383</v>
      </c>
      <c r="K4450">
        <v>300582835</v>
      </c>
      <c r="P4450">
        <v>121</v>
      </c>
      <c r="Q4450" t="s">
        <v>9245</v>
      </c>
    </row>
    <row r="4451" spans="1:17" x14ac:dyDescent="0.3">
      <c r="A4451" t="s">
        <v>4664</v>
      </c>
      <c r="B4451" t="str">
        <f>"300699"</f>
        <v>300699</v>
      </c>
      <c r="C4451" t="s">
        <v>9246</v>
      </c>
      <c r="D4451" t="s">
        <v>98</v>
      </c>
      <c r="F4451">
        <v>1345229734</v>
      </c>
      <c r="G4451">
        <v>1242165983</v>
      </c>
      <c r="H4451">
        <v>1422713906</v>
      </c>
      <c r="I4451">
        <v>921441988</v>
      </c>
      <c r="J4451">
        <v>625563788</v>
      </c>
      <c r="K4451">
        <v>270924186</v>
      </c>
      <c r="P4451">
        <v>914</v>
      </c>
      <c r="Q4451" t="s">
        <v>9247</v>
      </c>
    </row>
    <row r="4452" spans="1:17" x14ac:dyDescent="0.3">
      <c r="A4452" t="s">
        <v>4664</v>
      </c>
      <c r="B4452" t="str">
        <f>"300700"</f>
        <v>300700</v>
      </c>
      <c r="C4452" t="s">
        <v>9248</v>
      </c>
      <c r="D4452" t="s">
        <v>404</v>
      </c>
      <c r="F4452">
        <v>143502832</v>
      </c>
      <c r="G4452">
        <v>145807561</v>
      </c>
      <c r="H4452">
        <v>79246649</v>
      </c>
      <c r="I4452">
        <v>181945012</v>
      </c>
      <c r="J4452">
        <v>217059355</v>
      </c>
      <c r="K4452">
        <v>123312646</v>
      </c>
      <c r="P4452">
        <v>140</v>
      </c>
      <c r="Q4452" t="s">
        <v>9249</v>
      </c>
    </row>
    <row r="4453" spans="1:17" x14ac:dyDescent="0.3">
      <c r="A4453" t="s">
        <v>4664</v>
      </c>
      <c r="B4453" t="str">
        <f>"300701"</f>
        <v>300701</v>
      </c>
      <c r="C4453" t="s">
        <v>9250</v>
      </c>
      <c r="D4453" t="s">
        <v>164</v>
      </c>
      <c r="F4453">
        <v>232039966</v>
      </c>
      <c r="G4453">
        <v>260703383</v>
      </c>
      <c r="H4453">
        <v>144655802</v>
      </c>
      <c r="I4453">
        <v>135392455</v>
      </c>
      <c r="J4453">
        <v>146284692</v>
      </c>
      <c r="K4453">
        <v>128901683</v>
      </c>
      <c r="P4453">
        <v>746</v>
      </c>
      <c r="Q4453" t="s">
        <v>9251</v>
      </c>
    </row>
    <row r="4454" spans="1:17" x14ac:dyDescent="0.3">
      <c r="A4454" t="s">
        <v>4664</v>
      </c>
      <c r="B4454" t="str">
        <f>"300702"</f>
        <v>300702</v>
      </c>
      <c r="C4454" t="s">
        <v>9252</v>
      </c>
      <c r="D4454" t="s">
        <v>496</v>
      </c>
      <c r="F4454">
        <v>1665450827</v>
      </c>
      <c r="G4454">
        <v>1648142074</v>
      </c>
      <c r="H4454">
        <v>1293480969</v>
      </c>
      <c r="I4454">
        <v>818006298</v>
      </c>
      <c r="J4454">
        <v>716040798</v>
      </c>
      <c r="K4454">
        <v>803707442</v>
      </c>
      <c r="P4454">
        <v>411</v>
      </c>
      <c r="Q4454" t="s">
        <v>9253</v>
      </c>
    </row>
    <row r="4455" spans="1:17" x14ac:dyDescent="0.3">
      <c r="A4455" t="s">
        <v>4664</v>
      </c>
      <c r="B4455" t="str">
        <f>"300703"</f>
        <v>300703</v>
      </c>
      <c r="C4455" t="s">
        <v>9254</v>
      </c>
      <c r="D4455" t="s">
        <v>3383</v>
      </c>
      <c r="F4455">
        <v>1011082856</v>
      </c>
      <c r="G4455">
        <v>729685661</v>
      </c>
      <c r="H4455">
        <v>630789971</v>
      </c>
      <c r="I4455">
        <v>563526683</v>
      </c>
      <c r="J4455">
        <v>526763431</v>
      </c>
      <c r="K4455">
        <v>423041198</v>
      </c>
      <c r="P4455">
        <v>109</v>
      </c>
      <c r="Q4455" t="s">
        <v>9255</v>
      </c>
    </row>
    <row r="4456" spans="1:17" x14ac:dyDescent="0.3">
      <c r="A4456" t="s">
        <v>4664</v>
      </c>
      <c r="B4456" t="str">
        <f>"300705"</f>
        <v>300705</v>
      </c>
      <c r="C4456" t="s">
        <v>9256</v>
      </c>
      <c r="D4456" t="s">
        <v>143</v>
      </c>
      <c r="F4456">
        <v>1228947707</v>
      </c>
      <c r="G4456">
        <v>694178138</v>
      </c>
      <c r="H4456">
        <v>670061589</v>
      </c>
      <c r="I4456">
        <v>556916576</v>
      </c>
      <c r="J4456">
        <v>396071161</v>
      </c>
      <c r="K4456">
        <v>297972816</v>
      </c>
      <c r="P4456">
        <v>167</v>
      </c>
      <c r="Q4456" t="s">
        <v>9257</v>
      </c>
    </row>
    <row r="4457" spans="1:17" x14ac:dyDescent="0.3">
      <c r="A4457" t="s">
        <v>4664</v>
      </c>
      <c r="B4457" t="str">
        <f>"300706"</f>
        <v>300706</v>
      </c>
      <c r="C4457" t="s">
        <v>9258</v>
      </c>
      <c r="D4457" t="s">
        <v>475</v>
      </c>
      <c r="F4457">
        <v>409385434</v>
      </c>
      <c r="G4457">
        <v>219003277</v>
      </c>
      <c r="H4457">
        <v>218396110</v>
      </c>
      <c r="I4457">
        <v>151066751</v>
      </c>
      <c r="J4457">
        <v>146377739</v>
      </c>
      <c r="K4457">
        <v>103588395</v>
      </c>
      <c r="P4457">
        <v>178</v>
      </c>
      <c r="Q4457" t="s">
        <v>9259</v>
      </c>
    </row>
    <row r="4458" spans="1:17" x14ac:dyDescent="0.3">
      <c r="A4458" t="s">
        <v>4664</v>
      </c>
      <c r="B4458" t="str">
        <f>"300707"</f>
        <v>300707</v>
      </c>
      <c r="C4458" t="s">
        <v>9260</v>
      </c>
      <c r="D4458" t="s">
        <v>985</v>
      </c>
      <c r="F4458">
        <v>429877101</v>
      </c>
      <c r="G4458">
        <v>367875629</v>
      </c>
      <c r="H4458">
        <v>312495395</v>
      </c>
      <c r="I4458">
        <v>335367620</v>
      </c>
      <c r="J4458">
        <v>340069807</v>
      </c>
      <c r="K4458">
        <v>237961328</v>
      </c>
      <c r="P4458">
        <v>140</v>
      </c>
      <c r="Q4458" t="s">
        <v>9261</v>
      </c>
    </row>
    <row r="4459" spans="1:17" x14ac:dyDescent="0.3">
      <c r="A4459" t="s">
        <v>4664</v>
      </c>
      <c r="B4459" t="str">
        <f>"300708"</f>
        <v>300708</v>
      </c>
      <c r="C4459" t="s">
        <v>9262</v>
      </c>
      <c r="D4459" t="s">
        <v>803</v>
      </c>
      <c r="F4459">
        <v>1639456492</v>
      </c>
      <c r="G4459">
        <v>1197731063</v>
      </c>
      <c r="H4459">
        <v>677941727</v>
      </c>
      <c r="I4459">
        <v>435825088</v>
      </c>
      <c r="J4459">
        <v>458745091</v>
      </c>
      <c r="K4459">
        <v>319159101</v>
      </c>
      <c r="P4459">
        <v>164</v>
      </c>
      <c r="Q4459" t="s">
        <v>9263</v>
      </c>
    </row>
    <row r="4460" spans="1:17" x14ac:dyDescent="0.3">
      <c r="A4460" t="s">
        <v>4664</v>
      </c>
      <c r="B4460" t="str">
        <f>"300709"</f>
        <v>300709</v>
      </c>
      <c r="C4460" t="s">
        <v>9264</v>
      </c>
      <c r="D4460" t="s">
        <v>313</v>
      </c>
      <c r="F4460">
        <v>1468254088</v>
      </c>
      <c r="G4460">
        <v>1028200117</v>
      </c>
      <c r="H4460">
        <v>932759464</v>
      </c>
      <c r="I4460">
        <v>572528884</v>
      </c>
      <c r="J4460">
        <v>612272441</v>
      </c>
      <c r="K4460">
        <v>455560645</v>
      </c>
      <c r="P4460">
        <v>220</v>
      </c>
      <c r="Q4460" t="s">
        <v>9265</v>
      </c>
    </row>
    <row r="4461" spans="1:17" x14ac:dyDescent="0.3">
      <c r="A4461" t="s">
        <v>4664</v>
      </c>
      <c r="B4461" t="str">
        <f>"300710"</f>
        <v>300710</v>
      </c>
      <c r="C4461" t="s">
        <v>9266</v>
      </c>
      <c r="D4461" t="s">
        <v>1019</v>
      </c>
      <c r="F4461">
        <v>487227718</v>
      </c>
      <c r="G4461">
        <v>424677065</v>
      </c>
      <c r="H4461">
        <v>420527190</v>
      </c>
      <c r="I4461">
        <v>248769653</v>
      </c>
      <c r="J4461">
        <v>295017076</v>
      </c>
      <c r="K4461">
        <v>249977655</v>
      </c>
      <c r="P4461">
        <v>107</v>
      </c>
      <c r="Q4461" t="s">
        <v>9267</v>
      </c>
    </row>
    <row r="4462" spans="1:17" x14ac:dyDescent="0.3">
      <c r="A4462" t="s">
        <v>4664</v>
      </c>
      <c r="B4462" t="str">
        <f>"300711"</f>
        <v>300711</v>
      </c>
      <c r="C4462" t="s">
        <v>9268</v>
      </c>
      <c r="D4462" t="s">
        <v>595</v>
      </c>
      <c r="F4462">
        <v>211198127</v>
      </c>
      <c r="G4462">
        <v>176235117</v>
      </c>
      <c r="H4462">
        <v>123764059</v>
      </c>
      <c r="I4462">
        <v>135663951</v>
      </c>
      <c r="J4462">
        <v>107391360</v>
      </c>
      <c r="K4462">
        <v>169825068</v>
      </c>
      <c r="P4462">
        <v>130</v>
      </c>
      <c r="Q4462" t="s">
        <v>9269</v>
      </c>
    </row>
    <row r="4463" spans="1:17" x14ac:dyDescent="0.3">
      <c r="A4463" t="s">
        <v>4664</v>
      </c>
      <c r="B4463" t="str">
        <f>"300712"</f>
        <v>300712</v>
      </c>
      <c r="C4463" t="s">
        <v>9270</v>
      </c>
      <c r="D4463" t="s">
        <v>1986</v>
      </c>
      <c r="F4463">
        <v>1045244257</v>
      </c>
      <c r="G4463">
        <v>874342340</v>
      </c>
      <c r="H4463">
        <v>359529190</v>
      </c>
      <c r="I4463">
        <v>291929062</v>
      </c>
      <c r="J4463">
        <v>341099633</v>
      </c>
      <c r="K4463">
        <v>176752204</v>
      </c>
      <c r="P4463">
        <v>125</v>
      </c>
      <c r="Q4463" t="s">
        <v>9271</v>
      </c>
    </row>
    <row r="4464" spans="1:17" x14ac:dyDescent="0.3">
      <c r="A4464" t="s">
        <v>4664</v>
      </c>
      <c r="B4464" t="str">
        <f>"300713"</f>
        <v>300713</v>
      </c>
      <c r="C4464" t="s">
        <v>9272</v>
      </c>
      <c r="D4464" t="s">
        <v>880</v>
      </c>
      <c r="F4464">
        <v>187071156</v>
      </c>
      <c r="G4464">
        <v>206869933</v>
      </c>
      <c r="H4464">
        <v>250804630</v>
      </c>
      <c r="I4464">
        <v>155455890</v>
      </c>
      <c r="J4464">
        <v>147808815</v>
      </c>
      <c r="K4464">
        <v>124537605</v>
      </c>
      <c r="P4464">
        <v>81</v>
      </c>
      <c r="Q4464" t="s">
        <v>9273</v>
      </c>
    </row>
    <row r="4465" spans="1:17" x14ac:dyDescent="0.3">
      <c r="A4465" t="s">
        <v>4664</v>
      </c>
      <c r="B4465" t="str">
        <f>"300715"</f>
        <v>300715</v>
      </c>
      <c r="C4465" t="s">
        <v>9274</v>
      </c>
      <c r="D4465" t="s">
        <v>6246</v>
      </c>
      <c r="F4465">
        <v>1047952934</v>
      </c>
      <c r="G4465">
        <v>750526889</v>
      </c>
      <c r="H4465">
        <v>595475885</v>
      </c>
      <c r="I4465">
        <v>328317871</v>
      </c>
      <c r="J4465">
        <v>294603227</v>
      </c>
      <c r="K4465">
        <v>168126768</v>
      </c>
      <c r="P4465">
        <v>413</v>
      </c>
      <c r="Q4465" t="s">
        <v>9275</v>
      </c>
    </row>
    <row r="4466" spans="1:17" x14ac:dyDescent="0.3">
      <c r="A4466" t="s">
        <v>4664</v>
      </c>
      <c r="B4466" t="str">
        <f>"300716"</f>
        <v>300716</v>
      </c>
      <c r="C4466" t="s">
        <v>9276</v>
      </c>
      <c r="D4466" t="s">
        <v>341</v>
      </c>
      <c r="F4466">
        <v>1506275351</v>
      </c>
      <c r="G4466">
        <v>1869669251</v>
      </c>
      <c r="H4466">
        <v>1826194268</v>
      </c>
      <c r="I4466">
        <v>732456077</v>
      </c>
      <c r="J4466">
        <v>541526756</v>
      </c>
      <c r="K4466">
        <v>472475592</v>
      </c>
      <c r="P4466">
        <v>59</v>
      </c>
      <c r="Q4466" t="s">
        <v>9277</v>
      </c>
    </row>
    <row r="4467" spans="1:17" x14ac:dyDescent="0.3">
      <c r="A4467" t="s">
        <v>4664</v>
      </c>
      <c r="B4467" t="str">
        <f>"300717"</f>
        <v>300717</v>
      </c>
      <c r="C4467" t="s">
        <v>9278</v>
      </c>
      <c r="D4467" t="s">
        <v>1192</v>
      </c>
      <c r="F4467">
        <v>167510627</v>
      </c>
      <c r="G4467">
        <v>154028954</v>
      </c>
      <c r="H4467">
        <v>177302608</v>
      </c>
      <c r="I4467">
        <v>189966723</v>
      </c>
      <c r="J4467">
        <v>161805176</v>
      </c>
      <c r="K4467">
        <v>136304724</v>
      </c>
      <c r="P4467">
        <v>71</v>
      </c>
      <c r="Q4467" t="s">
        <v>9279</v>
      </c>
    </row>
    <row r="4468" spans="1:17" x14ac:dyDescent="0.3">
      <c r="A4468" t="s">
        <v>4664</v>
      </c>
      <c r="B4468" t="str">
        <f>"300718"</f>
        <v>300718</v>
      </c>
      <c r="C4468" t="s">
        <v>9280</v>
      </c>
      <c r="D4468" t="s">
        <v>2001</v>
      </c>
      <c r="F4468">
        <v>599603279</v>
      </c>
      <c r="G4468">
        <v>379299477</v>
      </c>
      <c r="H4468">
        <v>402155680</v>
      </c>
      <c r="I4468">
        <v>448955149</v>
      </c>
      <c r="J4468">
        <v>375772145</v>
      </c>
      <c r="K4468">
        <v>282585020</v>
      </c>
      <c r="P4468">
        <v>100</v>
      </c>
      <c r="Q4468" t="s">
        <v>9281</v>
      </c>
    </row>
    <row r="4469" spans="1:17" x14ac:dyDescent="0.3">
      <c r="A4469" t="s">
        <v>4664</v>
      </c>
      <c r="B4469" t="str">
        <f>"300719"</f>
        <v>300719</v>
      </c>
      <c r="C4469" t="s">
        <v>9282</v>
      </c>
      <c r="D4469" t="s">
        <v>98</v>
      </c>
      <c r="F4469">
        <v>421864411</v>
      </c>
      <c r="G4469">
        <v>355668854</v>
      </c>
      <c r="H4469">
        <v>425307348</v>
      </c>
      <c r="I4469">
        <v>272811523</v>
      </c>
      <c r="J4469">
        <v>167686080</v>
      </c>
      <c r="K4469">
        <v>136687721</v>
      </c>
      <c r="P4469">
        <v>93</v>
      </c>
      <c r="Q4469" t="s">
        <v>9283</v>
      </c>
    </row>
    <row r="4470" spans="1:17" x14ac:dyDescent="0.3">
      <c r="A4470" t="s">
        <v>4664</v>
      </c>
      <c r="B4470" t="str">
        <f>"300720"</f>
        <v>300720</v>
      </c>
      <c r="C4470" t="s">
        <v>9284</v>
      </c>
      <c r="D4470" t="s">
        <v>2551</v>
      </c>
      <c r="F4470">
        <v>184959197</v>
      </c>
      <c r="G4470">
        <v>164854603</v>
      </c>
      <c r="H4470">
        <v>132415181</v>
      </c>
      <c r="I4470">
        <v>125756713</v>
      </c>
      <c r="J4470">
        <v>113174788</v>
      </c>
      <c r="K4470">
        <v>95216900</v>
      </c>
      <c r="P4470">
        <v>70</v>
      </c>
      <c r="Q4470" t="s">
        <v>9285</v>
      </c>
    </row>
    <row r="4471" spans="1:17" x14ac:dyDescent="0.3">
      <c r="A4471" t="s">
        <v>4664</v>
      </c>
      <c r="B4471" t="str">
        <f>"300721"</f>
        <v>300721</v>
      </c>
      <c r="C4471" t="s">
        <v>9286</v>
      </c>
      <c r="D4471" t="s">
        <v>386</v>
      </c>
      <c r="F4471">
        <v>1164023586</v>
      </c>
      <c r="G4471">
        <v>674225017</v>
      </c>
      <c r="H4471">
        <v>680167229</v>
      </c>
      <c r="I4471">
        <v>926672137</v>
      </c>
      <c r="J4471">
        <v>812235327</v>
      </c>
      <c r="K4471">
        <v>656980361</v>
      </c>
      <c r="P4471">
        <v>73</v>
      </c>
      <c r="Q4471" t="s">
        <v>9287</v>
      </c>
    </row>
    <row r="4472" spans="1:17" x14ac:dyDescent="0.3">
      <c r="A4472" t="s">
        <v>4664</v>
      </c>
      <c r="B4472" t="str">
        <f>"300722"</f>
        <v>300722</v>
      </c>
      <c r="C4472" t="s">
        <v>9288</v>
      </c>
      <c r="D4472" t="s">
        <v>284</v>
      </c>
      <c r="F4472">
        <v>161382574</v>
      </c>
      <c r="G4472">
        <v>137001249</v>
      </c>
      <c r="H4472">
        <v>121864550</v>
      </c>
      <c r="I4472">
        <v>121988206</v>
      </c>
      <c r="J4472">
        <v>77516695</v>
      </c>
      <c r="K4472">
        <v>88078136</v>
      </c>
      <c r="P4472">
        <v>113</v>
      </c>
      <c r="Q4472" t="s">
        <v>9289</v>
      </c>
    </row>
    <row r="4473" spans="1:17" x14ac:dyDescent="0.3">
      <c r="A4473" t="s">
        <v>4664</v>
      </c>
      <c r="B4473" t="str">
        <f>"300723"</f>
        <v>300723</v>
      </c>
      <c r="C4473" t="s">
        <v>9290</v>
      </c>
      <c r="D4473" t="s">
        <v>143</v>
      </c>
      <c r="F4473">
        <v>1720737285</v>
      </c>
      <c r="G4473">
        <v>1241321738</v>
      </c>
      <c r="H4473">
        <v>1338248929</v>
      </c>
      <c r="I4473">
        <v>1108156783</v>
      </c>
      <c r="J4473">
        <v>1044441584</v>
      </c>
      <c r="K4473">
        <v>941225003</v>
      </c>
      <c r="P4473">
        <v>222</v>
      </c>
      <c r="Q4473" t="s">
        <v>9291</v>
      </c>
    </row>
    <row r="4474" spans="1:17" x14ac:dyDescent="0.3">
      <c r="A4474" t="s">
        <v>4664</v>
      </c>
      <c r="B4474" t="str">
        <f>"300724"</f>
        <v>300724</v>
      </c>
      <c r="C4474" t="s">
        <v>9292</v>
      </c>
      <c r="D4474" t="s">
        <v>2654</v>
      </c>
      <c r="F4474">
        <v>3145897668</v>
      </c>
      <c r="G4474">
        <v>1977451095</v>
      </c>
      <c r="H4474">
        <v>1020748586</v>
      </c>
      <c r="I4474">
        <v>882796385</v>
      </c>
      <c r="J4474">
        <v>737287636</v>
      </c>
      <c r="P4474">
        <v>573</v>
      </c>
      <c r="Q4474" t="s">
        <v>9293</v>
      </c>
    </row>
    <row r="4475" spans="1:17" x14ac:dyDescent="0.3">
      <c r="A4475" t="s">
        <v>4664</v>
      </c>
      <c r="B4475" t="str">
        <f>"300725"</f>
        <v>300725</v>
      </c>
      <c r="C4475" t="s">
        <v>9294</v>
      </c>
      <c r="D4475" t="s">
        <v>1461</v>
      </c>
      <c r="F4475">
        <v>940516467</v>
      </c>
      <c r="G4475">
        <v>750054105</v>
      </c>
      <c r="H4475">
        <v>423158416</v>
      </c>
      <c r="I4475">
        <v>361250434</v>
      </c>
      <c r="J4475">
        <v>208374952</v>
      </c>
      <c r="K4475">
        <v>153368052</v>
      </c>
      <c r="P4475">
        <v>1114</v>
      </c>
      <c r="Q4475" t="s">
        <v>9295</v>
      </c>
    </row>
    <row r="4476" spans="1:17" x14ac:dyDescent="0.3">
      <c r="A4476" t="s">
        <v>4664</v>
      </c>
      <c r="B4476" t="str">
        <f>"300726"</f>
        <v>300726</v>
      </c>
      <c r="C4476" t="s">
        <v>9296</v>
      </c>
      <c r="D4476" t="s">
        <v>1136</v>
      </c>
      <c r="F4476">
        <v>1031340100</v>
      </c>
      <c r="G4476">
        <v>604214682</v>
      </c>
      <c r="H4476">
        <v>483295522</v>
      </c>
      <c r="I4476">
        <v>305366542</v>
      </c>
      <c r="J4476">
        <v>287570437</v>
      </c>
      <c r="K4476">
        <v>239640523</v>
      </c>
      <c r="P4476">
        <v>748</v>
      </c>
      <c r="Q4476" t="s">
        <v>9297</v>
      </c>
    </row>
    <row r="4477" spans="1:17" x14ac:dyDescent="0.3">
      <c r="A4477" t="s">
        <v>4664</v>
      </c>
      <c r="B4477" t="str">
        <f>"300727"</f>
        <v>300727</v>
      </c>
      <c r="C4477" t="s">
        <v>9298</v>
      </c>
      <c r="D4477" t="s">
        <v>1205</v>
      </c>
      <c r="F4477">
        <v>616363117</v>
      </c>
      <c r="G4477">
        <v>324507835</v>
      </c>
      <c r="H4477">
        <v>359190284</v>
      </c>
      <c r="I4477">
        <v>297865162</v>
      </c>
      <c r="J4477">
        <v>183973310</v>
      </c>
      <c r="K4477">
        <v>121514056</v>
      </c>
      <c r="P4477">
        <v>73</v>
      </c>
      <c r="Q4477" t="s">
        <v>9299</v>
      </c>
    </row>
    <row r="4478" spans="1:17" x14ac:dyDescent="0.3">
      <c r="A4478" t="s">
        <v>4664</v>
      </c>
      <c r="B4478" t="str">
        <f>"300728"</f>
        <v>300728</v>
      </c>
      <c r="C4478" t="s">
        <v>9300</v>
      </c>
      <c r="J4478">
        <v>0</v>
      </c>
      <c r="K4478">
        <v>0</v>
      </c>
      <c r="P4478">
        <v>10</v>
      </c>
      <c r="Q4478" t="s">
        <v>9301</v>
      </c>
    </row>
    <row r="4479" spans="1:17" x14ac:dyDescent="0.3">
      <c r="A4479" t="s">
        <v>4664</v>
      </c>
      <c r="B4479" t="str">
        <f>"300729"</f>
        <v>300729</v>
      </c>
      <c r="C4479" t="s">
        <v>9302</v>
      </c>
      <c r="D4479" t="s">
        <v>2436</v>
      </c>
      <c r="F4479">
        <v>1949854359</v>
      </c>
      <c r="G4479">
        <v>1068969408</v>
      </c>
      <c r="H4479">
        <v>666440874</v>
      </c>
      <c r="I4479">
        <v>608073081</v>
      </c>
      <c r="J4479">
        <v>446362915</v>
      </c>
      <c r="K4479">
        <v>302894135</v>
      </c>
      <c r="P4479">
        <v>219</v>
      </c>
      <c r="Q4479" t="s">
        <v>9303</v>
      </c>
    </row>
    <row r="4480" spans="1:17" x14ac:dyDescent="0.3">
      <c r="A4480" t="s">
        <v>4664</v>
      </c>
      <c r="B4480" t="str">
        <f>"300730"</f>
        <v>300730</v>
      </c>
      <c r="C4480" t="s">
        <v>9304</v>
      </c>
      <c r="D4480" t="s">
        <v>945</v>
      </c>
      <c r="F4480">
        <v>207392197</v>
      </c>
      <c r="G4480">
        <v>191239803</v>
      </c>
      <c r="H4480">
        <v>188080825</v>
      </c>
      <c r="I4480">
        <v>157212652</v>
      </c>
      <c r="J4480">
        <v>96796853</v>
      </c>
      <c r="K4480">
        <v>107487366</v>
      </c>
      <c r="P4480">
        <v>98</v>
      </c>
      <c r="Q4480" t="s">
        <v>9305</v>
      </c>
    </row>
    <row r="4481" spans="1:17" x14ac:dyDescent="0.3">
      <c r="A4481" t="s">
        <v>4664</v>
      </c>
      <c r="B4481" t="str">
        <f>"300731"</f>
        <v>300731</v>
      </c>
      <c r="C4481" t="s">
        <v>9306</v>
      </c>
      <c r="D4481" t="s">
        <v>2460</v>
      </c>
      <c r="F4481">
        <v>408679082</v>
      </c>
      <c r="G4481">
        <v>248286313</v>
      </c>
      <c r="H4481">
        <v>260086727</v>
      </c>
      <c r="I4481">
        <v>222249362</v>
      </c>
      <c r="J4481">
        <v>176882348</v>
      </c>
      <c r="K4481">
        <v>146934833</v>
      </c>
      <c r="P4481">
        <v>186</v>
      </c>
      <c r="Q4481" t="s">
        <v>9307</v>
      </c>
    </row>
    <row r="4482" spans="1:17" x14ac:dyDescent="0.3">
      <c r="A4482" t="s">
        <v>4664</v>
      </c>
      <c r="B4482" t="str">
        <f>"300732"</f>
        <v>300732</v>
      </c>
      <c r="C4482" t="s">
        <v>9308</v>
      </c>
      <c r="D4482" t="s">
        <v>1272</v>
      </c>
      <c r="F4482">
        <v>1212579034</v>
      </c>
      <c r="G4482">
        <v>842324143</v>
      </c>
      <c r="H4482">
        <v>792230584</v>
      </c>
      <c r="I4482">
        <v>466986319</v>
      </c>
      <c r="J4482">
        <v>451270041</v>
      </c>
      <c r="K4482">
        <v>367161030</v>
      </c>
      <c r="P4482">
        <v>151</v>
      </c>
      <c r="Q4482" t="s">
        <v>9309</v>
      </c>
    </row>
    <row r="4483" spans="1:17" x14ac:dyDescent="0.3">
      <c r="A4483" t="s">
        <v>4664</v>
      </c>
      <c r="B4483" t="str">
        <f>"300733"</f>
        <v>300733</v>
      </c>
      <c r="C4483" t="s">
        <v>9310</v>
      </c>
      <c r="D4483" t="s">
        <v>348</v>
      </c>
      <c r="F4483">
        <v>457518781</v>
      </c>
      <c r="G4483">
        <v>372320778</v>
      </c>
      <c r="H4483">
        <v>365990949</v>
      </c>
      <c r="I4483">
        <v>438832002</v>
      </c>
      <c r="J4483">
        <v>431038300</v>
      </c>
      <c r="P4483">
        <v>60</v>
      </c>
      <c r="Q4483" t="s">
        <v>9311</v>
      </c>
    </row>
    <row r="4484" spans="1:17" x14ac:dyDescent="0.3">
      <c r="A4484" t="s">
        <v>4664</v>
      </c>
      <c r="B4484" t="str">
        <f>"300735"</f>
        <v>300735</v>
      </c>
      <c r="C4484" t="s">
        <v>9312</v>
      </c>
      <c r="D4484" t="s">
        <v>313</v>
      </c>
      <c r="F4484">
        <v>1697550864</v>
      </c>
      <c r="G4484">
        <v>2081453635</v>
      </c>
      <c r="H4484">
        <v>1860160911</v>
      </c>
      <c r="I4484">
        <v>1147177862</v>
      </c>
      <c r="J4484">
        <v>1030272561</v>
      </c>
      <c r="P4484">
        <v>453</v>
      </c>
      <c r="Q4484" t="s">
        <v>9313</v>
      </c>
    </row>
    <row r="4485" spans="1:17" x14ac:dyDescent="0.3">
      <c r="A4485" t="s">
        <v>4664</v>
      </c>
      <c r="B4485" t="str">
        <f>"300736"</f>
        <v>300736</v>
      </c>
      <c r="C4485" t="s">
        <v>9314</v>
      </c>
      <c r="D4485" t="s">
        <v>651</v>
      </c>
      <c r="F4485">
        <v>290918729</v>
      </c>
      <c r="G4485">
        <v>371363374</v>
      </c>
      <c r="H4485">
        <v>248224723</v>
      </c>
      <c r="I4485">
        <v>407951644</v>
      </c>
      <c r="J4485">
        <v>609712230</v>
      </c>
      <c r="K4485">
        <v>563625868</v>
      </c>
      <c r="P4485">
        <v>114</v>
      </c>
      <c r="Q4485" t="s">
        <v>9315</v>
      </c>
    </row>
    <row r="4486" spans="1:17" x14ac:dyDescent="0.3">
      <c r="A4486" t="s">
        <v>4664</v>
      </c>
      <c r="B4486" t="str">
        <f>"300737"</f>
        <v>300737</v>
      </c>
      <c r="C4486" t="s">
        <v>9316</v>
      </c>
      <c r="D4486" t="s">
        <v>6246</v>
      </c>
      <c r="F4486">
        <v>4745802717</v>
      </c>
      <c r="G4486">
        <v>3933690166</v>
      </c>
      <c r="H4486">
        <v>3029291447</v>
      </c>
      <c r="I4486">
        <v>1875798012</v>
      </c>
      <c r="J4486">
        <v>1334670808</v>
      </c>
      <c r="K4486">
        <v>1013370545</v>
      </c>
      <c r="P4486">
        <v>459</v>
      </c>
      <c r="Q4486" t="s">
        <v>9317</v>
      </c>
    </row>
    <row r="4487" spans="1:17" x14ac:dyDescent="0.3">
      <c r="A4487" t="s">
        <v>4664</v>
      </c>
      <c r="B4487" t="str">
        <f>"300738"</f>
        <v>300738</v>
      </c>
      <c r="C4487" t="s">
        <v>9318</v>
      </c>
      <c r="D4487" t="s">
        <v>316</v>
      </c>
      <c r="F4487">
        <v>959564568</v>
      </c>
      <c r="G4487">
        <v>729827067</v>
      </c>
      <c r="H4487">
        <v>472828468</v>
      </c>
      <c r="I4487">
        <v>382377578</v>
      </c>
      <c r="J4487">
        <v>276827441</v>
      </c>
      <c r="K4487">
        <v>0</v>
      </c>
      <c r="P4487">
        <v>300</v>
      </c>
      <c r="Q4487" t="s">
        <v>9319</v>
      </c>
    </row>
    <row r="4488" spans="1:17" x14ac:dyDescent="0.3">
      <c r="A4488" t="s">
        <v>4664</v>
      </c>
      <c r="B4488" t="str">
        <f>"300739"</f>
        <v>300739</v>
      </c>
      <c r="C4488" t="s">
        <v>9320</v>
      </c>
      <c r="D4488" t="s">
        <v>425</v>
      </c>
      <c r="F4488">
        <v>1217364007</v>
      </c>
      <c r="G4488">
        <v>1014347078</v>
      </c>
      <c r="H4488">
        <v>862233099</v>
      </c>
      <c r="I4488">
        <v>892149970</v>
      </c>
      <c r="J4488">
        <v>750493103</v>
      </c>
      <c r="P4488">
        <v>170</v>
      </c>
      <c r="Q4488" t="s">
        <v>9321</v>
      </c>
    </row>
    <row r="4489" spans="1:17" x14ac:dyDescent="0.3">
      <c r="A4489" t="s">
        <v>4664</v>
      </c>
      <c r="B4489" t="str">
        <f>"300740"</f>
        <v>300740</v>
      </c>
      <c r="C4489" t="s">
        <v>9322</v>
      </c>
      <c r="D4489" t="s">
        <v>709</v>
      </c>
      <c r="F4489">
        <v>3376166596</v>
      </c>
      <c r="G4489">
        <v>2311087421</v>
      </c>
      <c r="H4489">
        <v>1814502549</v>
      </c>
      <c r="I4489">
        <v>1551286801</v>
      </c>
      <c r="J4489">
        <v>1148860632</v>
      </c>
      <c r="P4489">
        <v>256</v>
      </c>
      <c r="Q4489" t="s">
        <v>9323</v>
      </c>
    </row>
    <row r="4490" spans="1:17" x14ac:dyDescent="0.3">
      <c r="A4490" t="s">
        <v>4664</v>
      </c>
      <c r="B4490" t="str">
        <f>"300741"</f>
        <v>300741</v>
      </c>
      <c r="C4490" t="s">
        <v>9324</v>
      </c>
      <c r="D4490" t="s">
        <v>677</v>
      </c>
      <c r="F4490">
        <v>1770276916</v>
      </c>
      <c r="G4490">
        <v>1716929945</v>
      </c>
      <c r="H4490">
        <v>1850333831</v>
      </c>
      <c r="I4490">
        <v>1849329734</v>
      </c>
      <c r="J4490">
        <v>2009020256</v>
      </c>
      <c r="P4490">
        <v>458</v>
      </c>
      <c r="Q4490" t="s">
        <v>9325</v>
      </c>
    </row>
    <row r="4491" spans="1:17" x14ac:dyDescent="0.3">
      <c r="A4491" t="s">
        <v>4664</v>
      </c>
      <c r="B4491" t="str">
        <f>"300742"</f>
        <v>300742</v>
      </c>
      <c r="C4491" t="s">
        <v>9326</v>
      </c>
      <c r="D4491" t="s">
        <v>348</v>
      </c>
      <c r="F4491">
        <v>212047313</v>
      </c>
      <c r="G4491">
        <v>237406521</v>
      </c>
      <c r="H4491">
        <v>58370288</v>
      </c>
      <c r="I4491">
        <v>342318872</v>
      </c>
      <c r="J4491">
        <v>533589384</v>
      </c>
      <c r="P4491">
        <v>90</v>
      </c>
      <c r="Q4491" t="s">
        <v>9327</v>
      </c>
    </row>
    <row r="4492" spans="1:17" x14ac:dyDescent="0.3">
      <c r="A4492" t="s">
        <v>4664</v>
      </c>
      <c r="B4492" t="str">
        <f>"300743"</f>
        <v>300743</v>
      </c>
      <c r="C4492" t="s">
        <v>9328</v>
      </c>
      <c r="D4492" t="s">
        <v>236</v>
      </c>
      <c r="F4492">
        <v>404568240</v>
      </c>
      <c r="G4492">
        <v>317988348</v>
      </c>
      <c r="H4492">
        <v>312606233</v>
      </c>
      <c r="I4492">
        <v>322453115</v>
      </c>
      <c r="J4492">
        <v>277361931</v>
      </c>
      <c r="P4492">
        <v>54</v>
      </c>
      <c r="Q4492" t="s">
        <v>9329</v>
      </c>
    </row>
    <row r="4493" spans="1:17" x14ac:dyDescent="0.3">
      <c r="A4493" t="s">
        <v>4664</v>
      </c>
      <c r="B4493" t="str">
        <f>"300745"</f>
        <v>300745</v>
      </c>
      <c r="C4493" t="s">
        <v>9330</v>
      </c>
      <c r="D4493" t="s">
        <v>985</v>
      </c>
      <c r="F4493">
        <v>415313882</v>
      </c>
      <c r="G4493">
        <v>457381621</v>
      </c>
      <c r="H4493">
        <v>762748846</v>
      </c>
      <c r="I4493">
        <v>257556492</v>
      </c>
      <c r="J4493">
        <v>335593204</v>
      </c>
      <c r="P4493">
        <v>76</v>
      </c>
      <c r="Q4493" t="s">
        <v>9331</v>
      </c>
    </row>
    <row r="4494" spans="1:17" x14ac:dyDescent="0.3">
      <c r="A4494" t="s">
        <v>4664</v>
      </c>
      <c r="B4494" t="str">
        <f>"300746"</f>
        <v>300746</v>
      </c>
      <c r="C4494" t="s">
        <v>9332</v>
      </c>
      <c r="D4494" t="s">
        <v>1272</v>
      </c>
      <c r="F4494">
        <v>1746418809</v>
      </c>
      <c r="G4494">
        <v>1400541799</v>
      </c>
      <c r="H4494">
        <v>749341165</v>
      </c>
      <c r="I4494">
        <v>666178586</v>
      </c>
      <c r="J4494">
        <v>415720917</v>
      </c>
      <c r="P4494">
        <v>66</v>
      </c>
      <c r="Q4494" t="s">
        <v>9333</v>
      </c>
    </row>
    <row r="4495" spans="1:17" x14ac:dyDescent="0.3">
      <c r="A4495" t="s">
        <v>4664</v>
      </c>
      <c r="B4495" t="str">
        <f>"300747"</f>
        <v>300747</v>
      </c>
      <c r="C4495" t="s">
        <v>9334</v>
      </c>
      <c r="D4495" t="s">
        <v>3784</v>
      </c>
      <c r="F4495">
        <v>1543598062</v>
      </c>
      <c r="G4495">
        <v>688103577</v>
      </c>
      <c r="H4495">
        <v>781947597</v>
      </c>
      <c r="I4495">
        <v>731134411</v>
      </c>
      <c r="J4495">
        <v>468643267</v>
      </c>
      <c r="P4495">
        <v>3347</v>
      </c>
      <c r="Q4495" t="s">
        <v>9335</v>
      </c>
    </row>
    <row r="4496" spans="1:17" x14ac:dyDescent="0.3">
      <c r="A4496" t="s">
        <v>4664</v>
      </c>
      <c r="B4496" t="str">
        <f>"300748"</f>
        <v>300748</v>
      </c>
      <c r="C4496" t="s">
        <v>9336</v>
      </c>
      <c r="D4496" t="s">
        <v>808</v>
      </c>
      <c r="F4496">
        <v>2272811573</v>
      </c>
      <c r="G4496">
        <v>1304770021</v>
      </c>
      <c r="H4496">
        <v>967482241</v>
      </c>
      <c r="I4496">
        <v>854231759</v>
      </c>
      <c r="J4496">
        <v>567930371</v>
      </c>
      <c r="P4496">
        <v>341</v>
      </c>
      <c r="Q4496" t="s">
        <v>9337</v>
      </c>
    </row>
    <row r="4497" spans="1:17" x14ac:dyDescent="0.3">
      <c r="A4497" t="s">
        <v>4664</v>
      </c>
      <c r="B4497" t="str">
        <f>"300749"</f>
        <v>300749</v>
      </c>
      <c r="C4497" t="s">
        <v>9338</v>
      </c>
      <c r="D4497" t="s">
        <v>2647</v>
      </c>
      <c r="F4497">
        <v>847056303</v>
      </c>
      <c r="G4497">
        <v>598992874</v>
      </c>
      <c r="H4497">
        <v>605691355</v>
      </c>
      <c r="I4497">
        <v>665788205</v>
      </c>
      <c r="J4497">
        <v>598372506</v>
      </c>
      <c r="P4497">
        <v>97</v>
      </c>
      <c r="Q4497" t="s">
        <v>9339</v>
      </c>
    </row>
    <row r="4498" spans="1:17" x14ac:dyDescent="0.3">
      <c r="A4498" t="s">
        <v>4664</v>
      </c>
      <c r="B4498" t="str">
        <f>"300750"</f>
        <v>300750</v>
      </c>
      <c r="C4498" t="s">
        <v>9340</v>
      </c>
      <c r="D4498" t="s">
        <v>359</v>
      </c>
      <c r="F4498">
        <v>83626746277</v>
      </c>
      <c r="G4498">
        <v>36371199567</v>
      </c>
      <c r="H4498">
        <v>38036360575</v>
      </c>
      <c r="I4498">
        <v>21070111447</v>
      </c>
      <c r="J4498">
        <v>10333130705</v>
      </c>
      <c r="P4498">
        <v>4825</v>
      </c>
      <c r="Q4498" t="s">
        <v>9341</v>
      </c>
    </row>
    <row r="4499" spans="1:17" x14ac:dyDescent="0.3">
      <c r="A4499" t="s">
        <v>4664</v>
      </c>
      <c r="B4499" t="str">
        <f>"300751"</f>
        <v>300751</v>
      </c>
      <c r="C4499" t="s">
        <v>9342</v>
      </c>
      <c r="D4499" t="s">
        <v>2654</v>
      </c>
      <c r="F4499">
        <v>1494702475</v>
      </c>
      <c r="G4499">
        <v>801353199</v>
      </c>
      <c r="H4499">
        <v>639450884</v>
      </c>
      <c r="I4499">
        <v>0</v>
      </c>
      <c r="J4499">
        <v>0</v>
      </c>
      <c r="P4499">
        <v>627</v>
      </c>
      <c r="Q4499" t="s">
        <v>9343</v>
      </c>
    </row>
    <row r="4500" spans="1:17" x14ac:dyDescent="0.3">
      <c r="A4500" t="s">
        <v>4664</v>
      </c>
      <c r="B4500" t="str">
        <f>"300752"</f>
        <v>300752</v>
      </c>
      <c r="C4500" t="s">
        <v>9344</v>
      </c>
      <c r="D4500" t="s">
        <v>803</v>
      </c>
      <c r="F4500">
        <v>1307071113</v>
      </c>
      <c r="G4500">
        <v>1387635057</v>
      </c>
      <c r="H4500">
        <v>1094998342</v>
      </c>
      <c r="I4500">
        <v>981193576</v>
      </c>
      <c r="P4500">
        <v>140</v>
      </c>
      <c r="Q4500" t="s">
        <v>9345</v>
      </c>
    </row>
    <row r="4501" spans="1:17" x14ac:dyDescent="0.3">
      <c r="A4501" t="s">
        <v>4664</v>
      </c>
      <c r="B4501" t="str">
        <f>"300753"</f>
        <v>300753</v>
      </c>
      <c r="C4501" t="s">
        <v>9346</v>
      </c>
      <c r="D4501" t="s">
        <v>122</v>
      </c>
      <c r="F4501">
        <v>313397534</v>
      </c>
      <c r="G4501">
        <v>222022474</v>
      </c>
      <c r="H4501">
        <v>247128357</v>
      </c>
      <c r="I4501">
        <v>217088970</v>
      </c>
      <c r="J4501">
        <v>178412456</v>
      </c>
      <c r="P4501">
        <v>243</v>
      </c>
      <c r="Q4501" t="s">
        <v>9347</v>
      </c>
    </row>
    <row r="4502" spans="1:17" x14ac:dyDescent="0.3">
      <c r="A4502" t="s">
        <v>4664</v>
      </c>
      <c r="B4502" t="str">
        <f>"300755"</f>
        <v>300755</v>
      </c>
      <c r="C4502" t="s">
        <v>9348</v>
      </c>
      <c r="D4502" t="s">
        <v>295</v>
      </c>
      <c r="F4502">
        <v>6534351181</v>
      </c>
      <c r="G4502">
        <v>3918056976</v>
      </c>
      <c r="H4502">
        <v>3225486401</v>
      </c>
      <c r="I4502">
        <v>0</v>
      </c>
      <c r="J4502">
        <v>0</v>
      </c>
      <c r="P4502">
        <v>246</v>
      </c>
      <c r="Q4502" t="s">
        <v>9349</v>
      </c>
    </row>
    <row r="4503" spans="1:17" x14ac:dyDescent="0.3">
      <c r="A4503" t="s">
        <v>4664</v>
      </c>
      <c r="B4503" t="str">
        <f>"300756"</f>
        <v>300756</v>
      </c>
      <c r="C4503" t="s">
        <v>9350</v>
      </c>
      <c r="D4503" t="s">
        <v>2904</v>
      </c>
      <c r="F4503">
        <v>372227891</v>
      </c>
      <c r="G4503">
        <v>337346108</v>
      </c>
      <c r="H4503">
        <v>443609757</v>
      </c>
      <c r="I4503">
        <v>550221686</v>
      </c>
      <c r="J4503">
        <v>321159690</v>
      </c>
      <c r="P4503">
        <v>76</v>
      </c>
      <c r="Q4503" t="s">
        <v>9351</v>
      </c>
    </row>
    <row r="4504" spans="1:17" x14ac:dyDescent="0.3">
      <c r="A4504" t="s">
        <v>4664</v>
      </c>
      <c r="B4504" t="str">
        <f>"300757"</f>
        <v>300757</v>
      </c>
      <c r="C4504" t="s">
        <v>9352</v>
      </c>
      <c r="D4504" t="s">
        <v>3450</v>
      </c>
      <c r="F4504">
        <v>362727725</v>
      </c>
      <c r="G4504">
        <v>173518943</v>
      </c>
      <c r="H4504">
        <v>407791450</v>
      </c>
      <c r="I4504">
        <v>267194961</v>
      </c>
      <c r="J4504">
        <v>252287513</v>
      </c>
      <c r="P4504">
        <v>76</v>
      </c>
      <c r="Q4504" t="s">
        <v>9353</v>
      </c>
    </row>
    <row r="4505" spans="1:17" x14ac:dyDescent="0.3">
      <c r="A4505" t="s">
        <v>4664</v>
      </c>
      <c r="B4505" t="str">
        <f>"300758"</f>
        <v>300758</v>
      </c>
      <c r="C4505" t="s">
        <v>9354</v>
      </c>
      <c r="D4505" t="s">
        <v>2570</v>
      </c>
      <c r="F4505">
        <v>555832420</v>
      </c>
      <c r="G4505">
        <v>455837601</v>
      </c>
      <c r="H4505">
        <v>319691646</v>
      </c>
      <c r="I4505">
        <v>295565126</v>
      </c>
      <c r="J4505">
        <v>224098062</v>
      </c>
      <c r="P4505">
        <v>104</v>
      </c>
      <c r="Q4505" t="s">
        <v>9355</v>
      </c>
    </row>
    <row r="4506" spans="1:17" x14ac:dyDescent="0.3">
      <c r="A4506" t="s">
        <v>4664</v>
      </c>
      <c r="B4506" t="str">
        <f>"300759"</f>
        <v>300759</v>
      </c>
      <c r="C4506" t="s">
        <v>9356</v>
      </c>
      <c r="D4506" t="s">
        <v>1461</v>
      </c>
      <c r="F4506">
        <v>5410437912</v>
      </c>
      <c r="G4506">
        <v>3628518030</v>
      </c>
      <c r="H4506">
        <v>2521845896</v>
      </c>
      <c r="I4506">
        <v>2002688428</v>
      </c>
      <c r="J4506">
        <v>1537336595</v>
      </c>
      <c r="P4506">
        <v>1080</v>
      </c>
      <c r="Q4506" t="s">
        <v>9357</v>
      </c>
    </row>
    <row r="4507" spans="1:17" x14ac:dyDescent="0.3">
      <c r="A4507" t="s">
        <v>4664</v>
      </c>
      <c r="B4507" t="str">
        <f>"300760"</f>
        <v>300760</v>
      </c>
      <c r="C4507" t="s">
        <v>9358</v>
      </c>
      <c r="D4507" t="s">
        <v>122</v>
      </c>
      <c r="F4507">
        <v>19216268567</v>
      </c>
      <c r="G4507">
        <v>18545334359</v>
      </c>
      <c r="H4507">
        <v>13127645498</v>
      </c>
      <c r="I4507">
        <v>10865115564</v>
      </c>
      <c r="J4507">
        <v>9207776906</v>
      </c>
      <c r="P4507">
        <v>4593</v>
      </c>
      <c r="Q4507" t="s">
        <v>9359</v>
      </c>
    </row>
    <row r="4508" spans="1:17" x14ac:dyDescent="0.3">
      <c r="A4508" t="s">
        <v>4664</v>
      </c>
      <c r="B4508" t="str">
        <f>"300761"</f>
        <v>300761</v>
      </c>
      <c r="C4508" t="s">
        <v>9360</v>
      </c>
      <c r="D4508" t="s">
        <v>6173</v>
      </c>
      <c r="F4508">
        <v>7955168596</v>
      </c>
      <c r="G4508">
        <v>5872323090</v>
      </c>
      <c r="H4508">
        <v>6228641553</v>
      </c>
      <c r="I4508">
        <v>5366831259</v>
      </c>
      <c r="J4508">
        <v>3831089463</v>
      </c>
      <c r="P4508">
        <v>369</v>
      </c>
      <c r="Q4508" t="s">
        <v>9361</v>
      </c>
    </row>
    <row r="4509" spans="1:17" x14ac:dyDescent="0.3">
      <c r="A4509" t="s">
        <v>4664</v>
      </c>
      <c r="B4509" t="str">
        <f>"300762"</f>
        <v>300762</v>
      </c>
      <c r="C4509" t="s">
        <v>9362</v>
      </c>
      <c r="D4509" t="s">
        <v>1136</v>
      </c>
      <c r="F4509">
        <v>384034209</v>
      </c>
      <c r="G4509">
        <v>220699367</v>
      </c>
      <c r="H4509">
        <v>108934431</v>
      </c>
      <c r="I4509">
        <v>128291916</v>
      </c>
      <c r="P4509">
        <v>181</v>
      </c>
      <c r="Q4509" t="s">
        <v>9363</v>
      </c>
    </row>
    <row r="4510" spans="1:17" x14ac:dyDescent="0.3">
      <c r="A4510" t="s">
        <v>4664</v>
      </c>
      <c r="B4510" t="str">
        <f>"300763"</f>
        <v>300763</v>
      </c>
      <c r="C4510" t="s">
        <v>9364</v>
      </c>
      <c r="D4510" t="s">
        <v>3797</v>
      </c>
      <c r="F4510">
        <v>1708635233</v>
      </c>
      <c r="G4510">
        <v>1000460784</v>
      </c>
      <c r="H4510">
        <v>599145592</v>
      </c>
      <c r="I4510">
        <v>441736685</v>
      </c>
      <c r="P4510">
        <v>582</v>
      </c>
      <c r="Q4510" t="s">
        <v>9365</v>
      </c>
    </row>
    <row r="4511" spans="1:17" x14ac:dyDescent="0.3">
      <c r="A4511" t="s">
        <v>4664</v>
      </c>
      <c r="B4511" t="str">
        <f>"300765"</f>
        <v>300765</v>
      </c>
      <c r="C4511" t="s">
        <v>9366</v>
      </c>
      <c r="D4511" t="s">
        <v>496</v>
      </c>
      <c r="F4511">
        <v>1006444587</v>
      </c>
      <c r="G4511">
        <v>1064216590</v>
      </c>
      <c r="H4511">
        <v>886314290</v>
      </c>
      <c r="I4511">
        <v>805188901</v>
      </c>
      <c r="P4511">
        <v>173</v>
      </c>
      <c r="Q4511" t="s">
        <v>9367</v>
      </c>
    </row>
    <row r="4512" spans="1:17" x14ac:dyDescent="0.3">
      <c r="A4512" t="s">
        <v>4664</v>
      </c>
      <c r="B4512" t="str">
        <f>"300766"</f>
        <v>300766</v>
      </c>
      <c r="C4512" t="s">
        <v>9368</v>
      </c>
      <c r="D4512" t="s">
        <v>1189</v>
      </c>
      <c r="F4512">
        <v>416936646</v>
      </c>
      <c r="G4512">
        <v>398086608</v>
      </c>
      <c r="H4512">
        <v>619516442</v>
      </c>
      <c r="I4512">
        <v>419008170</v>
      </c>
      <c r="P4512">
        <v>140</v>
      </c>
      <c r="Q4512" t="s">
        <v>9369</v>
      </c>
    </row>
    <row r="4513" spans="1:17" x14ac:dyDescent="0.3">
      <c r="A4513" t="s">
        <v>4664</v>
      </c>
      <c r="B4513" t="str">
        <f>"300767"</f>
        <v>300767</v>
      </c>
      <c r="C4513" t="s">
        <v>9370</v>
      </c>
      <c r="D4513" t="s">
        <v>2460</v>
      </c>
      <c r="F4513">
        <v>403682400</v>
      </c>
      <c r="G4513">
        <v>399366097</v>
      </c>
      <c r="H4513">
        <v>248977698</v>
      </c>
      <c r="I4513">
        <v>300817989</v>
      </c>
      <c r="P4513">
        <v>197</v>
      </c>
      <c r="Q4513" t="s">
        <v>9371</v>
      </c>
    </row>
    <row r="4514" spans="1:17" x14ac:dyDescent="0.3">
      <c r="A4514" t="s">
        <v>4664</v>
      </c>
      <c r="B4514" t="str">
        <f>"300768"</f>
        <v>300768</v>
      </c>
      <c r="C4514" t="s">
        <v>9372</v>
      </c>
      <c r="D4514" t="s">
        <v>1189</v>
      </c>
      <c r="F4514">
        <v>785460211</v>
      </c>
      <c r="G4514">
        <v>604602148</v>
      </c>
      <c r="H4514">
        <v>725650344</v>
      </c>
      <c r="I4514">
        <v>674050355</v>
      </c>
      <c r="P4514">
        <v>240</v>
      </c>
      <c r="Q4514" t="s">
        <v>9373</v>
      </c>
    </row>
    <row r="4515" spans="1:17" x14ac:dyDescent="0.3">
      <c r="A4515" t="s">
        <v>4664</v>
      </c>
      <c r="B4515" t="str">
        <f>"300769"</f>
        <v>300769</v>
      </c>
      <c r="C4515" t="s">
        <v>9374</v>
      </c>
      <c r="D4515" t="s">
        <v>1786</v>
      </c>
      <c r="F4515">
        <v>491188121</v>
      </c>
      <c r="G4515">
        <v>652823846</v>
      </c>
      <c r="H4515">
        <v>639957651</v>
      </c>
      <c r="I4515">
        <v>556120397</v>
      </c>
      <c r="J4515">
        <v>176357523</v>
      </c>
      <c r="P4515">
        <v>325</v>
      </c>
      <c r="Q4515" t="s">
        <v>9375</v>
      </c>
    </row>
    <row r="4516" spans="1:17" x14ac:dyDescent="0.3">
      <c r="A4516" t="s">
        <v>4664</v>
      </c>
      <c r="B4516" t="str">
        <f>"300770"</f>
        <v>300770</v>
      </c>
      <c r="C4516" t="s">
        <v>9376</v>
      </c>
      <c r="D4516" t="s">
        <v>95</v>
      </c>
      <c r="F4516">
        <v>1032115914</v>
      </c>
      <c r="G4516">
        <v>636216634</v>
      </c>
      <c r="H4516">
        <v>678970919</v>
      </c>
      <c r="I4516">
        <v>423127677</v>
      </c>
      <c r="P4516">
        <v>632</v>
      </c>
      <c r="Q4516" t="s">
        <v>9377</v>
      </c>
    </row>
    <row r="4517" spans="1:17" x14ac:dyDescent="0.3">
      <c r="A4517" t="s">
        <v>4664</v>
      </c>
      <c r="B4517" t="str">
        <f>"300771"</f>
        <v>300771</v>
      </c>
      <c r="C4517" t="s">
        <v>9378</v>
      </c>
      <c r="D4517" t="s">
        <v>236</v>
      </c>
      <c r="F4517">
        <v>724846940</v>
      </c>
      <c r="G4517">
        <v>786325252</v>
      </c>
      <c r="H4517">
        <v>611288949</v>
      </c>
      <c r="I4517">
        <v>548448726</v>
      </c>
      <c r="P4517">
        <v>229</v>
      </c>
      <c r="Q4517" t="s">
        <v>9379</v>
      </c>
    </row>
    <row r="4518" spans="1:17" x14ac:dyDescent="0.3">
      <c r="A4518" t="s">
        <v>4664</v>
      </c>
      <c r="B4518" t="str">
        <f>"300772"</f>
        <v>300772</v>
      </c>
      <c r="C4518" t="s">
        <v>9380</v>
      </c>
      <c r="D4518" t="s">
        <v>895</v>
      </c>
      <c r="F4518">
        <v>7980483646</v>
      </c>
      <c r="G4518">
        <v>7154872539</v>
      </c>
      <c r="H4518">
        <v>3361527192</v>
      </c>
      <c r="I4518">
        <v>1248115386</v>
      </c>
      <c r="P4518">
        <v>177</v>
      </c>
      <c r="Q4518" t="s">
        <v>9381</v>
      </c>
    </row>
    <row r="4519" spans="1:17" x14ac:dyDescent="0.3">
      <c r="A4519" t="s">
        <v>4664</v>
      </c>
      <c r="B4519" t="str">
        <f>"300773"</f>
        <v>300773</v>
      </c>
      <c r="C4519" t="s">
        <v>9382</v>
      </c>
      <c r="D4519" t="s">
        <v>6337</v>
      </c>
      <c r="F4519">
        <v>5407979043</v>
      </c>
      <c r="G4519">
        <v>4743964312</v>
      </c>
      <c r="H4519">
        <v>4185520770</v>
      </c>
      <c r="I4519">
        <v>4463289719</v>
      </c>
      <c r="P4519">
        <v>472</v>
      </c>
      <c r="Q4519" t="s">
        <v>9383</v>
      </c>
    </row>
    <row r="4520" spans="1:17" x14ac:dyDescent="0.3">
      <c r="A4520" t="s">
        <v>4664</v>
      </c>
      <c r="B4520" t="str">
        <f>"300774"</f>
        <v>300774</v>
      </c>
      <c r="C4520" t="s">
        <v>9384</v>
      </c>
      <c r="D4520" t="s">
        <v>33</v>
      </c>
      <c r="F4520">
        <v>112973957</v>
      </c>
      <c r="P4520">
        <v>24</v>
      </c>
      <c r="Q4520" t="s">
        <v>9385</v>
      </c>
    </row>
    <row r="4521" spans="1:17" x14ac:dyDescent="0.3">
      <c r="A4521" t="s">
        <v>4664</v>
      </c>
      <c r="B4521" t="str">
        <f>"300775"</f>
        <v>300775</v>
      </c>
      <c r="C4521" t="s">
        <v>9386</v>
      </c>
      <c r="D4521" t="s">
        <v>98</v>
      </c>
      <c r="F4521">
        <v>608168001</v>
      </c>
      <c r="G4521">
        <v>269670827</v>
      </c>
      <c r="H4521">
        <v>228901195</v>
      </c>
      <c r="I4521">
        <v>245203994</v>
      </c>
      <c r="P4521">
        <v>186</v>
      </c>
      <c r="Q4521" t="s">
        <v>9387</v>
      </c>
    </row>
    <row r="4522" spans="1:17" x14ac:dyDescent="0.3">
      <c r="A4522" t="s">
        <v>4664</v>
      </c>
      <c r="B4522" t="str">
        <f>"300776"</f>
        <v>300776</v>
      </c>
      <c r="C4522" t="s">
        <v>9388</v>
      </c>
      <c r="D4522" t="s">
        <v>2654</v>
      </c>
      <c r="F4522">
        <v>657078015</v>
      </c>
      <c r="G4522">
        <v>388976929</v>
      </c>
      <c r="H4522">
        <v>455866163</v>
      </c>
      <c r="I4522">
        <v>334480652</v>
      </c>
      <c r="P4522">
        <v>397</v>
      </c>
      <c r="Q4522" t="s">
        <v>9389</v>
      </c>
    </row>
    <row r="4523" spans="1:17" x14ac:dyDescent="0.3">
      <c r="A4523" t="s">
        <v>4664</v>
      </c>
      <c r="B4523" t="str">
        <f>"300777"</f>
        <v>300777</v>
      </c>
      <c r="C4523" t="s">
        <v>9390</v>
      </c>
      <c r="D4523" t="s">
        <v>98</v>
      </c>
      <c r="F4523">
        <v>146073451</v>
      </c>
      <c r="G4523">
        <v>157478023</v>
      </c>
      <c r="H4523">
        <v>108365695</v>
      </c>
      <c r="I4523">
        <v>98040446</v>
      </c>
      <c r="P4523">
        <v>371</v>
      </c>
      <c r="Q4523" t="s">
        <v>9391</v>
      </c>
    </row>
    <row r="4524" spans="1:17" x14ac:dyDescent="0.3">
      <c r="A4524" t="s">
        <v>4664</v>
      </c>
      <c r="B4524" t="str">
        <f>"300778"</f>
        <v>300778</v>
      </c>
      <c r="C4524" t="s">
        <v>9392</v>
      </c>
      <c r="D4524" t="s">
        <v>1272</v>
      </c>
      <c r="F4524">
        <v>213463745</v>
      </c>
      <c r="G4524">
        <v>240331432</v>
      </c>
      <c r="H4524">
        <v>230548577</v>
      </c>
      <c r="I4524">
        <v>255844315</v>
      </c>
      <c r="P4524">
        <v>104</v>
      </c>
      <c r="Q4524" t="s">
        <v>9393</v>
      </c>
    </row>
    <row r="4525" spans="1:17" x14ac:dyDescent="0.3">
      <c r="A4525" t="s">
        <v>4664</v>
      </c>
      <c r="B4525" t="str">
        <f>"300779"</f>
        <v>300779</v>
      </c>
      <c r="C4525" t="s">
        <v>9394</v>
      </c>
      <c r="D4525" t="s">
        <v>499</v>
      </c>
      <c r="F4525">
        <v>103741561</v>
      </c>
      <c r="G4525">
        <v>208843553</v>
      </c>
      <c r="H4525">
        <v>237688298</v>
      </c>
      <c r="I4525">
        <v>171211027</v>
      </c>
      <c r="P4525">
        <v>62</v>
      </c>
      <c r="Q4525" t="s">
        <v>9395</v>
      </c>
    </row>
    <row r="4526" spans="1:17" x14ac:dyDescent="0.3">
      <c r="A4526" t="s">
        <v>4664</v>
      </c>
      <c r="B4526" t="str">
        <f>"300780"</f>
        <v>300780</v>
      </c>
      <c r="C4526" t="s">
        <v>9396</v>
      </c>
      <c r="D4526" t="s">
        <v>274</v>
      </c>
      <c r="F4526">
        <v>300014789</v>
      </c>
      <c r="G4526">
        <v>275408478</v>
      </c>
      <c r="H4526">
        <v>325672353</v>
      </c>
      <c r="I4526">
        <v>326514164</v>
      </c>
      <c r="P4526">
        <v>56</v>
      </c>
      <c r="Q4526" t="s">
        <v>9397</v>
      </c>
    </row>
    <row r="4527" spans="1:17" x14ac:dyDescent="0.3">
      <c r="A4527" t="s">
        <v>4664</v>
      </c>
      <c r="B4527" t="str">
        <f>"300781"</f>
        <v>300781</v>
      </c>
      <c r="C4527" t="s">
        <v>9398</v>
      </c>
      <c r="D4527" t="s">
        <v>207</v>
      </c>
      <c r="F4527">
        <v>608008504</v>
      </c>
      <c r="G4527">
        <v>233860941</v>
      </c>
      <c r="H4527">
        <v>284544605</v>
      </c>
      <c r="I4527">
        <v>345574539</v>
      </c>
      <c r="P4527">
        <v>100</v>
      </c>
      <c r="Q4527" t="s">
        <v>9399</v>
      </c>
    </row>
    <row r="4528" spans="1:17" x14ac:dyDescent="0.3">
      <c r="A4528" t="s">
        <v>4664</v>
      </c>
      <c r="B4528" t="str">
        <f>"300782"</f>
        <v>300782</v>
      </c>
      <c r="C4528" t="s">
        <v>9400</v>
      </c>
      <c r="D4528" t="s">
        <v>401</v>
      </c>
      <c r="F4528">
        <v>3328916147</v>
      </c>
      <c r="G4528">
        <v>1727314314</v>
      </c>
      <c r="H4528">
        <v>793487576</v>
      </c>
      <c r="I4528">
        <v>419500518</v>
      </c>
      <c r="P4528">
        <v>1609</v>
      </c>
      <c r="Q4528" t="s">
        <v>9401</v>
      </c>
    </row>
    <row r="4529" spans="1:17" x14ac:dyDescent="0.3">
      <c r="A4529" t="s">
        <v>4664</v>
      </c>
      <c r="B4529" t="str">
        <f>"300783"</f>
        <v>300783</v>
      </c>
      <c r="C4529" t="s">
        <v>9402</v>
      </c>
      <c r="D4529" t="s">
        <v>3167</v>
      </c>
      <c r="F4529">
        <v>7392143479</v>
      </c>
      <c r="G4529">
        <v>7730726202</v>
      </c>
      <c r="H4529">
        <v>7819121828</v>
      </c>
      <c r="I4529">
        <v>5369276789</v>
      </c>
      <c r="P4529">
        <v>730</v>
      </c>
      <c r="Q4529" t="s">
        <v>9403</v>
      </c>
    </row>
    <row r="4530" spans="1:17" x14ac:dyDescent="0.3">
      <c r="A4530" t="s">
        <v>4664</v>
      </c>
      <c r="B4530" t="str">
        <f>"300785"</f>
        <v>300785</v>
      </c>
      <c r="C4530" t="s">
        <v>9404</v>
      </c>
      <c r="D4530" t="s">
        <v>522</v>
      </c>
      <c r="F4530">
        <v>949276900</v>
      </c>
      <c r="G4530">
        <v>593010388</v>
      </c>
      <c r="H4530">
        <v>398246099</v>
      </c>
      <c r="I4530">
        <v>271505371</v>
      </c>
      <c r="P4530">
        <v>332</v>
      </c>
      <c r="Q4530" t="s">
        <v>9405</v>
      </c>
    </row>
    <row r="4531" spans="1:17" x14ac:dyDescent="0.3">
      <c r="A4531" t="s">
        <v>4664</v>
      </c>
      <c r="B4531" t="str">
        <f>"300786"</f>
        <v>300786</v>
      </c>
      <c r="C4531" t="s">
        <v>9406</v>
      </c>
      <c r="D4531" t="s">
        <v>1070</v>
      </c>
      <c r="F4531">
        <v>445425643</v>
      </c>
      <c r="G4531">
        <v>311860898</v>
      </c>
      <c r="H4531">
        <v>278236669</v>
      </c>
      <c r="I4531">
        <v>250688640</v>
      </c>
      <c r="P4531">
        <v>95</v>
      </c>
      <c r="Q4531" t="s">
        <v>9407</v>
      </c>
    </row>
    <row r="4532" spans="1:17" x14ac:dyDescent="0.3">
      <c r="A4532" t="s">
        <v>4664</v>
      </c>
      <c r="B4532" t="str">
        <f>"300787"</f>
        <v>300787</v>
      </c>
      <c r="C4532" t="s">
        <v>9408</v>
      </c>
      <c r="D4532" t="s">
        <v>313</v>
      </c>
      <c r="F4532">
        <v>1381097706</v>
      </c>
      <c r="G4532">
        <v>992925316</v>
      </c>
      <c r="H4532">
        <v>768295682</v>
      </c>
      <c r="I4532">
        <v>765461010</v>
      </c>
      <c r="P4532">
        <v>87</v>
      </c>
      <c r="Q4532" t="s">
        <v>9409</v>
      </c>
    </row>
    <row r="4533" spans="1:17" x14ac:dyDescent="0.3">
      <c r="A4533" t="s">
        <v>4664</v>
      </c>
      <c r="B4533" t="str">
        <f>"300788"</f>
        <v>300788</v>
      </c>
      <c r="C4533" t="s">
        <v>9410</v>
      </c>
      <c r="D4533" t="s">
        <v>525</v>
      </c>
      <c r="F4533">
        <v>1427857213</v>
      </c>
      <c r="G4533">
        <v>1309937740</v>
      </c>
      <c r="H4533">
        <v>1357893462</v>
      </c>
      <c r="I4533">
        <v>1136360053</v>
      </c>
      <c r="P4533">
        <v>347</v>
      </c>
      <c r="Q4533" t="s">
        <v>9411</v>
      </c>
    </row>
    <row r="4534" spans="1:17" x14ac:dyDescent="0.3">
      <c r="A4534" t="s">
        <v>4664</v>
      </c>
      <c r="B4534" t="str">
        <f>"300789"</f>
        <v>300789</v>
      </c>
      <c r="C4534" t="s">
        <v>9412</v>
      </c>
      <c r="D4534" t="s">
        <v>236</v>
      </c>
      <c r="F4534">
        <v>207401489</v>
      </c>
      <c r="G4534">
        <v>187038254</v>
      </c>
      <c r="H4534">
        <v>135812820</v>
      </c>
      <c r="I4534">
        <v>117372178</v>
      </c>
      <c r="P4534">
        <v>79</v>
      </c>
      <c r="Q4534" t="s">
        <v>9413</v>
      </c>
    </row>
    <row r="4535" spans="1:17" x14ac:dyDescent="0.3">
      <c r="A4535" t="s">
        <v>4664</v>
      </c>
      <c r="B4535" t="str">
        <f>"300790"</f>
        <v>300790</v>
      </c>
      <c r="C4535" t="s">
        <v>9414</v>
      </c>
      <c r="D4535" t="s">
        <v>2953</v>
      </c>
      <c r="F4535">
        <v>1413332351</v>
      </c>
      <c r="G4535">
        <v>876606249</v>
      </c>
      <c r="H4535">
        <v>831582514</v>
      </c>
      <c r="I4535">
        <v>713516085</v>
      </c>
      <c r="P4535">
        <v>158</v>
      </c>
      <c r="Q4535" t="s">
        <v>9415</v>
      </c>
    </row>
    <row r="4536" spans="1:17" x14ac:dyDescent="0.3">
      <c r="A4536" t="s">
        <v>4664</v>
      </c>
      <c r="B4536" t="str">
        <f>"300791"</f>
        <v>300791</v>
      </c>
      <c r="C4536" t="s">
        <v>9416</v>
      </c>
      <c r="D4536" t="s">
        <v>838</v>
      </c>
      <c r="F4536">
        <v>1845335284</v>
      </c>
      <c r="G4536">
        <v>1513064232</v>
      </c>
      <c r="H4536">
        <v>1308433223</v>
      </c>
      <c r="I4536">
        <v>1289848712</v>
      </c>
      <c r="P4536">
        <v>286</v>
      </c>
      <c r="Q4536" t="s">
        <v>9417</v>
      </c>
    </row>
    <row r="4537" spans="1:17" x14ac:dyDescent="0.3">
      <c r="A4537" t="s">
        <v>4664</v>
      </c>
      <c r="B4537" t="str">
        <f>"300792"</f>
        <v>300792</v>
      </c>
      <c r="C4537" t="s">
        <v>9418</v>
      </c>
      <c r="D4537" t="s">
        <v>3590</v>
      </c>
      <c r="F4537">
        <v>811949100</v>
      </c>
      <c r="G4537">
        <v>1002497863</v>
      </c>
      <c r="H4537">
        <v>888156736</v>
      </c>
      <c r="I4537">
        <v>636566784</v>
      </c>
      <c r="P4537">
        <v>369</v>
      </c>
      <c r="Q4537" t="s">
        <v>9419</v>
      </c>
    </row>
    <row r="4538" spans="1:17" x14ac:dyDescent="0.3">
      <c r="A4538" t="s">
        <v>4664</v>
      </c>
      <c r="B4538" t="str">
        <f>"300793"</f>
        <v>300793</v>
      </c>
      <c r="C4538" t="s">
        <v>9420</v>
      </c>
      <c r="D4538" t="s">
        <v>313</v>
      </c>
      <c r="F4538">
        <v>2315563835</v>
      </c>
      <c r="G4538">
        <v>1352482776</v>
      </c>
      <c r="H4538">
        <v>1369095419</v>
      </c>
      <c r="I4538">
        <v>1103651932</v>
      </c>
      <c r="P4538">
        <v>144</v>
      </c>
      <c r="Q4538" t="s">
        <v>9421</v>
      </c>
    </row>
    <row r="4539" spans="1:17" x14ac:dyDescent="0.3">
      <c r="A4539" t="s">
        <v>4664</v>
      </c>
      <c r="B4539" t="str">
        <f>"300795"</f>
        <v>300795</v>
      </c>
      <c r="C4539" t="s">
        <v>9422</v>
      </c>
      <c r="D4539" t="s">
        <v>1671</v>
      </c>
      <c r="F4539">
        <v>111675508</v>
      </c>
      <c r="G4539">
        <v>107987183</v>
      </c>
      <c r="H4539">
        <v>281049092</v>
      </c>
      <c r="I4539">
        <v>264912243</v>
      </c>
      <c r="P4539">
        <v>109</v>
      </c>
      <c r="Q4539" t="s">
        <v>9423</v>
      </c>
    </row>
    <row r="4540" spans="1:17" x14ac:dyDescent="0.3">
      <c r="A4540" t="s">
        <v>4664</v>
      </c>
      <c r="B4540" t="str">
        <f>"300796"</f>
        <v>300796</v>
      </c>
      <c r="C4540" t="s">
        <v>9424</v>
      </c>
      <c r="D4540" t="s">
        <v>853</v>
      </c>
      <c r="F4540">
        <v>343633735</v>
      </c>
      <c r="G4540">
        <v>291930948</v>
      </c>
      <c r="H4540">
        <v>379708233</v>
      </c>
      <c r="I4540">
        <v>397281493</v>
      </c>
      <c r="P4540">
        <v>45</v>
      </c>
      <c r="Q4540" t="s">
        <v>9425</v>
      </c>
    </row>
    <row r="4541" spans="1:17" x14ac:dyDescent="0.3">
      <c r="A4541" t="s">
        <v>4664</v>
      </c>
      <c r="B4541" t="str">
        <f>"300797"</f>
        <v>300797</v>
      </c>
      <c r="C4541" t="s">
        <v>9426</v>
      </c>
      <c r="D4541" t="s">
        <v>110</v>
      </c>
      <c r="F4541">
        <v>493926303</v>
      </c>
      <c r="G4541">
        <v>362135471</v>
      </c>
      <c r="H4541">
        <v>382861359</v>
      </c>
      <c r="I4541">
        <v>348369023</v>
      </c>
      <c r="P4541">
        <v>67</v>
      </c>
      <c r="Q4541" t="s">
        <v>9427</v>
      </c>
    </row>
    <row r="4542" spans="1:17" x14ac:dyDescent="0.3">
      <c r="A4542" t="s">
        <v>4664</v>
      </c>
      <c r="B4542" t="str">
        <f>"300798"</f>
        <v>300798</v>
      </c>
      <c r="C4542" t="s">
        <v>9428</v>
      </c>
      <c r="D4542" t="s">
        <v>779</v>
      </c>
      <c r="F4542">
        <v>485927037</v>
      </c>
      <c r="G4542">
        <v>377876531</v>
      </c>
      <c r="H4542">
        <v>466171993</v>
      </c>
      <c r="I4542">
        <v>456924013</v>
      </c>
      <c r="P4542">
        <v>55</v>
      </c>
      <c r="Q4542" t="s">
        <v>9429</v>
      </c>
    </row>
    <row r="4543" spans="1:17" x14ac:dyDescent="0.3">
      <c r="A4543" t="s">
        <v>4664</v>
      </c>
      <c r="B4543" t="str">
        <f>"300799"</f>
        <v>300799</v>
      </c>
      <c r="C4543" t="s">
        <v>9430</v>
      </c>
      <c r="D4543" t="s">
        <v>1189</v>
      </c>
      <c r="F4543">
        <v>131196502</v>
      </c>
      <c r="G4543">
        <v>162456713</v>
      </c>
      <c r="H4543">
        <v>52134674</v>
      </c>
      <c r="I4543">
        <v>68687580</v>
      </c>
      <c r="P4543">
        <v>140</v>
      </c>
      <c r="Q4543" t="s">
        <v>9431</v>
      </c>
    </row>
    <row r="4544" spans="1:17" x14ac:dyDescent="0.3">
      <c r="A4544" t="s">
        <v>4664</v>
      </c>
      <c r="B4544" t="str">
        <f>"300800"</f>
        <v>300800</v>
      </c>
      <c r="C4544" t="s">
        <v>9432</v>
      </c>
      <c r="D4544" t="s">
        <v>1070</v>
      </c>
      <c r="F4544">
        <v>447312999</v>
      </c>
      <c r="G4544">
        <v>443274144</v>
      </c>
      <c r="H4544">
        <v>476760914</v>
      </c>
      <c r="I4544">
        <v>331087181</v>
      </c>
      <c r="P4544">
        <v>362</v>
      </c>
      <c r="Q4544" t="s">
        <v>9433</v>
      </c>
    </row>
    <row r="4545" spans="1:17" x14ac:dyDescent="0.3">
      <c r="A4545" t="s">
        <v>4664</v>
      </c>
      <c r="B4545" t="str">
        <f>"300801"</f>
        <v>300801</v>
      </c>
      <c r="C4545" t="s">
        <v>9434</v>
      </c>
      <c r="D4545" t="s">
        <v>386</v>
      </c>
      <c r="F4545">
        <v>1018181883</v>
      </c>
      <c r="G4545">
        <v>896314230</v>
      </c>
      <c r="H4545">
        <v>750973876</v>
      </c>
      <c r="I4545">
        <v>663225825</v>
      </c>
      <c r="P4545">
        <v>112</v>
      </c>
      <c r="Q4545" t="s">
        <v>9435</v>
      </c>
    </row>
    <row r="4546" spans="1:17" x14ac:dyDescent="0.3">
      <c r="A4546" t="s">
        <v>4664</v>
      </c>
      <c r="B4546" t="str">
        <f>"300802"</f>
        <v>300802</v>
      </c>
      <c r="C4546" t="s">
        <v>9436</v>
      </c>
      <c r="D4546" t="s">
        <v>3450</v>
      </c>
      <c r="F4546">
        <v>396906454</v>
      </c>
      <c r="G4546">
        <v>275689624</v>
      </c>
      <c r="H4546">
        <v>329582354</v>
      </c>
      <c r="I4546">
        <v>350431752</v>
      </c>
      <c r="P4546">
        <v>182</v>
      </c>
      <c r="Q4546" t="s">
        <v>9437</v>
      </c>
    </row>
    <row r="4547" spans="1:17" x14ac:dyDescent="0.3">
      <c r="A4547" t="s">
        <v>4664</v>
      </c>
      <c r="B4547" t="str">
        <f>"300803"</f>
        <v>300803</v>
      </c>
      <c r="C4547" t="s">
        <v>9438</v>
      </c>
      <c r="D4547" t="s">
        <v>945</v>
      </c>
      <c r="F4547">
        <v>921467917</v>
      </c>
      <c r="G4547">
        <v>676349470</v>
      </c>
      <c r="H4547">
        <v>526862237</v>
      </c>
      <c r="I4547">
        <v>450370236</v>
      </c>
      <c r="P4547">
        <v>194</v>
      </c>
      <c r="Q4547" t="s">
        <v>9439</v>
      </c>
    </row>
    <row r="4548" spans="1:17" x14ac:dyDescent="0.3">
      <c r="A4548" t="s">
        <v>4664</v>
      </c>
      <c r="B4548" t="str">
        <f>"300805"</f>
        <v>300805</v>
      </c>
      <c r="C4548" t="s">
        <v>9440</v>
      </c>
      <c r="D4548" t="s">
        <v>207</v>
      </c>
      <c r="F4548">
        <v>2491424810</v>
      </c>
      <c r="G4548">
        <v>2473295190</v>
      </c>
      <c r="H4548">
        <v>2183657507</v>
      </c>
      <c r="I4548">
        <v>1759946491</v>
      </c>
      <c r="P4548">
        <v>71</v>
      </c>
      <c r="Q4548" t="s">
        <v>9441</v>
      </c>
    </row>
    <row r="4549" spans="1:17" x14ac:dyDescent="0.3">
      <c r="A4549" t="s">
        <v>4664</v>
      </c>
      <c r="B4549" t="str">
        <f>"300806"</f>
        <v>300806</v>
      </c>
      <c r="C4549" t="s">
        <v>9442</v>
      </c>
      <c r="D4549" t="s">
        <v>324</v>
      </c>
      <c r="F4549">
        <v>1176955920</v>
      </c>
      <c r="G4549">
        <v>754593384</v>
      </c>
      <c r="H4549">
        <v>779637088</v>
      </c>
      <c r="I4549">
        <v>736259433</v>
      </c>
      <c r="P4549">
        <v>168</v>
      </c>
      <c r="Q4549" t="s">
        <v>9443</v>
      </c>
    </row>
    <row r="4550" spans="1:17" x14ac:dyDescent="0.3">
      <c r="A4550" t="s">
        <v>4664</v>
      </c>
      <c r="B4550" t="str">
        <f>"300807"</f>
        <v>300807</v>
      </c>
      <c r="C4550" t="s">
        <v>9444</v>
      </c>
      <c r="D4550" t="s">
        <v>236</v>
      </c>
      <c r="F4550">
        <v>170991571</v>
      </c>
      <c r="G4550">
        <v>144833348</v>
      </c>
      <c r="H4550">
        <v>286766314</v>
      </c>
      <c r="I4550">
        <v>189880836</v>
      </c>
      <c r="P4550">
        <v>103</v>
      </c>
      <c r="Q4550" t="s">
        <v>9445</v>
      </c>
    </row>
    <row r="4551" spans="1:17" x14ac:dyDescent="0.3">
      <c r="A4551" t="s">
        <v>4664</v>
      </c>
      <c r="B4551" t="str">
        <f>"300808"</f>
        <v>300808</v>
      </c>
      <c r="C4551" t="s">
        <v>9446</v>
      </c>
      <c r="D4551" t="s">
        <v>803</v>
      </c>
      <c r="F4551">
        <v>478261864</v>
      </c>
      <c r="G4551">
        <v>468293041</v>
      </c>
      <c r="H4551">
        <v>632959106</v>
      </c>
      <c r="P4551">
        <v>55</v>
      </c>
      <c r="Q4551" t="s">
        <v>9447</v>
      </c>
    </row>
    <row r="4552" spans="1:17" x14ac:dyDescent="0.3">
      <c r="A4552" t="s">
        <v>4664</v>
      </c>
      <c r="B4552" t="str">
        <f>"300809"</f>
        <v>300809</v>
      </c>
      <c r="C4552" t="s">
        <v>9448</v>
      </c>
      <c r="D4552" t="s">
        <v>2312</v>
      </c>
      <c r="F4552">
        <v>330657194</v>
      </c>
      <c r="G4552">
        <v>251037047</v>
      </c>
      <c r="H4552">
        <v>321405010</v>
      </c>
      <c r="I4552">
        <v>270773135</v>
      </c>
      <c r="P4552">
        <v>110</v>
      </c>
      <c r="Q4552" t="s">
        <v>9449</v>
      </c>
    </row>
    <row r="4553" spans="1:17" x14ac:dyDescent="0.3">
      <c r="A4553" t="s">
        <v>4664</v>
      </c>
      <c r="B4553" t="str">
        <f>"300810"</f>
        <v>300810</v>
      </c>
      <c r="C4553" t="s">
        <v>9450</v>
      </c>
      <c r="D4553" t="s">
        <v>167</v>
      </c>
      <c r="F4553">
        <v>91094377</v>
      </c>
      <c r="G4553">
        <v>33124203</v>
      </c>
      <c r="H4553">
        <v>94909645</v>
      </c>
      <c r="I4553">
        <v>120489807</v>
      </c>
      <c r="P4553">
        <v>57</v>
      </c>
      <c r="Q4553" t="s">
        <v>9451</v>
      </c>
    </row>
    <row r="4554" spans="1:17" x14ac:dyDescent="0.3">
      <c r="A4554" t="s">
        <v>4664</v>
      </c>
      <c r="B4554" t="str">
        <f>"300811"</f>
        <v>300811</v>
      </c>
      <c r="C4554" t="s">
        <v>9452</v>
      </c>
      <c r="D4554" t="s">
        <v>808</v>
      </c>
      <c r="F4554">
        <v>244341299</v>
      </c>
      <c r="G4554">
        <v>161356891</v>
      </c>
      <c r="H4554">
        <v>168936026</v>
      </c>
      <c r="I4554">
        <v>149170362</v>
      </c>
      <c r="P4554">
        <v>163</v>
      </c>
      <c r="Q4554" t="s">
        <v>9453</v>
      </c>
    </row>
    <row r="4555" spans="1:17" x14ac:dyDescent="0.3">
      <c r="A4555" t="s">
        <v>4664</v>
      </c>
      <c r="B4555" t="str">
        <f>"300812"</f>
        <v>300812</v>
      </c>
      <c r="C4555" t="s">
        <v>9454</v>
      </c>
      <c r="D4555" t="s">
        <v>3160</v>
      </c>
      <c r="F4555">
        <v>382976284</v>
      </c>
      <c r="G4555">
        <v>340755528</v>
      </c>
      <c r="H4555">
        <v>381919626</v>
      </c>
      <c r="P4555">
        <v>111</v>
      </c>
      <c r="Q4555" t="s">
        <v>9455</v>
      </c>
    </row>
    <row r="4556" spans="1:17" x14ac:dyDescent="0.3">
      <c r="A4556" t="s">
        <v>4664</v>
      </c>
      <c r="B4556" t="str">
        <f>"300813"</f>
        <v>300813</v>
      </c>
      <c r="C4556" t="s">
        <v>9456</v>
      </c>
      <c r="D4556" t="s">
        <v>741</v>
      </c>
      <c r="F4556">
        <v>203662890</v>
      </c>
      <c r="G4556">
        <v>173163232</v>
      </c>
      <c r="H4556">
        <v>123356681</v>
      </c>
      <c r="I4556">
        <v>105683727</v>
      </c>
      <c r="P4556">
        <v>106</v>
      </c>
      <c r="Q4556" t="s">
        <v>9457</v>
      </c>
    </row>
    <row r="4557" spans="1:17" x14ac:dyDescent="0.3">
      <c r="A4557" t="s">
        <v>4664</v>
      </c>
      <c r="B4557" t="str">
        <f>"300814"</f>
        <v>300814</v>
      </c>
      <c r="C4557" t="s">
        <v>9458</v>
      </c>
      <c r="D4557" t="s">
        <v>425</v>
      </c>
      <c r="F4557">
        <v>891436362</v>
      </c>
      <c r="G4557">
        <v>770804250</v>
      </c>
      <c r="P4557">
        <v>14</v>
      </c>
      <c r="Q4557" t="s">
        <v>9459</v>
      </c>
    </row>
    <row r="4558" spans="1:17" x14ac:dyDescent="0.3">
      <c r="A4558" t="s">
        <v>4664</v>
      </c>
      <c r="B4558" t="str">
        <f>"300815"</f>
        <v>300815</v>
      </c>
      <c r="C4558" t="s">
        <v>9460</v>
      </c>
      <c r="D4558" t="s">
        <v>499</v>
      </c>
      <c r="F4558">
        <v>3386839588</v>
      </c>
      <c r="G4558">
        <v>2874656867</v>
      </c>
      <c r="H4558">
        <v>2547079963</v>
      </c>
      <c r="I4558">
        <v>2002022616</v>
      </c>
      <c r="P4558">
        <v>345</v>
      </c>
      <c r="Q4558" t="s">
        <v>9461</v>
      </c>
    </row>
    <row r="4559" spans="1:17" x14ac:dyDescent="0.3">
      <c r="A4559" t="s">
        <v>4664</v>
      </c>
      <c r="B4559" t="str">
        <f>"300816"</f>
        <v>300816</v>
      </c>
      <c r="C4559" t="s">
        <v>9462</v>
      </c>
      <c r="D4559" t="s">
        <v>985</v>
      </c>
      <c r="F4559">
        <v>468136548</v>
      </c>
      <c r="G4559">
        <v>236008009</v>
      </c>
      <c r="H4559">
        <v>288429784</v>
      </c>
      <c r="I4559">
        <v>277130205</v>
      </c>
      <c r="P4559">
        <v>150</v>
      </c>
      <c r="Q4559" t="s">
        <v>9463</v>
      </c>
    </row>
    <row r="4560" spans="1:17" x14ac:dyDescent="0.3">
      <c r="A4560" t="s">
        <v>4664</v>
      </c>
      <c r="B4560" t="str">
        <f>"300817"</f>
        <v>300817</v>
      </c>
      <c r="C4560" t="s">
        <v>9464</v>
      </c>
      <c r="D4560" t="s">
        <v>274</v>
      </c>
      <c r="F4560">
        <v>560829035</v>
      </c>
      <c r="G4560">
        <v>267340655</v>
      </c>
      <c r="H4560">
        <v>265206715</v>
      </c>
      <c r="P4560">
        <v>63</v>
      </c>
      <c r="Q4560" t="s">
        <v>9465</v>
      </c>
    </row>
    <row r="4561" spans="1:17" x14ac:dyDescent="0.3">
      <c r="A4561" t="s">
        <v>4664</v>
      </c>
      <c r="B4561" t="str">
        <f>"300818"</f>
        <v>300818</v>
      </c>
      <c r="C4561" t="s">
        <v>9466</v>
      </c>
      <c r="D4561" t="s">
        <v>404</v>
      </c>
      <c r="F4561">
        <v>407510319</v>
      </c>
      <c r="G4561">
        <v>604311727</v>
      </c>
      <c r="H4561">
        <v>214223912</v>
      </c>
      <c r="I4561">
        <v>0</v>
      </c>
      <c r="P4561">
        <v>92</v>
      </c>
      <c r="Q4561" t="s">
        <v>9467</v>
      </c>
    </row>
    <row r="4562" spans="1:17" x14ac:dyDescent="0.3">
      <c r="A4562" t="s">
        <v>4664</v>
      </c>
      <c r="B4562" t="str">
        <f>"300819"</f>
        <v>300819</v>
      </c>
      <c r="C4562" t="s">
        <v>9468</v>
      </c>
      <c r="D4562" t="s">
        <v>366</v>
      </c>
      <c r="F4562">
        <v>283441796</v>
      </c>
      <c r="G4562">
        <v>312525374</v>
      </c>
      <c r="H4562">
        <v>397671363</v>
      </c>
      <c r="I4562">
        <v>387194289</v>
      </c>
      <c r="P4562">
        <v>50</v>
      </c>
      <c r="Q4562" t="s">
        <v>9469</v>
      </c>
    </row>
    <row r="4563" spans="1:17" x14ac:dyDescent="0.3">
      <c r="A4563" t="s">
        <v>4664</v>
      </c>
      <c r="B4563" t="str">
        <f>"300820"</f>
        <v>300820</v>
      </c>
      <c r="C4563" t="s">
        <v>9470</v>
      </c>
      <c r="D4563" t="s">
        <v>880</v>
      </c>
      <c r="F4563">
        <v>305442150</v>
      </c>
      <c r="G4563">
        <v>208428302</v>
      </c>
      <c r="H4563">
        <v>192391020</v>
      </c>
      <c r="I4563">
        <v>0</v>
      </c>
      <c r="P4563">
        <v>369</v>
      </c>
      <c r="Q4563" t="s">
        <v>9471</v>
      </c>
    </row>
    <row r="4564" spans="1:17" x14ac:dyDescent="0.3">
      <c r="A4564" t="s">
        <v>4664</v>
      </c>
      <c r="B4564" t="str">
        <f>"300821"</f>
        <v>300821</v>
      </c>
      <c r="C4564" t="s">
        <v>9472</v>
      </c>
      <c r="D4564" t="s">
        <v>1205</v>
      </c>
      <c r="F4564">
        <v>1103226945</v>
      </c>
      <c r="G4564">
        <v>971836520</v>
      </c>
      <c r="H4564">
        <v>886960983</v>
      </c>
      <c r="P4564">
        <v>159</v>
      </c>
      <c r="Q4564" t="s">
        <v>9473</v>
      </c>
    </row>
    <row r="4565" spans="1:17" x14ac:dyDescent="0.3">
      <c r="A4565" t="s">
        <v>4664</v>
      </c>
      <c r="B4565" t="str">
        <f>"300822"</f>
        <v>300822</v>
      </c>
      <c r="C4565" t="s">
        <v>9474</v>
      </c>
      <c r="D4565" t="s">
        <v>313</v>
      </c>
      <c r="F4565">
        <v>762449945</v>
      </c>
      <c r="G4565">
        <v>491788685</v>
      </c>
      <c r="H4565">
        <v>501952862</v>
      </c>
      <c r="P4565">
        <v>131</v>
      </c>
      <c r="Q4565" t="s">
        <v>9475</v>
      </c>
    </row>
    <row r="4566" spans="1:17" x14ac:dyDescent="0.3">
      <c r="A4566" t="s">
        <v>4664</v>
      </c>
      <c r="B4566" t="str">
        <f>"300823"</f>
        <v>300823</v>
      </c>
      <c r="C4566" t="s">
        <v>9476</v>
      </c>
      <c r="D4566" t="s">
        <v>741</v>
      </c>
      <c r="F4566">
        <v>384725631</v>
      </c>
      <c r="G4566">
        <v>299660383</v>
      </c>
      <c r="H4566">
        <v>324039914</v>
      </c>
      <c r="P4566">
        <v>109</v>
      </c>
      <c r="Q4566" t="s">
        <v>9477</v>
      </c>
    </row>
    <row r="4567" spans="1:17" x14ac:dyDescent="0.3">
      <c r="A4567" t="s">
        <v>4664</v>
      </c>
      <c r="B4567" t="str">
        <f>"300824"</f>
        <v>300824</v>
      </c>
      <c r="C4567" t="s">
        <v>9478</v>
      </c>
      <c r="D4567" t="s">
        <v>5712</v>
      </c>
      <c r="F4567">
        <v>558525312</v>
      </c>
      <c r="G4567">
        <v>455880498</v>
      </c>
      <c r="H4567">
        <v>410469599</v>
      </c>
      <c r="P4567">
        <v>167</v>
      </c>
      <c r="Q4567" t="s">
        <v>9479</v>
      </c>
    </row>
    <row r="4568" spans="1:17" x14ac:dyDescent="0.3">
      <c r="A4568" t="s">
        <v>4664</v>
      </c>
      <c r="B4568" t="str">
        <f>"300825"</f>
        <v>300825</v>
      </c>
      <c r="C4568" t="s">
        <v>9480</v>
      </c>
      <c r="D4568" t="s">
        <v>2359</v>
      </c>
      <c r="F4568">
        <v>812964128</v>
      </c>
      <c r="G4568">
        <v>394683610</v>
      </c>
      <c r="H4568">
        <v>500594028</v>
      </c>
      <c r="P4568">
        <v>92</v>
      </c>
      <c r="Q4568" t="s">
        <v>9481</v>
      </c>
    </row>
    <row r="4569" spans="1:17" x14ac:dyDescent="0.3">
      <c r="A4569" t="s">
        <v>4664</v>
      </c>
      <c r="B4569" t="str">
        <f>"300826"</f>
        <v>300826</v>
      </c>
      <c r="C4569" t="s">
        <v>9482</v>
      </c>
      <c r="D4569" t="s">
        <v>1272</v>
      </c>
      <c r="F4569">
        <v>409453869</v>
      </c>
      <c r="G4569">
        <v>341142080</v>
      </c>
      <c r="H4569">
        <v>339205608</v>
      </c>
      <c r="P4569">
        <v>61</v>
      </c>
      <c r="Q4569" t="s">
        <v>9483</v>
      </c>
    </row>
    <row r="4570" spans="1:17" x14ac:dyDescent="0.3">
      <c r="A4570" t="s">
        <v>4664</v>
      </c>
      <c r="B4570" t="str">
        <f>"300827"</f>
        <v>300827</v>
      </c>
      <c r="C4570" t="s">
        <v>9484</v>
      </c>
      <c r="D4570" t="s">
        <v>3797</v>
      </c>
      <c r="F4570">
        <v>608595967</v>
      </c>
      <c r="G4570">
        <v>440854580</v>
      </c>
      <c r="H4570">
        <v>553971055</v>
      </c>
      <c r="P4570">
        <v>233</v>
      </c>
      <c r="Q4570" t="s">
        <v>9485</v>
      </c>
    </row>
    <row r="4571" spans="1:17" x14ac:dyDescent="0.3">
      <c r="A4571" t="s">
        <v>4664</v>
      </c>
      <c r="B4571" t="str">
        <f>"300828"</f>
        <v>300828</v>
      </c>
      <c r="C4571" t="s">
        <v>9486</v>
      </c>
      <c r="D4571" t="s">
        <v>274</v>
      </c>
      <c r="F4571">
        <v>403954411</v>
      </c>
      <c r="G4571">
        <v>272997920</v>
      </c>
      <c r="H4571">
        <v>249143285</v>
      </c>
      <c r="P4571">
        <v>91</v>
      </c>
      <c r="Q4571" t="s">
        <v>9487</v>
      </c>
    </row>
    <row r="4572" spans="1:17" x14ac:dyDescent="0.3">
      <c r="A4572" t="s">
        <v>4664</v>
      </c>
      <c r="B4572" t="str">
        <f>"300829"</f>
        <v>300829</v>
      </c>
      <c r="C4572" t="s">
        <v>9488</v>
      </c>
      <c r="D4572" t="s">
        <v>677</v>
      </c>
      <c r="F4572">
        <v>1030115849</v>
      </c>
      <c r="G4572">
        <v>714974032</v>
      </c>
      <c r="H4572">
        <v>612732150</v>
      </c>
      <c r="P4572">
        <v>125</v>
      </c>
      <c r="Q4572" t="s">
        <v>9489</v>
      </c>
    </row>
    <row r="4573" spans="1:17" x14ac:dyDescent="0.3">
      <c r="A4573" t="s">
        <v>4664</v>
      </c>
      <c r="B4573" t="str">
        <f>"300830"</f>
        <v>300830</v>
      </c>
      <c r="C4573" t="s">
        <v>9490</v>
      </c>
      <c r="D4573" t="s">
        <v>945</v>
      </c>
      <c r="F4573">
        <v>324798149</v>
      </c>
      <c r="G4573">
        <v>204366834</v>
      </c>
      <c r="H4573">
        <v>212045850</v>
      </c>
      <c r="P4573">
        <v>74</v>
      </c>
      <c r="Q4573" t="s">
        <v>9491</v>
      </c>
    </row>
    <row r="4574" spans="1:17" x14ac:dyDescent="0.3">
      <c r="A4574" t="s">
        <v>4664</v>
      </c>
      <c r="B4574" t="str">
        <f>"300831"</f>
        <v>300831</v>
      </c>
      <c r="C4574" t="s">
        <v>9492</v>
      </c>
      <c r="D4574" t="s">
        <v>795</v>
      </c>
      <c r="F4574">
        <v>101452234</v>
      </c>
      <c r="G4574">
        <v>141768931</v>
      </c>
      <c r="H4574">
        <v>133544220</v>
      </c>
      <c r="P4574">
        <v>129</v>
      </c>
      <c r="Q4574" t="s">
        <v>9493</v>
      </c>
    </row>
    <row r="4575" spans="1:17" x14ac:dyDescent="0.3">
      <c r="A4575" t="s">
        <v>4664</v>
      </c>
      <c r="B4575" t="str">
        <f>"300832"</f>
        <v>300832</v>
      </c>
      <c r="C4575" t="s">
        <v>9494</v>
      </c>
      <c r="D4575" t="s">
        <v>1305</v>
      </c>
      <c r="F4575">
        <v>1817662611</v>
      </c>
      <c r="G4575">
        <v>1659795410</v>
      </c>
      <c r="H4575">
        <v>1221401948</v>
      </c>
      <c r="P4575">
        <v>513</v>
      </c>
      <c r="Q4575" t="s">
        <v>9495</v>
      </c>
    </row>
    <row r="4576" spans="1:17" x14ac:dyDescent="0.3">
      <c r="A4576" t="s">
        <v>4664</v>
      </c>
      <c r="B4576" t="str">
        <f>"300833"</f>
        <v>300833</v>
      </c>
      <c r="C4576" t="s">
        <v>9496</v>
      </c>
      <c r="D4576" t="s">
        <v>741</v>
      </c>
      <c r="F4576">
        <v>325408915</v>
      </c>
      <c r="G4576">
        <v>327489718</v>
      </c>
      <c r="H4576">
        <v>622181016</v>
      </c>
      <c r="P4576">
        <v>89</v>
      </c>
      <c r="Q4576" t="s">
        <v>9497</v>
      </c>
    </row>
    <row r="4577" spans="1:17" x14ac:dyDescent="0.3">
      <c r="A4577" t="s">
        <v>4664</v>
      </c>
      <c r="B4577" t="str">
        <f>"300834"</f>
        <v>300834</v>
      </c>
      <c r="C4577" t="s">
        <v>9498</v>
      </c>
      <c r="D4577" t="s">
        <v>3350</v>
      </c>
      <c r="F4577">
        <v>1666411643</v>
      </c>
      <c r="G4577">
        <v>1080725550</v>
      </c>
      <c r="P4577">
        <v>19</v>
      </c>
      <c r="Q4577" t="s">
        <v>9499</v>
      </c>
    </row>
    <row r="4578" spans="1:17" x14ac:dyDescent="0.3">
      <c r="A4578" t="s">
        <v>4664</v>
      </c>
      <c r="B4578" t="str">
        <f>"300835"</f>
        <v>300835</v>
      </c>
      <c r="C4578" t="s">
        <v>9500</v>
      </c>
      <c r="D4578" t="s">
        <v>808</v>
      </c>
      <c r="F4578">
        <v>511517610</v>
      </c>
      <c r="G4578">
        <v>323928444</v>
      </c>
      <c r="H4578">
        <v>388890213</v>
      </c>
      <c r="P4578">
        <v>67</v>
      </c>
      <c r="Q4578" t="s">
        <v>9501</v>
      </c>
    </row>
    <row r="4579" spans="1:17" x14ac:dyDescent="0.3">
      <c r="A4579" t="s">
        <v>4664</v>
      </c>
      <c r="B4579" t="str">
        <f>"300836"</f>
        <v>300836</v>
      </c>
      <c r="C4579" t="s">
        <v>9502</v>
      </c>
      <c r="D4579" t="s">
        <v>741</v>
      </c>
      <c r="F4579">
        <v>303793640</v>
      </c>
      <c r="G4579">
        <v>247998042</v>
      </c>
      <c r="H4579">
        <v>247048398</v>
      </c>
      <c r="P4579">
        <v>61</v>
      </c>
      <c r="Q4579" t="s">
        <v>9503</v>
      </c>
    </row>
    <row r="4580" spans="1:17" x14ac:dyDescent="0.3">
      <c r="A4580" t="s">
        <v>4664</v>
      </c>
      <c r="B4580" t="str">
        <f>"300837"</f>
        <v>300837</v>
      </c>
      <c r="C4580" t="s">
        <v>9504</v>
      </c>
      <c r="D4580" t="s">
        <v>395</v>
      </c>
      <c r="F4580">
        <v>412065582</v>
      </c>
      <c r="G4580">
        <v>325329765</v>
      </c>
      <c r="H4580">
        <v>227036959</v>
      </c>
      <c r="P4580">
        <v>154</v>
      </c>
      <c r="Q4580" t="s">
        <v>9505</v>
      </c>
    </row>
    <row r="4581" spans="1:17" x14ac:dyDescent="0.3">
      <c r="A4581" t="s">
        <v>4664</v>
      </c>
      <c r="B4581" t="str">
        <f>"300838"</f>
        <v>300838</v>
      </c>
      <c r="C4581" t="s">
        <v>9506</v>
      </c>
      <c r="D4581" t="s">
        <v>274</v>
      </c>
      <c r="F4581">
        <v>508974252</v>
      </c>
      <c r="G4581">
        <v>364162615</v>
      </c>
      <c r="H4581">
        <v>312795280</v>
      </c>
      <c r="P4581">
        <v>39</v>
      </c>
      <c r="Q4581" t="s">
        <v>9507</v>
      </c>
    </row>
    <row r="4582" spans="1:17" x14ac:dyDescent="0.3">
      <c r="A4582" t="s">
        <v>4664</v>
      </c>
      <c r="B4582" t="str">
        <f>"300839"</f>
        <v>300839</v>
      </c>
      <c r="C4582" t="s">
        <v>9508</v>
      </c>
      <c r="D4582" t="s">
        <v>1615</v>
      </c>
      <c r="F4582">
        <v>998606132</v>
      </c>
      <c r="G4582">
        <v>814284600</v>
      </c>
      <c r="H4582">
        <v>691452660</v>
      </c>
      <c r="P4582">
        <v>58</v>
      </c>
      <c r="Q4582" t="s">
        <v>9509</v>
      </c>
    </row>
    <row r="4583" spans="1:17" x14ac:dyDescent="0.3">
      <c r="A4583" t="s">
        <v>4664</v>
      </c>
      <c r="B4583" t="str">
        <f>"300840"</f>
        <v>300840</v>
      </c>
      <c r="C4583" t="s">
        <v>9510</v>
      </c>
      <c r="D4583" t="s">
        <v>255</v>
      </c>
      <c r="F4583">
        <v>450947858</v>
      </c>
      <c r="G4583">
        <v>541324384</v>
      </c>
      <c r="H4583">
        <v>399289185</v>
      </c>
      <c r="P4583">
        <v>64</v>
      </c>
      <c r="Q4583" t="s">
        <v>9511</v>
      </c>
    </row>
    <row r="4584" spans="1:17" x14ac:dyDescent="0.3">
      <c r="A4584" t="s">
        <v>4664</v>
      </c>
      <c r="B4584" t="str">
        <f>"300841"</f>
        <v>300841</v>
      </c>
      <c r="C4584" t="s">
        <v>9512</v>
      </c>
      <c r="D4584" t="s">
        <v>1499</v>
      </c>
      <c r="F4584">
        <v>539711055</v>
      </c>
      <c r="G4584">
        <v>697894136</v>
      </c>
      <c r="H4584">
        <v>409019259</v>
      </c>
      <c r="P4584">
        <v>314</v>
      </c>
      <c r="Q4584" t="s">
        <v>9513</v>
      </c>
    </row>
    <row r="4585" spans="1:17" x14ac:dyDescent="0.3">
      <c r="A4585" t="s">
        <v>4664</v>
      </c>
      <c r="B4585" t="str">
        <f>"300842"</f>
        <v>300842</v>
      </c>
      <c r="C4585" t="s">
        <v>9514</v>
      </c>
      <c r="D4585" t="s">
        <v>478</v>
      </c>
      <c r="F4585">
        <v>1986846833</v>
      </c>
      <c r="G4585">
        <v>1009064052</v>
      </c>
      <c r="H4585">
        <v>961338460</v>
      </c>
      <c r="P4585">
        <v>130</v>
      </c>
      <c r="Q4585" t="s">
        <v>9515</v>
      </c>
    </row>
    <row r="4586" spans="1:17" x14ac:dyDescent="0.3">
      <c r="A4586" t="s">
        <v>4664</v>
      </c>
      <c r="B4586" t="str">
        <f>"300843"</f>
        <v>300843</v>
      </c>
      <c r="C4586" t="s">
        <v>9516</v>
      </c>
      <c r="D4586" t="s">
        <v>313</v>
      </c>
      <c r="F4586">
        <v>883402343</v>
      </c>
      <c r="G4586">
        <v>497715833</v>
      </c>
      <c r="H4586">
        <v>397718210</v>
      </c>
      <c r="P4586">
        <v>80</v>
      </c>
      <c r="Q4586" t="s">
        <v>9517</v>
      </c>
    </row>
    <row r="4587" spans="1:17" x14ac:dyDescent="0.3">
      <c r="A4587" t="s">
        <v>4664</v>
      </c>
      <c r="B4587" t="str">
        <f>"300844"</f>
        <v>300844</v>
      </c>
      <c r="C4587" t="s">
        <v>9518</v>
      </c>
      <c r="D4587" t="s">
        <v>1272</v>
      </c>
      <c r="F4587">
        <v>313037453</v>
      </c>
      <c r="P4587">
        <v>16</v>
      </c>
      <c r="Q4587" t="s">
        <v>9519</v>
      </c>
    </row>
    <row r="4588" spans="1:17" x14ac:dyDescent="0.3">
      <c r="A4588" t="s">
        <v>4664</v>
      </c>
      <c r="B4588" t="str">
        <f>"300845"</f>
        <v>300845</v>
      </c>
      <c r="C4588" t="s">
        <v>9520</v>
      </c>
      <c r="D4588" t="s">
        <v>236</v>
      </c>
      <c r="F4588">
        <v>134371172</v>
      </c>
      <c r="G4588">
        <v>101520591</v>
      </c>
      <c r="H4588">
        <v>127919728</v>
      </c>
      <c r="P4588">
        <v>83</v>
      </c>
      <c r="Q4588" t="s">
        <v>9521</v>
      </c>
    </row>
    <row r="4589" spans="1:17" x14ac:dyDescent="0.3">
      <c r="A4589" t="s">
        <v>4664</v>
      </c>
      <c r="B4589" t="str">
        <f>"300846"</f>
        <v>300846</v>
      </c>
      <c r="C4589" t="s">
        <v>9522</v>
      </c>
      <c r="D4589" t="s">
        <v>316</v>
      </c>
      <c r="F4589">
        <v>940433901</v>
      </c>
      <c r="G4589">
        <v>721697399</v>
      </c>
      <c r="H4589">
        <v>540167361</v>
      </c>
      <c r="J4589">
        <v>348227831</v>
      </c>
      <c r="P4589">
        <v>78</v>
      </c>
      <c r="Q4589" t="s">
        <v>9523</v>
      </c>
    </row>
    <row r="4590" spans="1:17" x14ac:dyDescent="0.3">
      <c r="A4590" t="s">
        <v>4664</v>
      </c>
      <c r="B4590" t="str">
        <f>"300847"</f>
        <v>300847</v>
      </c>
      <c r="C4590" t="s">
        <v>9524</v>
      </c>
      <c r="D4590" t="s">
        <v>386</v>
      </c>
      <c r="F4590">
        <v>758552282</v>
      </c>
      <c r="G4590">
        <v>677531899</v>
      </c>
      <c r="H4590">
        <v>657429056</v>
      </c>
      <c r="P4590">
        <v>53</v>
      </c>
      <c r="Q4590" t="s">
        <v>9525</v>
      </c>
    </row>
    <row r="4591" spans="1:17" x14ac:dyDescent="0.3">
      <c r="A4591" t="s">
        <v>4664</v>
      </c>
      <c r="B4591" t="str">
        <f>"300848"</f>
        <v>300848</v>
      </c>
      <c r="C4591" t="s">
        <v>9526</v>
      </c>
      <c r="D4591" t="s">
        <v>528</v>
      </c>
      <c r="F4591">
        <v>685956731</v>
      </c>
      <c r="G4591">
        <v>401511668</v>
      </c>
      <c r="H4591">
        <v>359519923</v>
      </c>
      <c r="P4591">
        <v>125</v>
      </c>
      <c r="Q4591" t="s">
        <v>9527</v>
      </c>
    </row>
    <row r="4592" spans="1:17" x14ac:dyDescent="0.3">
      <c r="A4592" t="s">
        <v>4664</v>
      </c>
      <c r="B4592" t="str">
        <f>"300849"</f>
        <v>300849</v>
      </c>
      <c r="C4592" t="s">
        <v>9528</v>
      </c>
      <c r="D4592" t="s">
        <v>5892</v>
      </c>
      <c r="F4592">
        <v>211012299</v>
      </c>
      <c r="G4592">
        <v>199053854</v>
      </c>
      <c r="H4592">
        <v>256371630</v>
      </c>
      <c r="P4592">
        <v>44</v>
      </c>
      <c r="Q4592" t="s">
        <v>9529</v>
      </c>
    </row>
    <row r="4593" spans="1:17" x14ac:dyDescent="0.3">
      <c r="A4593" t="s">
        <v>4664</v>
      </c>
      <c r="B4593" t="str">
        <f>"300850"</f>
        <v>300850</v>
      </c>
      <c r="C4593" t="s">
        <v>9530</v>
      </c>
      <c r="D4593" t="s">
        <v>950</v>
      </c>
      <c r="F4593">
        <v>751359093</v>
      </c>
      <c r="G4593">
        <v>799575305</v>
      </c>
      <c r="H4593">
        <v>264757101</v>
      </c>
      <c r="P4593">
        <v>264</v>
      </c>
      <c r="Q4593" t="s">
        <v>9531</v>
      </c>
    </row>
    <row r="4594" spans="1:17" x14ac:dyDescent="0.3">
      <c r="A4594" t="s">
        <v>4664</v>
      </c>
      <c r="B4594" t="str">
        <f>"300851"</f>
        <v>300851</v>
      </c>
      <c r="C4594" t="s">
        <v>9532</v>
      </c>
      <c r="D4594" t="s">
        <v>1012</v>
      </c>
      <c r="F4594">
        <v>239173385</v>
      </c>
      <c r="G4594">
        <v>197458452</v>
      </c>
      <c r="H4594">
        <v>274009204</v>
      </c>
      <c r="P4594">
        <v>45</v>
      </c>
      <c r="Q4594" t="s">
        <v>9533</v>
      </c>
    </row>
    <row r="4595" spans="1:17" x14ac:dyDescent="0.3">
      <c r="A4595" t="s">
        <v>4664</v>
      </c>
      <c r="B4595" t="str">
        <f>"300852"</f>
        <v>300852</v>
      </c>
      <c r="C4595" t="s">
        <v>9534</v>
      </c>
      <c r="D4595" t="s">
        <v>425</v>
      </c>
      <c r="F4595">
        <v>625463416</v>
      </c>
      <c r="G4595">
        <v>437952382</v>
      </c>
      <c r="H4595">
        <v>308869975</v>
      </c>
      <c r="P4595">
        <v>103</v>
      </c>
      <c r="Q4595" t="s">
        <v>9535</v>
      </c>
    </row>
    <row r="4596" spans="1:17" x14ac:dyDescent="0.3">
      <c r="A4596" t="s">
        <v>4664</v>
      </c>
      <c r="B4596" t="str">
        <f>"300853"</f>
        <v>300853</v>
      </c>
      <c r="C4596" t="s">
        <v>9536</v>
      </c>
      <c r="D4596" t="s">
        <v>2911</v>
      </c>
      <c r="F4596">
        <v>258744925</v>
      </c>
      <c r="G4596">
        <v>235607432</v>
      </c>
      <c r="H4596">
        <v>220915669</v>
      </c>
      <c r="P4596">
        <v>142</v>
      </c>
      <c r="Q4596" t="s">
        <v>9537</v>
      </c>
    </row>
    <row r="4597" spans="1:17" x14ac:dyDescent="0.3">
      <c r="A4597" t="s">
        <v>4664</v>
      </c>
      <c r="B4597" t="str">
        <f>"300854"</f>
        <v>300854</v>
      </c>
      <c r="C4597" t="s">
        <v>9538</v>
      </c>
      <c r="D4597" t="s">
        <v>499</v>
      </c>
      <c r="F4597">
        <v>360995111</v>
      </c>
      <c r="P4597">
        <v>19</v>
      </c>
      <c r="Q4597" t="s">
        <v>9539</v>
      </c>
    </row>
    <row r="4598" spans="1:17" x14ac:dyDescent="0.3">
      <c r="A4598" t="s">
        <v>4664</v>
      </c>
      <c r="B4598" t="str">
        <f>"300855"</f>
        <v>300855</v>
      </c>
      <c r="C4598" t="s">
        <v>9540</v>
      </c>
      <c r="D4598" t="s">
        <v>581</v>
      </c>
      <c r="F4598">
        <v>544962640</v>
      </c>
      <c r="G4598">
        <v>309022231</v>
      </c>
      <c r="H4598">
        <v>293987953</v>
      </c>
      <c r="P4598">
        <v>139</v>
      </c>
      <c r="Q4598" t="s">
        <v>9541</v>
      </c>
    </row>
    <row r="4599" spans="1:17" x14ac:dyDescent="0.3">
      <c r="A4599" t="s">
        <v>4664</v>
      </c>
      <c r="B4599" t="str">
        <f>"300856"</f>
        <v>300856</v>
      </c>
      <c r="C4599" t="s">
        <v>9542</v>
      </c>
      <c r="D4599" t="s">
        <v>5892</v>
      </c>
      <c r="F4599">
        <v>759050559</v>
      </c>
      <c r="G4599">
        <v>784242393</v>
      </c>
      <c r="H4599">
        <v>802815319</v>
      </c>
      <c r="P4599">
        <v>131</v>
      </c>
      <c r="Q4599" t="s">
        <v>9543</v>
      </c>
    </row>
    <row r="4600" spans="1:17" x14ac:dyDescent="0.3">
      <c r="A4600" t="s">
        <v>4664</v>
      </c>
      <c r="B4600" t="str">
        <f>"300857"</f>
        <v>300857</v>
      </c>
      <c r="C4600" t="s">
        <v>9544</v>
      </c>
      <c r="D4600" t="s">
        <v>313</v>
      </c>
      <c r="F4600">
        <v>2144005787</v>
      </c>
      <c r="G4600">
        <v>1646487056</v>
      </c>
      <c r="H4600">
        <v>1181994774</v>
      </c>
      <c r="P4600">
        <v>59</v>
      </c>
      <c r="Q4600" t="s">
        <v>9545</v>
      </c>
    </row>
    <row r="4601" spans="1:17" x14ac:dyDescent="0.3">
      <c r="A4601" t="s">
        <v>4664</v>
      </c>
      <c r="B4601" t="str">
        <f>"300858"</f>
        <v>300858</v>
      </c>
      <c r="C4601" t="s">
        <v>9546</v>
      </c>
      <c r="D4601" t="s">
        <v>677</v>
      </c>
      <c r="F4601">
        <v>325136863</v>
      </c>
      <c r="G4601">
        <v>265974040</v>
      </c>
      <c r="H4601">
        <v>244079287</v>
      </c>
      <c r="P4601">
        <v>75</v>
      </c>
      <c r="Q4601" t="s">
        <v>9547</v>
      </c>
    </row>
    <row r="4602" spans="1:17" x14ac:dyDescent="0.3">
      <c r="A4602" t="s">
        <v>4664</v>
      </c>
      <c r="B4602" t="str">
        <f>"300859"</f>
        <v>300859</v>
      </c>
      <c r="C4602" t="s">
        <v>9548</v>
      </c>
      <c r="D4602" t="s">
        <v>119</v>
      </c>
      <c r="F4602">
        <v>150024652</v>
      </c>
      <c r="G4602">
        <v>28653390</v>
      </c>
      <c r="H4602">
        <v>230618579</v>
      </c>
      <c r="P4602">
        <v>69</v>
      </c>
      <c r="Q4602" t="s">
        <v>9549</v>
      </c>
    </row>
    <row r="4603" spans="1:17" x14ac:dyDescent="0.3">
      <c r="A4603" t="s">
        <v>4664</v>
      </c>
      <c r="B4603" t="str">
        <f>"300860"</f>
        <v>300860</v>
      </c>
      <c r="C4603" t="s">
        <v>9550</v>
      </c>
      <c r="D4603" t="s">
        <v>1671</v>
      </c>
      <c r="F4603">
        <v>228346556</v>
      </c>
      <c r="G4603">
        <v>359604053</v>
      </c>
      <c r="H4603">
        <v>874010214</v>
      </c>
      <c r="P4603">
        <v>95</v>
      </c>
      <c r="Q4603" t="s">
        <v>9551</v>
      </c>
    </row>
    <row r="4604" spans="1:17" x14ac:dyDescent="0.3">
      <c r="A4604" t="s">
        <v>4664</v>
      </c>
      <c r="B4604" t="str">
        <f>"300861"</f>
        <v>300861</v>
      </c>
      <c r="C4604" t="s">
        <v>9552</v>
      </c>
      <c r="D4604" t="s">
        <v>404</v>
      </c>
      <c r="F4604">
        <v>681216958</v>
      </c>
      <c r="G4604">
        <v>609749184</v>
      </c>
      <c r="H4604">
        <v>694731855</v>
      </c>
      <c r="P4604">
        <v>147</v>
      </c>
      <c r="Q4604" t="s">
        <v>9553</v>
      </c>
    </row>
    <row r="4605" spans="1:17" x14ac:dyDescent="0.3">
      <c r="A4605" t="s">
        <v>4664</v>
      </c>
      <c r="B4605" t="str">
        <f>"300862"</f>
        <v>300862</v>
      </c>
      <c r="C4605" t="s">
        <v>9554</v>
      </c>
      <c r="D4605" t="s">
        <v>2551</v>
      </c>
      <c r="F4605">
        <v>406618478</v>
      </c>
      <c r="G4605">
        <v>406028319</v>
      </c>
      <c r="H4605">
        <v>352108277</v>
      </c>
      <c r="P4605">
        <v>68</v>
      </c>
      <c r="Q4605" t="s">
        <v>9555</v>
      </c>
    </row>
    <row r="4606" spans="1:17" x14ac:dyDescent="0.3">
      <c r="A4606" t="s">
        <v>4664</v>
      </c>
      <c r="B4606" t="str">
        <f>"300863"</f>
        <v>300863</v>
      </c>
      <c r="C4606" t="s">
        <v>9556</v>
      </c>
      <c r="D4606" t="s">
        <v>1415</v>
      </c>
      <c r="F4606">
        <v>1700420919</v>
      </c>
      <c r="G4606">
        <v>818449154</v>
      </c>
      <c r="H4606">
        <v>726470859</v>
      </c>
      <c r="P4606">
        <v>75</v>
      </c>
      <c r="Q4606" t="s">
        <v>9557</v>
      </c>
    </row>
    <row r="4607" spans="1:17" x14ac:dyDescent="0.3">
      <c r="A4607" t="s">
        <v>4664</v>
      </c>
      <c r="B4607" t="str">
        <f>"300864"</f>
        <v>300864</v>
      </c>
      <c r="C4607" t="s">
        <v>9558</v>
      </c>
      <c r="D4607" t="s">
        <v>3548</v>
      </c>
      <c r="F4607">
        <v>337026627</v>
      </c>
      <c r="G4607">
        <v>241405844</v>
      </c>
      <c r="H4607">
        <v>200228689</v>
      </c>
      <c r="P4607">
        <v>121</v>
      </c>
      <c r="Q4607" t="s">
        <v>9559</v>
      </c>
    </row>
    <row r="4608" spans="1:17" x14ac:dyDescent="0.3">
      <c r="A4608" t="s">
        <v>4664</v>
      </c>
      <c r="B4608" t="str">
        <f>"300865"</f>
        <v>300865</v>
      </c>
      <c r="C4608" t="s">
        <v>9560</v>
      </c>
      <c r="D4608" t="s">
        <v>395</v>
      </c>
      <c r="F4608">
        <v>527641329</v>
      </c>
      <c r="G4608">
        <v>528423435</v>
      </c>
      <c r="H4608">
        <v>497338519</v>
      </c>
      <c r="P4608">
        <v>43</v>
      </c>
      <c r="Q4608" t="s">
        <v>9561</v>
      </c>
    </row>
    <row r="4609" spans="1:17" x14ac:dyDescent="0.3">
      <c r="A4609" t="s">
        <v>4664</v>
      </c>
      <c r="B4609" t="str">
        <f>"300866"</f>
        <v>300866</v>
      </c>
      <c r="C4609" t="s">
        <v>9562</v>
      </c>
      <c r="D4609" t="s">
        <v>3499</v>
      </c>
      <c r="F4609">
        <v>7756783472</v>
      </c>
      <c r="G4609">
        <v>4956279682</v>
      </c>
      <c r="H4609">
        <v>4118149074</v>
      </c>
      <c r="P4609">
        <v>311</v>
      </c>
      <c r="Q4609" t="s">
        <v>9563</v>
      </c>
    </row>
    <row r="4610" spans="1:17" x14ac:dyDescent="0.3">
      <c r="A4610" t="s">
        <v>4664</v>
      </c>
      <c r="B4610" t="str">
        <f>"300867"</f>
        <v>300867</v>
      </c>
      <c r="C4610" t="s">
        <v>9564</v>
      </c>
      <c r="D4610" t="s">
        <v>499</v>
      </c>
      <c r="F4610">
        <v>730711528</v>
      </c>
      <c r="G4610">
        <v>651668875</v>
      </c>
      <c r="H4610">
        <v>642912340</v>
      </c>
      <c r="P4610">
        <v>103</v>
      </c>
      <c r="Q4610" t="s">
        <v>9565</v>
      </c>
    </row>
    <row r="4611" spans="1:17" x14ac:dyDescent="0.3">
      <c r="A4611" t="s">
        <v>4664</v>
      </c>
      <c r="B4611" t="str">
        <f>"300868"</f>
        <v>300868</v>
      </c>
      <c r="C4611" t="s">
        <v>9566</v>
      </c>
      <c r="D4611" t="s">
        <v>651</v>
      </c>
      <c r="F4611">
        <v>558241915</v>
      </c>
      <c r="G4611">
        <v>601679882</v>
      </c>
      <c r="H4611">
        <v>621261187</v>
      </c>
      <c r="P4611">
        <v>40</v>
      </c>
      <c r="Q4611" t="s">
        <v>9567</v>
      </c>
    </row>
    <row r="4612" spans="1:17" x14ac:dyDescent="0.3">
      <c r="A4612" t="s">
        <v>4664</v>
      </c>
      <c r="B4612" t="str">
        <f>"300869"</f>
        <v>300869</v>
      </c>
      <c r="C4612" t="s">
        <v>9568</v>
      </c>
      <c r="D4612" t="s">
        <v>122</v>
      </c>
      <c r="F4612">
        <v>755771899</v>
      </c>
      <c r="G4612">
        <v>1098615408</v>
      </c>
      <c r="H4612">
        <v>258995120</v>
      </c>
      <c r="P4612">
        <v>174</v>
      </c>
      <c r="Q4612" t="s">
        <v>9569</v>
      </c>
    </row>
    <row r="4613" spans="1:17" x14ac:dyDescent="0.3">
      <c r="A4613" t="s">
        <v>4664</v>
      </c>
      <c r="B4613" t="str">
        <f>"300870"</f>
        <v>300870</v>
      </c>
      <c r="C4613" t="s">
        <v>9570</v>
      </c>
      <c r="D4613" t="s">
        <v>880</v>
      </c>
      <c r="F4613">
        <v>1653157517</v>
      </c>
      <c r="G4613">
        <v>1121734747</v>
      </c>
      <c r="H4613">
        <v>774288312</v>
      </c>
      <c r="P4613">
        <v>131</v>
      </c>
      <c r="Q4613" t="s">
        <v>9571</v>
      </c>
    </row>
    <row r="4614" spans="1:17" x14ac:dyDescent="0.3">
      <c r="A4614" t="s">
        <v>4664</v>
      </c>
      <c r="B4614" t="str">
        <f>"300871"</f>
        <v>300871</v>
      </c>
      <c r="C4614" t="s">
        <v>9572</v>
      </c>
      <c r="D4614" t="s">
        <v>453</v>
      </c>
      <c r="F4614">
        <v>771279448</v>
      </c>
      <c r="G4614">
        <v>427478624</v>
      </c>
      <c r="H4614">
        <v>290656162</v>
      </c>
      <c r="P4614">
        <v>83</v>
      </c>
      <c r="Q4614" t="s">
        <v>9573</v>
      </c>
    </row>
    <row r="4615" spans="1:17" x14ac:dyDescent="0.3">
      <c r="A4615" t="s">
        <v>4664</v>
      </c>
      <c r="B4615" t="str">
        <f>"300872"</f>
        <v>300872</v>
      </c>
      <c r="C4615" t="s">
        <v>9574</v>
      </c>
      <c r="D4615" t="s">
        <v>316</v>
      </c>
      <c r="F4615">
        <v>815019823</v>
      </c>
      <c r="G4615">
        <v>493414165</v>
      </c>
      <c r="H4615">
        <v>448414969</v>
      </c>
      <c r="P4615">
        <v>74</v>
      </c>
      <c r="Q4615" t="s">
        <v>9575</v>
      </c>
    </row>
    <row r="4616" spans="1:17" x14ac:dyDescent="0.3">
      <c r="A4616" t="s">
        <v>4664</v>
      </c>
      <c r="B4616" t="str">
        <f>"300873"</f>
        <v>300873</v>
      </c>
      <c r="C4616" t="s">
        <v>9576</v>
      </c>
      <c r="D4616" t="s">
        <v>3098</v>
      </c>
      <c r="F4616">
        <v>1000429102</v>
      </c>
      <c r="G4616">
        <v>733285149</v>
      </c>
      <c r="H4616">
        <v>671651943</v>
      </c>
      <c r="P4616">
        <v>88</v>
      </c>
      <c r="Q4616" t="s">
        <v>9577</v>
      </c>
    </row>
    <row r="4617" spans="1:17" x14ac:dyDescent="0.3">
      <c r="A4617" t="s">
        <v>4664</v>
      </c>
      <c r="B4617" t="str">
        <f>"300875"</f>
        <v>300875</v>
      </c>
      <c r="C4617" t="s">
        <v>9578</v>
      </c>
      <c r="D4617" t="s">
        <v>428</v>
      </c>
      <c r="F4617">
        <v>304077003</v>
      </c>
      <c r="G4617">
        <v>128796193</v>
      </c>
      <c r="H4617">
        <v>200012777</v>
      </c>
      <c r="P4617">
        <v>106</v>
      </c>
      <c r="Q4617" t="s">
        <v>9579</v>
      </c>
    </row>
    <row r="4618" spans="1:17" x14ac:dyDescent="0.3">
      <c r="A4618" t="s">
        <v>4664</v>
      </c>
      <c r="B4618" t="str">
        <f>"300876"</f>
        <v>300876</v>
      </c>
      <c r="C4618" t="s">
        <v>9580</v>
      </c>
      <c r="D4618" t="s">
        <v>146</v>
      </c>
      <c r="F4618">
        <v>279130657</v>
      </c>
      <c r="G4618">
        <v>232897461</v>
      </c>
      <c r="H4618">
        <v>237118518</v>
      </c>
      <c r="P4618">
        <v>67</v>
      </c>
      <c r="Q4618" t="s">
        <v>9581</v>
      </c>
    </row>
    <row r="4619" spans="1:17" x14ac:dyDescent="0.3">
      <c r="A4619" t="s">
        <v>4664</v>
      </c>
      <c r="B4619" t="str">
        <f>"300877"</f>
        <v>300877</v>
      </c>
      <c r="C4619" t="s">
        <v>9582</v>
      </c>
      <c r="D4619" t="s">
        <v>366</v>
      </c>
      <c r="F4619">
        <v>534938783</v>
      </c>
      <c r="G4619">
        <v>743883715</v>
      </c>
      <c r="H4619">
        <v>508633613</v>
      </c>
      <c r="P4619">
        <v>75</v>
      </c>
      <c r="Q4619" t="s">
        <v>9583</v>
      </c>
    </row>
    <row r="4620" spans="1:17" x14ac:dyDescent="0.3">
      <c r="A4620" t="s">
        <v>4664</v>
      </c>
      <c r="B4620" t="str">
        <f>"300878"</f>
        <v>300878</v>
      </c>
      <c r="C4620" t="s">
        <v>9584</v>
      </c>
      <c r="D4620" t="s">
        <v>188</v>
      </c>
      <c r="F4620">
        <v>415801571</v>
      </c>
      <c r="G4620">
        <v>391568456</v>
      </c>
      <c r="H4620">
        <v>495009630</v>
      </c>
      <c r="P4620">
        <v>132</v>
      </c>
      <c r="Q4620" t="s">
        <v>9585</v>
      </c>
    </row>
    <row r="4621" spans="1:17" x14ac:dyDescent="0.3">
      <c r="A4621" t="s">
        <v>4664</v>
      </c>
      <c r="B4621" t="str">
        <f>"300879"</f>
        <v>300879</v>
      </c>
      <c r="C4621" t="s">
        <v>9586</v>
      </c>
      <c r="D4621" t="s">
        <v>741</v>
      </c>
      <c r="F4621">
        <v>1128648447</v>
      </c>
      <c r="G4621">
        <v>1055359069</v>
      </c>
      <c r="H4621">
        <v>717810024</v>
      </c>
      <c r="P4621">
        <v>52</v>
      </c>
      <c r="Q4621" t="s">
        <v>9587</v>
      </c>
    </row>
    <row r="4622" spans="1:17" x14ac:dyDescent="0.3">
      <c r="A4622" t="s">
        <v>4664</v>
      </c>
      <c r="B4622" t="str">
        <f>"300880"</f>
        <v>300880</v>
      </c>
      <c r="C4622" t="s">
        <v>9588</v>
      </c>
      <c r="D4622" t="s">
        <v>2171</v>
      </c>
      <c r="F4622">
        <v>359336776</v>
      </c>
      <c r="G4622">
        <v>318517508</v>
      </c>
      <c r="H4622">
        <v>235523199</v>
      </c>
      <c r="P4622">
        <v>55</v>
      </c>
      <c r="Q4622" t="s">
        <v>9589</v>
      </c>
    </row>
    <row r="4623" spans="1:17" x14ac:dyDescent="0.3">
      <c r="A4623" t="s">
        <v>4664</v>
      </c>
      <c r="B4623" t="str">
        <f>"300881"</f>
        <v>300881</v>
      </c>
      <c r="C4623" t="s">
        <v>9590</v>
      </c>
      <c r="D4623" t="s">
        <v>281</v>
      </c>
      <c r="F4623">
        <v>505551837</v>
      </c>
      <c r="G4623">
        <v>630130042</v>
      </c>
      <c r="H4623">
        <v>641378082</v>
      </c>
      <c r="P4623">
        <v>31</v>
      </c>
      <c r="Q4623" t="s">
        <v>9591</v>
      </c>
    </row>
    <row r="4624" spans="1:17" x14ac:dyDescent="0.3">
      <c r="A4624" t="s">
        <v>4664</v>
      </c>
      <c r="B4624" t="str">
        <f>"300882"</f>
        <v>300882</v>
      </c>
      <c r="C4624" t="s">
        <v>9592</v>
      </c>
      <c r="D4624" t="s">
        <v>2171</v>
      </c>
      <c r="F4624">
        <v>347047512</v>
      </c>
      <c r="G4624">
        <v>208877652</v>
      </c>
      <c r="H4624">
        <v>344586316</v>
      </c>
      <c r="P4624">
        <v>41</v>
      </c>
      <c r="Q4624" t="s">
        <v>9593</v>
      </c>
    </row>
    <row r="4625" spans="1:17" x14ac:dyDescent="0.3">
      <c r="A4625" t="s">
        <v>4664</v>
      </c>
      <c r="B4625" t="str">
        <f>"300883"</f>
        <v>300883</v>
      </c>
      <c r="C4625" t="s">
        <v>9594</v>
      </c>
      <c r="D4625" t="s">
        <v>2156</v>
      </c>
      <c r="F4625">
        <v>586707055</v>
      </c>
      <c r="G4625">
        <v>536921057</v>
      </c>
      <c r="H4625">
        <v>629329345</v>
      </c>
      <c r="P4625">
        <v>37</v>
      </c>
      <c r="Q4625" t="s">
        <v>9595</v>
      </c>
    </row>
    <row r="4626" spans="1:17" x14ac:dyDescent="0.3">
      <c r="A4626" t="s">
        <v>4664</v>
      </c>
      <c r="B4626" t="str">
        <f>"300884"</f>
        <v>300884</v>
      </c>
      <c r="C4626" t="s">
        <v>9596</v>
      </c>
      <c r="D4626" t="s">
        <v>2953</v>
      </c>
      <c r="F4626">
        <v>481344261</v>
      </c>
      <c r="G4626">
        <v>0</v>
      </c>
      <c r="H4626">
        <v>0</v>
      </c>
      <c r="P4626">
        <v>68</v>
      </c>
      <c r="Q4626" t="s">
        <v>9597</v>
      </c>
    </row>
    <row r="4627" spans="1:17" x14ac:dyDescent="0.3">
      <c r="A4627" t="s">
        <v>4664</v>
      </c>
      <c r="B4627" t="str">
        <f>"300885"</f>
        <v>300885</v>
      </c>
      <c r="C4627" t="s">
        <v>9598</v>
      </c>
      <c r="D4627" t="s">
        <v>274</v>
      </c>
      <c r="F4627">
        <v>239242931</v>
      </c>
      <c r="G4627">
        <v>128118949</v>
      </c>
      <c r="H4627">
        <v>143031109</v>
      </c>
      <c r="P4627">
        <v>45</v>
      </c>
      <c r="Q4627" t="s">
        <v>9599</v>
      </c>
    </row>
    <row r="4628" spans="1:17" x14ac:dyDescent="0.3">
      <c r="A4628" t="s">
        <v>4664</v>
      </c>
      <c r="B4628" t="str">
        <f>"300886"</f>
        <v>300886</v>
      </c>
      <c r="C4628" t="s">
        <v>9600</v>
      </c>
      <c r="D4628" t="s">
        <v>5892</v>
      </c>
      <c r="F4628">
        <v>178672651</v>
      </c>
      <c r="G4628">
        <v>163191896</v>
      </c>
      <c r="H4628">
        <v>162939392</v>
      </c>
      <c r="P4628">
        <v>49</v>
      </c>
      <c r="Q4628" t="s">
        <v>9601</v>
      </c>
    </row>
    <row r="4629" spans="1:17" x14ac:dyDescent="0.3">
      <c r="A4629" t="s">
        <v>4664</v>
      </c>
      <c r="B4629" t="str">
        <f>"300887"</f>
        <v>300887</v>
      </c>
      <c r="C4629" t="s">
        <v>9602</v>
      </c>
      <c r="D4629" t="s">
        <v>2499</v>
      </c>
      <c r="F4629">
        <v>1000619946</v>
      </c>
      <c r="G4629">
        <v>839966076</v>
      </c>
      <c r="H4629">
        <v>779905111</v>
      </c>
      <c r="P4629">
        <v>117</v>
      </c>
      <c r="Q4629" t="s">
        <v>9603</v>
      </c>
    </row>
    <row r="4630" spans="1:17" x14ac:dyDescent="0.3">
      <c r="A4630" t="s">
        <v>4664</v>
      </c>
      <c r="B4630" t="str">
        <f>"300888"</f>
        <v>300888</v>
      </c>
      <c r="C4630" t="s">
        <v>9604</v>
      </c>
      <c r="D4630" t="s">
        <v>2728</v>
      </c>
      <c r="F4630">
        <v>6363674104</v>
      </c>
      <c r="G4630">
        <v>10605379914</v>
      </c>
      <c r="H4630">
        <v>3464577210</v>
      </c>
      <c r="P4630">
        <v>457</v>
      </c>
      <c r="Q4630" t="s">
        <v>9605</v>
      </c>
    </row>
    <row r="4631" spans="1:17" x14ac:dyDescent="0.3">
      <c r="A4631" t="s">
        <v>4664</v>
      </c>
      <c r="B4631" t="str">
        <f>"300889"</f>
        <v>300889</v>
      </c>
      <c r="C4631" t="s">
        <v>9606</v>
      </c>
      <c r="D4631" t="s">
        <v>803</v>
      </c>
      <c r="F4631">
        <v>765273603</v>
      </c>
      <c r="G4631">
        <v>457012100</v>
      </c>
      <c r="H4631">
        <v>660291242</v>
      </c>
      <c r="P4631">
        <v>37</v>
      </c>
      <c r="Q4631" t="s">
        <v>9607</v>
      </c>
    </row>
    <row r="4632" spans="1:17" x14ac:dyDescent="0.3">
      <c r="A4632" t="s">
        <v>4664</v>
      </c>
      <c r="B4632" t="str">
        <f>"300890"</f>
        <v>300890</v>
      </c>
      <c r="C4632" t="s">
        <v>9608</v>
      </c>
      <c r="D4632" t="s">
        <v>1786</v>
      </c>
      <c r="F4632">
        <v>441152752</v>
      </c>
      <c r="G4632">
        <v>262169604</v>
      </c>
      <c r="H4632">
        <v>394271234</v>
      </c>
      <c r="P4632">
        <v>62</v>
      </c>
      <c r="Q4632" t="s">
        <v>9609</v>
      </c>
    </row>
    <row r="4633" spans="1:17" x14ac:dyDescent="0.3">
      <c r="A4633" t="s">
        <v>4664</v>
      </c>
      <c r="B4633" t="str">
        <f>"300891"</f>
        <v>300891</v>
      </c>
      <c r="C4633" t="s">
        <v>9610</v>
      </c>
      <c r="D4633" t="s">
        <v>1474</v>
      </c>
      <c r="F4633">
        <v>919165608</v>
      </c>
      <c r="G4633">
        <v>530511399</v>
      </c>
      <c r="H4633">
        <v>522039551</v>
      </c>
      <c r="P4633">
        <v>59</v>
      </c>
      <c r="Q4633" t="s">
        <v>9611</v>
      </c>
    </row>
    <row r="4634" spans="1:17" x14ac:dyDescent="0.3">
      <c r="A4634" t="s">
        <v>4664</v>
      </c>
      <c r="B4634" t="str">
        <f>"300892"</f>
        <v>300892</v>
      </c>
      <c r="C4634" t="s">
        <v>9612</v>
      </c>
      <c r="D4634" t="s">
        <v>131</v>
      </c>
      <c r="F4634">
        <v>1247568839</v>
      </c>
      <c r="G4634">
        <v>1197615158</v>
      </c>
      <c r="H4634">
        <v>1041259169</v>
      </c>
      <c r="P4634">
        <v>99</v>
      </c>
      <c r="Q4634" t="s">
        <v>9613</v>
      </c>
    </row>
    <row r="4635" spans="1:17" x14ac:dyDescent="0.3">
      <c r="A4635" t="s">
        <v>4664</v>
      </c>
      <c r="B4635" t="str">
        <f>"300893"</f>
        <v>300893</v>
      </c>
      <c r="C4635" t="s">
        <v>9614</v>
      </c>
      <c r="D4635" t="s">
        <v>985</v>
      </c>
      <c r="F4635">
        <v>477189637</v>
      </c>
      <c r="G4635">
        <v>334959891</v>
      </c>
      <c r="H4635">
        <v>269611096</v>
      </c>
      <c r="P4635">
        <v>48</v>
      </c>
      <c r="Q4635" t="s">
        <v>9615</v>
      </c>
    </row>
    <row r="4636" spans="1:17" x14ac:dyDescent="0.3">
      <c r="A4636" t="s">
        <v>4664</v>
      </c>
      <c r="B4636" t="str">
        <f>"300894"</f>
        <v>300894</v>
      </c>
      <c r="C4636" t="s">
        <v>9616</v>
      </c>
      <c r="D4636" t="s">
        <v>3680</v>
      </c>
      <c r="F4636">
        <v>1772263871</v>
      </c>
      <c r="G4636">
        <v>1118418958</v>
      </c>
      <c r="H4636">
        <v>0</v>
      </c>
      <c r="P4636">
        <v>230</v>
      </c>
      <c r="Q4636" t="s">
        <v>9617</v>
      </c>
    </row>
    <row r="4637" spans="1:17" x14ac:dyDescent="0.3">
      <c r="A4637" t="s">
        <v>4664</v>
      </c>
      <c r="B4637" t="str">
        <f>"300895"</f>
        <v>300895</v>
      </c>
      <c r="C4637" t="s">
        <v>9618</v>
      </c>
      <c r="D4637" t="s">
        <v>316</v>
      </c>
      <c r="F4637">
        <v>224250492</v>
      </c>
      <c r="G4637">
        <v>167029234</v>
      </c>
      <c r="H4637">
        <v>177881094</v>
      </c>
      <c r="P4637">
        <v>48</v>
      </c>
      <c r="Q4637" t="s">
        <v>9619</v>
      </c>
    </row>
    <row r="4638" spans="1:17" x14ac:dyDescent="0.3">
      <c r="A4638" t="s">
        <v>4664</v>
      </c>
      <c r="B4638" t="str">
        <f>"300896"</f>
        <v>300896</v>
      </c>
      <c r="C4638" t="s">
        <v>9620</v>
      </c>
      <c r="D4638" t="s">
        <v>4234</v>
      </c>
      <c r="F4638">
        <v>1027185645</v>
      </c>
      <c r="G4638">
        <v>468861837</v>
      </c>
      <c r="H4638">
        <v>401763307</v>
      </c>
      <c r="P4638">
        <v>1332</v>
      </c>
      <c r="Q4638" t="s">
        <v>9621</v>
      </c>
    </row>
    <row r="4639" spans="1:17" x14ac:dyDescent="0.3">
      <c r="A4639" t="s">
        <v>4664</v>
      </c>
      <c r="B4639" t="str">
        <f>"300897"</f>
        <v>300897</v>
      </c>
      <c r="C4639" t="s">
        <v>9622</v>
      </c>
      <c r="D4639" t="s">
        <v>2551</v>
      </c>
      <c r="F4639">
        <v>293646185</v>
      </c>
      <c r="G4639">
        <v>193236339</v>
      </c>
      <c r="H4639">
        <v>147030475</v>
      </c>
      <c r="P4639">
        <v>50</v>
      </c>
      <c r="Q4639" t="s">
        <v>9623</v>
      </c>
    </row>
    <row r="4640" spans="1:17" x14ac:dyDescent="0.3">
      <c r="A4640" t="s">
        <v>4664</v>
      </c>
      <c r="B4640" t="str">
        <f>"300898"</f>
        <v>300898</v>
      </c>
      <c r="C4640" t="s">
        <v>9624</v>
      </c>
      <c r="D4640" t="s">
        <v>900</v>
      </c>
      <c r="F4640">
        <v>684646052</v>
      </c>
      <c r="G4640">
        <v>482172256</v>
      </c>
      <c r="H4640">
        <v>467690788</v>
      </c>
      <c r="I4640">
        <v>445925515</v>
      </c>
      <c r="P4640">
        <v>73</v>
      </c>
      <c r="Q4640" t="s">
        <v>9625</v>
      </c>
    </row>
    <row r="4641" spans="1:17" x14ac:dyDescent="0.3">
      <c r="A4641" t="s">
        <v>4664</v>
      </c>
      <c r="B4641" t="str">
        <f>"300899"</f>
        <v>300899</v>
      </c>
      <c r="C4641" t="s">
        <v>9626</v>
      </c>
      <c r="D4641" t="s">
        <v>33</v>
      </c>
      <c r="F4641">
        <v>138096708</v>
      </c>
      <c r="G4641">
        <v>99838954</v>
      </c>
      <c r="H4641">
        <v>135676751</v>
      </c>
      <c r="P4641">
        <v>58</v>
      </c>
      <c r="Q4641" t="s">
        <v>9627</v>
      </c>
    </row>
    <row r="4642" spans="1:17" x14ac:dyDescent="0.3">
      <c r="A4642" t="s">
        <v>4664</v>
      </c>
      <c r="B4642" t="str">
        <f>"300900"</f>
        <v>300900</v>
      </c>
      <c r="C4642" t="s">
        <v>9628</v>
      </c>
      <c r="D4642" t="s">
        <v>98</v>
      </c>
      <c r="F4642">
        <v>105677818</v>
      </c>
      <c r="G4642">
        <v>105694710</v>
      </c>
      <c r="H4642">
        <v>114793010</v>
      </c>
      <c r="P4642">
        <v>76</v>
      </c>
      <c r="Q4642" t="s">
        <v>9629</v>
      </c>
    </row>
    <row r="4643" spans="1:17" x14ac:dyDescent="0.3">
      <c r="A4643" t="s">
        <v>4664</v>
      </c>
      <c r="B4643" t="str">
        <f>"300901"</f>
        <v>300901</v>
      </c>
      <c r="C4643" t="s">
        <v>9630</v>
      </c>
      <c r="D4643" t="s">
        <v>255</v>
      </c>
      <c r="F4643">
        <v>319243893</v>
      </c>
      <c r="G4643">
        <v>438375363</v>
      </c>
      <c r="H4643">
        <v>532892708</v>
      </c>
      <c r="P4643">
        <v>45</v>
      </c>
      <c r="Q4643" t="s">
        <v>9631</v>
      </c>
    </row>
    <row r="4644" spans="1:17" x14ac:dyDescent="0.3">
      <c r="A4644" t="s">
        <v>4664</v>
      </c>
      <c r="B4644" t="str">
        <f>"300902"</f>
        <v>300902</v>
      </c>
      <c r="C4644" t="s">
        <v>9632</v>
      </c>
      <c r="D4644" t="s">
        <v>741</v>
      </c>
      <c r="F4644">
        <v>157998542</v>
      </c>
      <c r="G4644">
        <v>124130960</v>
      </c>
      <c r="H4644">
        <v>111719725</v>
      </c>
      <c r="P4644">
        <v>40</v>
      </c>
      <c r="Q4644" t="s">
        <v>9633</v>
      </c>
    </row>
    <row r="4645" spans="1:17" x14ac:dyDescent="0.3">
      <c r="A4645" t="s">
        <v>4664</v>
      </c>
      <c r="B4645" t="str">
        <f>"300903"</f>
        <v>300903</v>
      </c>
      <c r="C4645" t="s">
        <v>9634</v>
      </c>
      <c r="D4645" t="s">
        <v>425</v>
      </c>
      <c r="F4645">
        <v>1118750364</v>
      </c>
      <c r="G4645">
        <v>802315231</v>
      </c>
      <c r="H4645">
        <v>0</v>
      </c>
      <c r="P4645">
        <v>61</v>
      </c>
      <c r="Q4645" t="s">
        <v>9635</v>
      </c>
    </row>
    <row r="4646" spans="1:17" x14ac:dyDescent="0.3">
      <c r="A4646" t="s">
        <v>4664</v>
      </c>
      <c r="B4646" t="str">
        <f>"300905"</f>
        <v>300905</v>
      </c>
      <c r="C4646" t="s">
        <v>9636</v>
      </c>
      <c r="D4646" t="s">
        <v>779</v>
      </c>
      <c r="F4646">
        <v>383930346</v>
      </c>
      <c r="G4646">
        <v>259562216</v>
      </c>
      <c r="H4646">
        <v>260156892</v>
      </c>
      <c r="P4646">
        <v>54</v>
      </c>
      <c r="Q4646" t="s">
        <v>9637</v>
      </c>
    </row>
    <row r="4647" spans="1:17" x14ac:dyDescent="0.3">
      <c r="A4647" t="s">
        <v>4664</v>
      </c>
      <c r="B4647" t="str">
        <f>"300906"</f>
        <v>300906</v>
      </c>
      <c r="C4647" t="s">
        <v>9638</v>
      </c>
      <c r="D4647" t="s">
        <v>2551</v>
      </c>
      <c r="F4647">
        <v>93716039</v>
      </c>
      <c r="G4647">
        <v>80640153</v>
      </c>
      <c r="H4647">
        <v>83610880</v>
      </c>
      <c r="P4647">
        <v>60</v>
      </c>
      <c r="Q4647" t="s">
        <v>9639</v>
      </c>
    </row>
    <row r="4648" spans="1:17" x14ac:dyDescent="0.3">
      <c r="A4648" t="s">
        <v>4664</v>
      </c>
      <c r="B4648" t="str">
        <f>"300907"</f>
        <v>300907</v>
      </c>
      <c r="C4648" t="s">
        <v>9640</v>
      </c>
      <c r="D4648" t="s">
        <v>1171</v>
      </c>
      <c r="F4648">
        <v>894353195</v>
      </c>
      <c r="G4648">
        <v>520829094</v>
      </c>
      <c r="H4648">
        <v>0</v>
      </c>
      <c r="P4648">
        <v>36</v>
      </c>
      <c r="Q4648" t="s">
        <v>9641</v>
      </c>
    </row>
    <row r="4649" spans="1:17" x14ac:dyDescent="0.3">
      <c r="A4649" t="s">
        <v>4664</v>
      </c>
      <c r="B4649" t="str">
        <f>"300908"</f>
        <v>300908</v>
      </c>
      <c r="C4649" t="s">
        <v>9642</v>
      </c>
      <c r="D4649" t="s">
        <v>433</v>
      </c>
      <c r="F4649">
        <v>633725672</v>
      </c>
      <c r="G4649">
        <v>619624829</v>
      </c>
      <c r="H4649">
        <v>489658037</v>
      </c>
      <c r="P4649">
        <v>173</v>
      </c>
      <c r="Q4649" t="s">
        <v>9643</v>
      </c>
    </row>
    <row r="4650" spans="1:17" x14ac:dyDescent="0.3">
      <c r="A4650" t="s">
        <v>4664</v>
      </c>
      <c r="B4650" t="str">
        <f>"300909"</f>
        <v>300909</v>
      </c>
      <c r="C4650" t="s">
        <v>9644</v>
      </c>
      <c r="D4650" t="s">
        <v>1117</v>
      </c>
      <c r="F4650">
        <v>525791026</v>
      </c>
      <c r="G4650">
        <v>385553646</v>
      </c>
      <c r="H4650">
        <v>223714514</v>
      </c>
      <c r="P4650">
        <v>65</v>
      </c>
      <c r="Q4650" t="s">
        <v>9645</v>
      </c>
    </row>
    <row r="4651" spans="1:17" x14ac:dyDescent="0.3">
      <c r="A4651" t="s">
        <v>4664</v>
      </c>
      <c r="B4651" t="str">
        <f>"300910"</f>
        <v>300910</v>
      </c>
      <c r="C4651" t="s">
        <v>9646</v>
      </c>
      <c r="D4651" t="s">
        <v>386</v>
      </c>
      <c r="F4651">
        <v>763252751</v>
      </c>
      <c r="G4651">
        <v>561279401</v>
      </c>
      <c r="H4651">
        <v>380866800</v>
      </c>
      <c r="P4651">
        <v>116</v>
      </c>
      <c r="Q4651" t="s">
        <v>9647</v>
      </c>
    </row>
    <row r="4652" spans="1:17" x14ac:dyDescent="0.3">
      <c r="A4652" t="s">
        <v>4664</v>
      </c>
      <c r="B4652" t="str">
        <f>"300911"</f>
        <v>300911</v>
      </c>
      <c r="C4652" t="s">
        <v>9648</v>
      </c>
      <c r="D4652" t="s">
        <v>3680</v>
      </c>
      <c r="F4652">
        <v>886456714</v>
      </c>
      <c r="G4652">
        <v>558160721</v>
      </c>
      <c r="H4652">
        <v>477642900</v>
      </c>
      <c r="P4652">
        <v>151</v>
      </c>
      <c r="Q4652" t="s">
        <v>9649</v>
      </c>
    </row>
    <row r="4653" spans="1:17" x14ac:dyDescent="0.3">
      <c r="A4653" t="s">
        <v>4664</v>
      </c>
      <c r="B4653" t="str">
        <f>"300912"</f>
        <v>300912</v>
      </c>
      <c r="C4653" t="s">
        <v>9650</v>
      </c>
      <c r="D4653" t="s">
        <v>985</v>
      </c>
      <c r="F4653">
        <v>617252258</v>
      </c>
      <c r="G4653">
        <v>752391594</v>
      </c>
      <c r="H4653">
        <v>770409527</v>
      </c>
      <c r="P4653">
        <v>39</v>
      </c>
      <c r="Q4653" t="s">
        <v>9651</v>
      </c>
    </row>
    <row r="4654" spans="1:17" x14ac:dyDescent="0.3">
      <c r="A4654" t="s">
        <v>4664</v>
      </c>
      <c r="B4654" t="str">
        <f>"300913"</f>
        <v>300913</v>
      </c>
      <c r="C4654" t="s">
        <v>9652</v>
      </c>
      <c r="D4654" t="s">
        <v>250</v>
      </c>
      <c r="F4654">
        <v>1080810783</v>
      </c>
      <c r="G4654">
        <v>858309567</v>
      </c>
      <c r="H4654">
        <v>819157014</v>
      </c>
      <c r="P4654">
        <v>33</v>
      </c>
      <c r="Q4654" t="s">
        <v>9653</v>
      </c>
    </row>
    <row r="4655" spans="1:17" x14ac:dyDescent="0.3">
      <c r="A4655" t="s">
        <v>4664</v>
      </c>
      <c r="B4655" t="str">
        <f>"300915"</f>
        <v>300915</v>
      </c>
      <c r="C4655" t="s">
        <v>9654</v>
      </c>
      <c r="D4655" t="s">
        <v>900</v>
      </c>
      <c r="F4655">
        <v>572904163</v>
      </c>
      <c r="G4655">
        <v>395295481</v>
      </c>
      <c r="H4655">
        <v>413412958</v>
      </c>
      <c r="P4655">
        <v>101</v>
      </c>
      <c r="Q4655" t="s">
        <v>9655</v>
      </c>
    </row>
    <row r="4656" spans="1:17" x14ac:dyDescent="0.3">
      <c r="A4656" t="s">
        <v>4664</v>
      </c>
      <c r="B4656" t="str">
        <f>"300916"</f>
        <v>300916</v>
      </c>
      <c r="C4656" t="s">
        <v>9656</v>
      </c>
      <c r="D4656" t="s">
        <v>313</v>
      </c>
      <c r="F4656">
        <v>719257872</v>
      </c>
      <c r="G4656">
        <v>532612512</v>
      </c>
      <c r="H4656">
        <v>0</v>
      </c>
      <c r="P4656">
        <v>79</v>
      </c>
      <c r="Q4656" t="s">
        <v>9657</v>
      </c>
    </row>
    <row r="4657" spans="1:17" x14ac:dyDescent="0.3">
      <c r="A4657" t="s">
        <v>4664</v>
      </c>
      <c r="B4657" t="str">
        <f>"300917"</f>
        <v>300917</v>
      </c>
      <c r="C4657" t="s">
        <v>9658</v>
      </c>
      <c r="D4657" t="s">
        <v>2948</v>
      </c>
      <c r="F4657">
        <v>1351008432</v>
      </c>
      <c r="G4657">
        <v>750876906</v>
      </c>
      <c r="H4657">
        <v>612468633</v>
      </c>
      <c r="P4657">
        <v>80</v>
      </c>
      <c r="Q4657" t="s">
        <v>9659</v>
      </c>
    </row>
    <row r="4658" spans="1:17" x14ac:dyDescent="0.3">
      <c r="A4658" t="s">
        <v>4664</v>
      </c>
      <c r="B4658" t="str">
        <f>"300918"</f>
        <v>300918</v>
      </c>
      <c r="C4658" t="s">
        <v>9660</v>
      </c>
      <c r="D4658" t="s">
        <v>366</v>
      </c>
      <c r="F4658">
        <v>807535995</v>
      </c>
      <c r="G4658">
        <v>789460958</v>
      </c>
      <c r="H4658">
        <v>0</v>
      </c>
      <c r="P4658">
        <v>38</v>
      </c>
      <c r="Q4658" t="s">
        <v>9661</v>
      </c>
    </row>
    <row r="4659" spans="1:17" x14ac:dyDescent="0.3">
      <c r="A4659" t="s">
        <v>4664</v>
      </c>
      <c r="B4659" t="str">
        <f>"300919"</f>
        <v>300919</v>
      </c>
      <c r="C4659" t="s">
        <v>9662</v>
      </c>
      <c r="D4659" t="s">
        <v>1786</v>
      </c>
      <c r="F4659">
        <v>11921519664</v>
      </c>
      <c r="G4659">
        <v>0</v>
      </c>
      <c r="H4659">
        <v>0</v>
      </c>
      <c r="P4659">
        <v>175</v>
      </c>
      <c r="Q4659" t="s">
        <v>9663</v>
      </c>
    </row>
    <row r="4660" spans="1:17" x14ac:dyDescent="0.3">
      <c r="A4660" t="s">
        <v>4664</v>
      </c>
      <c r="B4660" t="str">
        <f>"300920"</f>
        <v>300920</v>
      </c>
      <c r="C4660" t="s">
        <v>9664</v>
      </c>
      <c r="D4660" t="s">
        <v>1192</v>
      </c>
      <c r="F4660">
        <v>360505426</v>
      </c>
      <c r="G4660">
        <v>312450801</v>
      </c>
      <c r="H4660">
        <v>243468851</v>
      </c>
      <c r="P4660">
        <v>46</v>
      </c>
      <c r="Q4660" t="s">
        <v>9665</v>
      </c>
    </row>
    <row r="4661" spans="1:17" x14ac:dyDescent="0.3">
      <c r="A4661" t="s">
        <v>4664</v>
      </c>
      <c r="B4661" t="str">
        <f>"300921"</f>
        <v>300921</v>
      </c>
      <c r="C4661" t="s">
        <v>9666</v>
      </c>
      <c r="D4661" t="s">
        <v>5597</v>
      </c>
      <c r="F4661">
        <v>408760339</v>
      </c>
      <c r="G4661">
        <v>396850289</v>
      </c>
      <c r="H4661">
        <v>0</v>
      </c>
      <c r="P4661">
        <v>39</v>
      </c>
      <c r="Q4661" t="s">
        <v>9667</v>
      </c>
    </row>
    <row r="4662" spans="1:17" x14ac:dyDescent="0.3">
      <c r="A4662" t="s">
        <v>4664</v>
      </c>
      <c r="B4662" t="str">
        <f>"300922"</f>
        <v>300922</v>
      </c>
      <c r="C4662" t="s">
        <v>9668</v>
      </c>
      <c r="D4662" t="s">
        <v>428</v>
      </c>
      <c r="F4662">
        <v>163651126</v>
      </c>
      <c r="G4662">
        <v>113181091</v>
      </c>
      <c r="H4662">
        <v>89884715</v>
      </c>
      <c r="I4662">
        <v>113431408</v>
      </c>
      <c r="P4662">
        <v>83</v>
      </c>
      <c r="Q4662" t="s">
        <v>9669</v>
      </c>
    </row>
    <row r="4663" spans="1:17" x14ac:dyDescent="0.3">
      <c r="A4663" t="s">
        <v>4664</v>
      </c>
      <c r="B4663" t="str">
        <f>"300923"</f>
        <v>300923</v>
      </c>
      <c r="C4663" t="s">
        <v>9670</v>
      </c>
      <c r="D4663" t="s">
        <v>1012</v>
      </c>
      <c r="F4663">
        <v>224020015</v>
      </c>
      <c r="G4663">
        <v>206490365</v>
      </c>
      <c r="H4663">
        <v>234317668</v>
      </c>
      <c r="P4663">
        <v>28</v>
      </c>
      <c r="Q4663" t="s">
        <v>9671</v>
      </c>
    </row>
    <row r="4664" spans="1:17" x14ac:dyDescent="0.3">
      <c r="A4664" t="s">
        <v>4664</v>
      </c>
      <c r="B4664" t="str">
        <f>"300925"</f>
        <v>300925</v>
      </c>
      <c r="C4664" t="s">
        <v>9672</v>
      </c>
      <c r="D4664" t="s">
        <v>945</v>
      </c>
      <c r="F4664">
        <v>1900454226</v>
      </c>
      <c r="G4664">
        <v>1165212444</v>
      </c>
      <c r="H4664">
        <v>0</v>
      </c>
      <c r="P4664">
        <v>72</v>
      </c>
      <c r="Q4664" t="s">
        <v>9673</v>
      </c>
    </row>
    <row r="4665" spans="1:17" x14ac:dyDescent="0.3">
      <c r="A4665" t="s">
        <v>4664</v>
      </c>
      <c r="B4665" t="str">
        <f>"300926"</f>
        <v>300926</v>
      </c>
      <c r="C4665" t="s">
        <v>9674</v>
      </c>
      <c r="D4665" t="s">
        <v>985</v>
      </c>
      <c r="F4665">
        <v>438811456</v>
      </c>
      <c r="G4665">
        <v>322745635</v>
      </c>
      <c r="H4665">
        <v>0</v>
      </c>
      <c r="P4665">
        <v>45</v>
      </c>
      <c r="Q4665" t="s">
        <v>9675</v>
      </c>
    </row>
    <row r="4666" spans="1:17" x14ac:dyDescent="0.3">
      <c r="A4666" t="s">
        <v>4664</v>
      </c>
      <c r="B4666" t="str">
        <f>"300927"</f>
        <v>300927</v>
      </c>
      <c r="C4666" t="s">
        <v>9676</v>
      </c>
      <c r="D4666" t="s">
        <v>1233</v>
      </c>
      <c r="F4666">
        <v>406564010</v>
      </c>
      <c r="G4666">
        <v>283691798</v>
      </c>
      <c r="H4666">
        <v>0</v>
      </c>
      <c r="P4666">
        <v>44</v>
      </c>
      <c r="Q4666" t="s">
        <v>9677</v>
      </c>
    </row>
    <row r="4667" spans="1:17" x14ac:dyDescent="0.3">
      <c r="A4667" t="s">
        <v>4664</v>
      </c>
      <c r="B4667" t="str">
        <f>"300928"</f>
        <v>300928</v>
      </c>
      <c r="C4667" t="s">
        <v>9678</v>
      </c>
      <c r="D4667" t="s">
        <v>1415</v>
      </c>
      <c r="F4667">
        <v>633793901</v>
      </c>
      <c r="G4667">
        <v>516752319</v>
      </c>
      <c r="H4667">
        <v>567258473</v>
      </c>
      <c r="P4667">
        <v>27</v>
      </c>
      <c r="Q4667" t="s">
        <v>9679</v>
      </c>
    </row>
    <row r="4668" spans="1:17" x14ac:dyDescent="0.3">
      <c r="A4668" t="s">
        <v>4664</v>
      </c>
      <c r="B4668" t="str">
        <f>"300929"</f>
        <v>300929</v>
      </c>
      <c r="C4668" t="s">
        <v>9680</v>
      </c>
      <c r="D4668" t="s">
        <v>33</v>
      </c>
      <c r="F4668">
        <v>290478548</v>
      </c>
      <c r="G4668">
        <v>365553351</v>
      </c>
      <c r="H4668">
        <v>0</v>
      </c>
      <c r="P4668">
        <v>48</v>
      </c>
      <c r="Q4668" t="s">
        <v>9681</v>
      </c>
    </row>
    <row r="4669" spans="1:17" x14ac:dyDescent="0.3">
      <c r="A4669" t="s">
        <v>4664</v>
      </c>
      <c r="B4669" t="str">
        <f>"300930"</f>
        <v>300930</v>
      </c>
      <c r="C4669" t="s">
        <v>9682</v>
      </c>
      <c r="D4669" t="s">
        <v>581</v>
      </c>
      <c r="F4669">
        <v>371032622</v>
      </c>
      <c r="G4669">
        <v>234887166</v>
      </c>
      <c r="H4669">
        <v>207925961</v>
      </c>
      <c r="P4669">
        <v>75</v>
      </c>
      <c r="Q4669" t="s">
        <v>9683</v>
      </c>
    </row>
    <row r="4670" spans="1:17" x14ac:dyDescent="0.3">
      <c r="A4670" t="s">
        <v>4664</v>
      </c>
      <c r="B4670" t="str">
        <f>"300931"</f>
        <v>300931</v>
      </c>
      <c r="C4670" t="s">
        <v>9684</v>
      </c>
      <c r="D4670" t="s">
        <v>1689</v>
      </c>
      <c r="F4670">
        <v>289242909</v>
      </c>
      <c r="G4670">
        <v>236287179</v>
      </c>
      <c r="H4670">
        <v>0</v>
      </c>
      <c r="P4670">
        <v>31</v>
      </c>
      <c r="Q4670" t="s">
        <v>9685</v>
      </c>
    </row>
    <row r="4671" spans="1:17" x14ac:dyDescent="0.3">
      <c r="A4671" t="s">
        <v>4664</v>
      </c>
      <c r="B4671" t="str">
        <f>"300932"</f>
        <v>300932</v>
      </c>
      <c r="C4671" t="s">
        <v>9686</v>
      </c>
      <c r="D4671" t="s">
        <v>657</v>
      </c>
      <c r="F4671">
        <v>910233069</v>
      </c>
      <c r="G4671">
        <v>622169991</v>
      </c>
      <c r="H4671">
        <v>0</v>
      </c>
      <c r="P4671">
        <v>29</v>
      </c>
      <c r="Q4671" t="s">
        <v>9687</v>
      </c>
    </row>
    <row r="4672" spans="1:17" x14ac:dyDescent="0.3">
      <c r="A4672" t="s">
        <v>4664</v>
      </c>
      <c r="B4672" t="str">
        <f>"300933"</f>
        <v>300933</v>
      </c>
      <c r="C4672" t="s">
        <v>9688</v>
      </c>
      <c r="D4672" t="s">
        <v>1164</v>
      </c>
      <c r="F4672">
        <v>1783389210</v>
      </c>
      <c r="G4672">
        <v>1238036366</v>
      </c>
      <c r="H4672">
        <v>0</v>
      </c>
      <c r="P4672">
        <v>30</v>
      </c>
      <c r="Q4672" t="s">
        <v>9689</v>
      </c>
    </row>
    <row r="4673" spans="1:17" x14ac:dyDescent="0.3">
      <c r="A4673" t="s">
        <v>4664</v>
      </c>
      <c r="B4673" t="str">
        <f>"300935"</f>
        <v>300935</v>
      </c>
      <c r="C4673" t="s">
        <v>9690</v>
      </c>
      <c r="D4673" t="s">
        <v>945</v>
      </c>
      <c r="F4673">
        <v>98348601</v>
      </c>
      <c r="G4673">
        <v>102183533</v>
      </c>
      <c r="H4673">
        <v>0</v>
      </c>
      <c r="P4673">
        <v>55</v>
      </c>
      <c r="Q4673" t="s">
        <v>9691</v>
      </c>
    </row>
    <row r="4674" spans="1:17" x14ac:dyDescent="0.3">
      <c r="A4674" t="s">
        <v>4664</v>
      </c>
      <c r="B4674" t="str">
        <f>"300936"</f>
        <v>300936</v>
      </c>
      <c r="C4674" t="s">
        <v>9692</v>
      </c>
      <c r="D4674" t="s">
        <v>425</v>
      </c>
      <c r="F4674">
        <v>142400740</v>
      </c>
      <c r="G4674">
        <v>95743192</v>
      </c>
      <c r="H4674">
        <v>0</v>
      </c>
      <c r="P4674">
        <v>54</v>
      </c>
      <c r="Q4674" t="s">
        <v>9693</v>
      </c>
    </row>
    <row r="4675" spans="1:17" x14ac:dyDescent="0.3">
      <c r="A4675" t="s">
        <v>4664</v>
      </c>
      <c r="B4675" t="str">
        <f>"300937"</f>
        <v>300937</v>
      </c>
      <c r="C4675" t="s">
        <v>9694</v>
      </c>
      <c r="D4675" t="s">
        <v>125</v>
      </c>
      <c r="F4675">
        <v>1988076516</v>
      </c>
      <c r="G4675">
        <v>1802818337</v>
      </c>
      <c r="H4675">
        <v>1608702492</v>
      </c>
      <c r="P4675">
        <v>35</v>
      </c>
      <c r="Q4675" t="s">
        <v>9695</v>
      </c>
    </row>
    <row r="4676" spans="1:17" x14ac:dyDescent="0.3">
      <c r="A4676" t="s">
        <v>4664</v>
      </c>
      <c r="B4676" t="str">
        <f>"300938"</f>
        <v>300938</v>
      </c>
      <c r="C4676" t="s">
        <v>9696</v>
      </c>
      <c r="D4676" t="s">
        <v>2499</v>
      </c>
      <c r="F4676">
        <v>244185825</v>
      </c>
      <c r="G4676">
        <v>205396124</v>
      </c>
      <c r="H4676">
        <v>207801550</v>
      </c>
      <c r="P4676">
        <v>43</v>
      </c>
      <c r="Q4676" t="s">
        <v>9697</v>
      </c>
    </row>
    <row r="4677" spans="1:17" x14ac:dyDescent="0.3">
      <c r="A4677" t="s">
        <v>4664</v>
      </c>
      <c r="B4677" t="str">
        <f>"300939"</f>
        <v>300939</v>
      </c>
      <c r="C4677" t="s">
        <v>9698</v>
      </c>
      <c r="D4677" t="s">
        <v>1117</v>
      </c>
      <c r="F4677">
        <v>659767838</v>
      </c>
      <c r="G4677">
        <v>519072027</v>
      </c>
      <c r="H4677">
        <v>521023067</v>
      </c>
      <c r="P4677">
        <v>31</v>
      </c>
      <c r="Q4677" t="s">
        <v>9699</v>
      </c>
    </row>
    <row r="4678" spans="1:17" x14ac:dyDescent="0.3">
      <c r="A4678" t="s">
        <v>4664</v>
      </c>
      <c r="B4678" t="str">
        <f>"300940"</f>
        <v>300940</v>
      </c>
      <c r="C4678" t="s">
        <v>9700</v>
      </c>
      <c r="D4678" t="s">
        <v>803</v>
      </c>
      <c r="F4678">
        <v>795522875</v>
      </c>
      <c r="G4678">
        <v>542170086</v>
      </c>
      <c r="H4678">
        <v>0</v>
      </c>
      <c r="P4678">
        <v>39</v>
      </c>
      <c r="Q4678" t="s">
        <v>9701</v>
      </c>
    </row>
    <row r="4679" spans="1:17" x14ac:dyDescent="0.3">
      <c r="A4679" t="s">
        <v>4664</v>
      </c>
      <c r="B4679" t="str">
        <f>"300941"</f>
        <v>300941</v>
      </c>
      <c r="C4679" t="s">
        <v>9702</v>
      </c>
      <c r="D4679" t="s">
        <v>236</v>
      </c>
      <c r="F4679">
        <v>215684964</v>
      </c>
      <c r="G4679">
        <v>351077273</v>
      </c>
      <c r="H4679">
        <v>287924802</v>
      </c>
      <c r="I4679">
        <v>213440085</v>
      </c>
      <c r="P4679">
        <v>69</v>
      </c>
      <c r="Q4679" t="s">
        <v>9703</v>
      </c>
    </row>
    <row r="4680" spans="1:17" x14ac:dyDescent="0.3">
      <c r="A4680" t="s">
        <v>4664</v>
      </c>
      <c r="B4680" t="str">
        <f>"300942"</f>
        <v>300942</v>
      </c>
      <c r="C4680" t="s">
        <v>9704</v>
      </c>
      <c r="D4680" t="s">
        <v>1305</v>
      </c>
      <c r="F4680">
        <v>452250810</v>
      </c>
      <c r="G4680">
        <v>237306053</v>
      </c>
      <c r="H4680">
        <v>0</v>
      </c>
      <c r="P4680">
        <v>98</v>
      </c>
      <c r="Q4680" t="s">
        <v>9705</v>
      </c>
    </row>
    <row r="4681" spans="1:17" x14ac:dyDescent="0.3">
      <c r="A4681" t="s">
        <v>4664</v>
      </c>
      <c r="B4681" t="str">
        <f>"300943"</f>
        <v>300943</v>
      </c>
      <c r="C4681" t="s">
        <v>9706</v>
      </c>
      <c r="D4681" t="s">
        <v>274</v>
      </c>
      <c r="F4681">
        <v>327131663</v>
      </c>
      <c r="G4681">
        <v>309438806</v>
      </c>
      <c r="H4681">
        <v>386090545</v>
      </c>
      <c r="I4681">
        <v>419448565</v>
      </c>
      <c r="P4681">
        <v>35</v>
      </c>
      <c r="Q4681" t="s">
        <v>9707</v>
      </c>
    </row>
    <row r="4682" spans="1:17" x14ac:dyDescent="0.3">
      <c r="A4682" t="s">
        <v>4664</v>
      </c>
      <c r="B4682" t="str">
        <f>"300945"</f>
        <v>300945</v>
      </c>
      <c r="C4682" t="s">
        <v>9708</v>
      </c>
      <c r="D4682" t="s">
        <v>1238</v>
      </c>
      <c r="F4682">
        <v>938588134</v>
      </c>
      <c r="G4682">
        <v>596489049</v>
      </c>
      <c r="H4682">
        <v>0</v>
      </c>
      <c r="P4682">
        <v>36</v>
      </c>
      <c r="Q4682" t="s">
        <v>9709</v>
      </c>
    </row>
    <row r="4683" spans="1:17" x14ac:dyDescent="0.3">
      <c r="A4683" t="s">
        <v>4664</v>
      </c>
      <c r="B4683" t="str">
        <f>"300946"</f>
        <v>300946</v>
      </c>
      <c r="C4683" t="s">
        <v>9710</v>
      </c>
      <c r="D4683" t="s">
        <v>274</v>
      </c>
      <c r="F4683">
        <v>263006469</v>
      </c>
      <c r="G4683">
        <v>194486753</v>
      </c>
      <c r="H4683">
        <v>0</v>
      </c>
      <c r="P4683">
        <v>75</v>
      </c>
      <c r="Q4683" t="s">
        <v>9711</v>
      </c>
    </row>
    <row r="4684" spans="1:17" x14ac:dyDescent="0.3">
      <c r="A4684" t="s">
        <v>4664</v>
      </c>
      <c r="B4684" t="str">
        <f>"300947"</f>
        <v>300947</v>
      </c>
      <c r="C4684" t="s">
        <v>9712</v>
      </c>
      <c r="D4684" t="s">
        <v>271</v>
      </c>
      <c r="F4684">
        <v>743714789</v>
      </c>
      <c r="G4684">
        <v>618761183</v>
      </c>
      <c r="H4684">
        <v>699641905</v>
      </c>
      <c r="P4684">
        <v>28</v>
      </c>
      <c r="Q4684" t="s">
        <v>9713</v>
      </c>
    </row>
    <row r="4685" spans="1:17" x14ac:dyDescent="0.3">
      <c r="A4685" t="s">
        <v>4664</v>
      </c>
      <c r="B4685" t="str">
        <f>"300948"</f>
        <v>300948</v>
      </c>
      <c r="C4685" t="s">
        <v>9714</v>
      </c>
      <c r="D4685" t="s">
        <v>2408</v>
      </c>
      <c r="F4685">
        <v>133907149</v>
      </c>
      <c r="G4685">
        <v>328308376</v>
      </c>
      <c r="H4685">
        <v>186182221</v>
      </c>
      <c r="P4685">
        <v>38</v>
      </c>
      <c r="Q4685" t="s">
        <v>9715</v>
      </c>
    </row>
    <row r="4686" spans="1:17" x14ac:dyDescent="0.3">
      <c r="A4686" t="s">
        <v>4664</v>
      </c>
      <c r="B4686" t="str">
        <f>"300949"</f>
        <v>300949</v>
      </c>
      <c r="C4686" t="s">
        <v>9716</v>
      </c>
      <c r="D4686" t="s">
        <v>2408</v>
      </c>
      <c r="F4686">
        <v>367548555</v>
      </c>
      <c r="P4686">
        <v>39</v>
      </c>
      <c r="Q4686" t="s">
        <v>9717</v>
      </c>
    </row>
    <row r="4687" spans="1:17" x14ac:dyDescent="0.3">
      <c r="A4687" t="s">
        <v>4664</v>
      </c>
      <c r="B4687" t="str">
        <f>"300950"</f>
        <v>300950</v>
      </c>
      <c r="C4687" t="s">
        <v>9718</v>
      </c>
      <c r="D4687" t="s">
        <v>395</v>
      </c>
      <c r="F4687">
        <v>167039517</v>
      </c>
      <c r="G4687">
        <v>214641263</v>
      </c>
      <c r="P4687">
        <v>58</v>
      </c>
      <c r="Q4687" t="s">
        <v>9719</v>
      </c>
    </row>
    <row r="4688" spans="1:17" x14ac:dyDescent="0.3">
      <c r="A4688" t="s">
        <v>4664</v>
      </c>
      <c r="B4688" t="str">
        <f>"300951"</f>
        <v>300951</v>
      </c>
      <c r="C4688" t="s">
        <v>9720</v>
      </c>
      <c r="D4688" t="s">
        <v>313</v>
      </c>
      <c r="F4688">
        <v>642626039</v>
      </c>
      <c r="G4688">
        <v>363099333</v>
      </c>
      <c r="P4688">
        <v>67</v>
      </c>
      <c r="Q4688" t="s">
        <v>9721</v>
      </c>
    </row>
    <row r="4689" spans="1:17" x14ac:dyDescent="0.3">
      <c r="A4689" t="s">
        <v>4664</v>
      </c>
      <c r="B4689" t="str">
        <f>"300952"</f>
        <v>300952</v>
      </c>
      <c r="C4689" t="s">
        <v>9722</v>
      </c>
      <c r="D4689" t="s">
        <v>330</v>
      </c>
      <c r="F4689">
        <v>732055165</v>
      </c>
      <c r="P4689">
        <v>38</v>
      </c>
      <c r="Q4689" t="s">
        <v>9723</v>
      </c>
    </row>
    <row r="4690" spans="1:17" x14ac:dyDescent="0.3">
      <c r="A4690" t="s">
        <v>4664</v>
      </c>
      <c r="B4690" t="str">
        <f>"300953"</f>
        <v>300953</v>
      </c>
      <c r="C4690" t="s">
        <v>9724</v>
      </c>
      <c r="D4690" t="s">
        <v>274</v>
      </c>
      <c r="F4690">
        <v>914842923</v>
      </c>
      <c r="G4690">
        <v>295214485</v>
      </c>
      <c r="P4690">
        <v>84</v>
      </c>
      <c r="Q4690" t="s">
        <v>9725</v>
      </c>
    </row>
    <row r="4691" spans="1:17" x14ac:dyDescent="0.3">
      <c r="A4691" t="s">
        <v>4664</v>
      </c>
      <c r="B4691" t="str">
        <f>"300955"</f>
        <v>300955</v>
      </c>
      <c r="C4691" t="s">
        <v>9726</v>
      </c>
      <c r="D4691" t="s">
        <v>5892</v>
      </c>
      <c r="F4691">
        <v>856264459</v>
      </c>
      <c r="G4691">
        <v>643062513</v>
      </c>
      <c r="P4691">
        <v>42</v>
      </c>
      <c r="Q4691" t="s">
        <v>9727</v>
      </c>
    </row>
    <row r="4692" spans="1:17" x14ac:dyDescent="0.3">
      <c r="A4692" t="s">
        <v>4664</v>
      </c>
      <c r="B4692" t="str">
        <f>"300956"</f>
        <v>300956</v>
      </c>
      <c r="C4692" t="s">
        <v>9728</v>
      </c>
      <c r="D4692" t="s">
        <v>313</v>
      </c>
      <c r="F4692">
        <v>1212415789</v>
      </c>
      <c r="G4692">
        <v>1013416347</v>
      </c>
      <c r="P4692">
        <v>45</v>
      </c>
      <c r="Q4692" t="s">
        <v>9729</v>
      </c>
    </row>
    <row r="4693" spans="1:17" x14ac:dyDescent="0.3">
      <c r="A4693" t="s">
        <v>4664</v>
      </c>
      <c r="B4693" t="str">
        <f>"300957"</f>
        <v>300957</v>
      </c>
      <c r="C4693" t="s">
        <v>9730</v>
      </c>
      <c r="D4693" t="s">
        <v>709</v>
      </c>
      <c r="F4693">
        <v>2359693904</v>
      </c>
      <c r="G4693">
        <v>1517081976</v>
      </c>
      <c r="P4693">
        <v>350</v>
      </c>
      <c r="Q4693" t="s">
        <v>9731</v>
      </c>
    </row>
    <row r="4694" spans="1:17" x14ac:dyDescent="0.3">
      <c r="A4694" t="s">
        <v>4664</v>
      </c>
      <c r="B4694" t="str">
        <f>"300958"</f>
        <v>300958</v>
      </c>
      <c r="C4694" t="s">
        <v>9732</v>
      </c>
      <c r="D4694" t="s">
        <v>3548</v>
      </c>
      <c r="F4694">
        <v>555851347</v>
      </c>
      <c r="G4694">
        <v>668584170</v>
      </c>
      <c r="H4694">
        <v>554046018</v>
      </c>
      <c r="P4694">
        <v>28</v>
      </c>
      <c r="Q4694" t="s">
        <v>9733</v>
      </c>
    </row>
    <row r="4695" spans="1:17" x14ac:dyDescent="0.3">
      <c r="A4695" t="s">
        <v>4664</v>
      </c>
      <c r="B4695" t="str">
        <f>"300959"</f>
        <v>300959</v>
      </c>
      <c r="C4695" t="s">
        <v>9734</v>
      </c>
      <c r="D4695" t="s">
        <v>5597</v>
      </c>
      <c r="F4695">
        <v>1083425445</v>
      </c>
      <c r="G4695">
        <v>799855222</v>
      </c>
      <c r="P4695">
        <v>31</v>
      </c>
      <c r="Q4695" t="s">
        <v>9735</v>
      </c>
    </row>
    <row r="4696" spans="1:17" x14ac:dyDescent="0.3">
      <c r="A4696" t="s">
        <v>4664</v>
      </c>
      <c r="B4696" t="str">
        <f>"300960"</f>
        <v>300960</v>
      </c>
      <c r="C4696" t="s">
        <v>9736</v>
      </c>
      <c r="D4696" t="s">
        <v>1012</v>
      </c>
      <c r="F4696">
        <v>102661983</v>
      </c>
      <c r="G4696">
        <v>213382152</v>
      </c>
      <c r="P4696">
        <v>26</v>
      </c>
      <c r="Q4696" t="s">
        <v>9737</v>
      </c>
    </row>
    <row r="4697" spans="1:17" x14ac:dyDescent="0.3">
      <c r="A4697" t="s">
        <v>4664</v>
      </c>
      <c r="B4697" t="str">
        <f>"300961"</f>
        <v>300961</v>
      </c>
      <c r="C4697" t="s">
        <v>9738</v>
      </c>
      <c r="D4697" t="s">
        <v>33</v>
      </c>
      <c r="F4697">
        <v>178335966</v>
      </c>
      <c r="P4697">
        <v>27</v>
      </c>
      <c r="Q4697" t="s">
        <v>9739</v>
      </c>
    </row>
    <row r="4698" spans="1:17" x14ac:dyDescent="0.3">
      <c r="A4698" t="s">
        <v>4664</v>
      </c>
      <c r="B4698" t="str">
        <f>"300962"</f>
        <v>300962</v>
      </c>
      <c r="C4698" t="s">
        <v>9740</v>
      </c>
      <c r="D4698" t="s">
        <v>9741</v>
      </c>
      <c r="F4698">
        <v>233760003</v>
      </c>
      <c r="G4698">
        <v>196116048</v>
      </c>
      <c r="P4698">
        <v>32</v>
      </c>
      <c r="Q4698" t="s">
        <v>9742</v>
      </c>
    </row>
    <row r="4699" spans="1:17" x14ac:dyDescent="0.3">
      <c r="A4699" t="s">
        <v>4664</v>
      </c>
      <c r="B4699" t="str">
        <f>"300963"</f>
        <v>300963</v>
      </c>
      <c r="C4699" t="s">
        <v>9743</v>
      </c>
      <c r="D4699" t="s">
        <v>581</v>
      </c>
      <c r="F4699">
        <v>258551451</v>
      </c>
      <c r="G4699">
        <v>306195541</v>
      </c>
      <c r="P4699">
        <v>35</v>
      </c>
      <c r="Q4699" t="s">
        <v>9744</v>
      </c>
    </row>
    <row r="4700" spans="1:17" x14ac:dyDescent="0.3">
      <c r="A4700" t="s">
        <v>4664</v>
      </c>
      <c r="B4700" t="str">
        <f>"300964"</f>
        <v>300964</v>
      </c>
      <c r="C4700" t="s">
        <v>9745</v>
      </c>
      <c r="D4700" t="s">
        <v>425</v>
      </c>
      <c r="F4700">
        <v>312278704</v>
      </c>
      <c r="P4700">
        <v>20</v>
      </c>
      <c r="Q4700" t="s">
        <v>9746</v>
      </c>
    </row>
    <row r="4701" spans="1:17" x14ac:dyDescent="0.3">
      <c r="A4701" t="s">
        <v>4664</v>
      </c>
      <c r="B4701" t="str">
        <f>"300965"</f>
        <v>300965</v>
      </c>
      <c r="C4701" t="s">
        <v>9747</v>
      </c>
      <c r="D4701" t="s">
        <v>98</v>
      </c>
      <c r="F4701">
        <v>156013102</v>
      </c>
      <c r="P4701">
        <v>31</v>
      </c>
      <c r="Q4701" t="s">
        <v>9748</v>
      </c>
    </row>
    <row r="4702" spans="1:17" x14ac:dyDescent="0.3">
      <c r="A4702" t="s">
        <v>4664</v>
      </c>
      <c r="B4702" t="str">
        <f>"300966"</f>
        <v>300966</v>
      </c>
      <c r="C4702" t="s">
        <v>9749</v>
      </c>
      <c r="D4702" t="s">
        <v>496</v>
      </c>
      <c r="F4702">
        <v>359311921</v>
      </c>
      <c r="G4702">
        <v>284209997</v>
      </c>
      <c r="P4702">
        <v>32</v>
      </c>
      <c r="Q4702" t="s">
        <v>9750</v>
      </c>
    </row>
    <row r="4703" spans="1:17" x14ac:dyDescent="0.3">
      <c r="A4703" t="s">
        <v>4664</v>
      </c>
      <c r="B4703" t="str">
        <f>"300967"</f>
        <v>300967</v>
      </c>
      <c r="C4703" t="s">
        <v>9751</v>
      </c>
      <c r="D4703" t="s">
        <v>6173</v>
      </c>
      <c r="F4703">
        <v>531766743</v>
      </c>
      <c r="G4703">
        <v>433707747</v>
      </c>
      <c r="H4703">
        <v>407285898</v>
      </c>
      <c r="P4703">
        <v>34</v>
      </c>
      <c r="Q4703" t="s">
        <v>9752</v>
      </c>
    </row>
    <row r="4704" spans="1:17" x14ac:dyDescent="0.3">
      <c r="A4704" t="s">
        <v>4664</v>
      </c>
      <c r="B4704" t="str">
        <f>"300968"</f>
        <v>300968</v>
      </c>
      <c r="C4704" t="s">
        <v>9753</v>
      </c>
      <c r="D4704" t="s">
        <v>313</v>
      </c>
      <c r="F4704">
        <v>1187359554</v>
      </c>
      <c r="G4704">
        <v>1090938762</v>
      </c>
      <c r="H4704">
        <v>888481031</v>
      </c>
      <c r="P4704">
        <v>31</v>
      </c>
      <c r="Q4704" t="s">
        <v>9754</v>
      </c>
    </row>
    <row r="4705" spans="1:17" x14ac:dyDescent="0.3">
      <c r="A4705" t="s">
        <v>4664</v>
      </c>
      <c r="B4705" t="str">
        <f>"300969"</f>
        <v>300969</v>
      </c>
      <c r="C4705" t="s">
        <v>9755</v>
      </c>
      <c r="D4705" t="s">
        <v>191</v>
      </c>
      <c r="F4705">
        <v>400656867</v>
      </c>
      <c r="P4705">
        <v>42</v>
      </c>
      <c r="Q4705" t="s">
        <v>9756</v>
      </c>
    </row>
    <row r="4706" spans="1:17" x14ac:dyDescent="0.3">
      <c r="A4706" t="s">
        <v>4664</v>
      </c>
      <c r="B4706" t="str">
        <f>"300970"</f>
        <v>300970</v>
      </c>
      <c r="C4706" t="s">
        <v>9757</v>
      </c>
      <c r="D4706" t="s">
        <v>7244</v>
      </c>
      <c r="F4706">
        <v>363091987</v>
      </c>
      <c r="P4706">
        <v>25</v>
      </c>
      <c r="Q4706" t="s">
        <v>9758</v>
      </c>
    </row>
    <row r="4707" spans="1:17" x14ac:dyDescent="0.3">
      <c r="A4707" t="s">
        <v>4664</v>
      </c>
      <c r="B4707" t="str">
        <f>"300971"</f>
        <v>300971</v>
      </c>
      <c r="C4707" t="s">
        <v>9759</v>
      </c>
      <c r="D4707" t="s">
        <v>741</v>
      </c>
      <c r="F4707">
        <v>187607922</v>
      </c>
      <c r="G4707">
        <v>152050030</v>
      </c>
      <c r="P4707">
        <v>39</v>
      </c>
      <c r="Q4707" t="s">
        <v>9760</v>
      </c>
    </row>
    <row r="4708" spans="1:17" x14ac:dyDescent="0.3">
      <c r="A4708" t="s">
        <v>4664</v>
      </c>
      <c r="B4708" t="str">
        <f>"300972"</f>
        <v>300972</v>
      </c>
      <c r="C4708" t="s">
        <v>9761</v>
      </c>
      <c r="D4708" t="s">
        <v>7244</v>
      </c>
      <c r="F4708">
        <v>253914923</v>
      </c>
      <c r="G4708">
        <v>327117160</v>
      </c>
      <c r="P4708">
        <v>22</v>
      </c>
      <c r="Q4708" t="s">
        <v>9762</v>
      </c>
    </row>
    <row r="4709" spans="1:17" x14ac:dyDescent="0.3">
      <c r="A4709" t="s">
        <v>4664</v>
      </c>
      <c r="B4709" t="str">
        <f>"300973"</f>
        <v>300973</v>
      </c>
      <c r="C4709" t="s">
        <v>9763</v>
      </c>
      <c r="D4709" t="s">
        <v>2479</v>
      </c>
      <c r="F4709">
        <v>2090821247</v>
      </c>
      <c r="G4709">
        <v>1317632968</v>
      </c>
      <c r="P4709">
        <v>140</v>
      </c>
      <c r="Q4709" t="s">
        <v>9764</v>
      </c>
    </row>
    <row r="4710" spans="1:17" x14ac:dyDescent="0.3">
      <c r="A4710" t="s">
        <v>4664</v>
      </c>
      <c r="B4710" t="str">
        <f>"300975"</f>
        <v>300975</v>
      </c>
      <c r="C4710" t="s">
        <v>9765</v>
      </c>
      <c r="D4710" t="s">
        <v>651</v>
      </c>
      <c r="F4710">
        <v>3302804277</v>
      </c>
      <c r="G4710">
        <v>1723535364</v>
      </c>
      <c r="H4710">
        <v>1575708049</v>
      </c>
      <c r="P4710">
        <v>30</v>
      </c>
      <c r="Q4710" t="s">
        <v>9766</v>
      </c>
    </row>
    <row r="4711" spans="1:17" x14ac:dyDescent="0.3">
      <c r="A4711" t="s">
        <v>4664</v>
      </c>
      <c r="B4711" t="str">
        <f>"300976"</f>
        <v>300976</v>
      </c>
      <c r="C4711" t="s">
        <v>9767</v>
      </c>
      <c r="D4711" t="s">
        <v>313</v>
      </c>
      <c r="F4711">
        <v>1002211803</v>
      </c>
      <c r="G4711">
        <v>637715289</v>
      </c>
      <c r="P4711">
        <v>35</v>
      </c>
      <c r="Q4711" t="s">
        <v>9768</v>
      </c>
    </row>
    <row r="4712" spans="1:17" x14ac:dyDescent="0.3">
      <c r="A4712" t="s">
        <v>4664</v>
      </c>
      <c r="B4712" t="str">
        <f>"300977"</f>
        <v>300977</v>
      </c>
      <c r="C4712" t="s">
        <v>9769</v>
      </c>
      <c r="D4712" t="s">
        <v>1272</v>
      </c>
      <c r="F4712">
        <v>432424624</v>
      </c>
      <c r="P4712">
        <v>46</v>
      </c>
      <c r="Q4712" t="s">
        <v>9770</v>
      </c>
    </row>
    <row r="4713" spans="1:17" x14ac:dyDescent="0.3">
      <c r="A4713" t="s">
        <v>4664</v>
      </c>
      <c r="B4713" t="str">
        <f>"300978"</f>
        <v>300978</v>
      </c>
      <c r="C4713" t="s">
        <v>9771</v>
      </c>
      <c r="D4713" t="s">
        <v>191</v>
      </c>
      <c r="F4713">
        <v>1230925212</v>
      </c>
      <c r="P4713">
        <v>37</v>
      </c>
      <c r="Q4713" t="s">
        <v>9772</v>
      </c>
    </row>
    <row r="4714" spans="1:17" x14ac:dyDescent="0.3">
      <c r="A4714" t="s">
        <v>4664</v>
      </c>
      <c r="B4714" t="str">
        <f>"300979"</f>
        <v>300979</v>
      </c>
      <c r="C4714" t="s">
        <v>9773</v>
      </c>
      <c r="D4714" t="s">
        <v>9774</v>
      </c>
      <c r="F4714">
        <v>12038497333</v>
      </c>
      <c r="G4714">
        <v>11124198999</v>
      </c>
      <c r="P4714">
        <v>95</v>
      </c>
      <c r="Q4714" t="s">
        <v>9775</v>
      </c>
    </row>
    <row r="4715" spans="1:17" x14ac:dyDescent="0.3">
      <c r="A4715" t="s">
        <v>4664</v>
      </c>
      <c r="B4715" t="str">
        <f>"300980"</f>
        <v>300980</v>
      </c>
      <c r="C4715" t="s">
        <v>9776</v>
      </c>
      <c r="D4715" t="s">
        <v>1192</v>
      </c>
      <c r="F4715">
        <v>282017036</v>
      </c>
      <c r="P4715">
        <v>77</v>
      </c>
      <c r="Q4715" t="s">
        <v>9777</v>
      </c>
    </row>
    <row r="4716" spans="1:17" x14ac:dyDescent="0.3">
      <c r="A4716" t="s">
        <v>4664</v>
      </c>
      <c r="B4716" t="str">
        <f>"300981"</f>
        <v>300981</v>
      </c>
      <c r="C4716" t="s">
        <v>9778</v>
      </c>
      <c r="D4716" t="s">
        <v>1077</v>
      </c>
      <c r="F4716">
        <v>4240565081</v>
      </c>
      <c r="P4716">
        <v>127</v>
      </c>
      <c r="Q4716" t="s">
        <v>9779</v>
      </c>
    </row>
    <row r="4717" spans="1:17" x14ac:dyDescent="0.3">
      <c r="A4717" t="s">
        <v>4664</v>
      </c>
      <c r="B4717" t="str">
        <f>"300982"</f>
        <v>300982</v>
      </c>
      <c r="C4717" t="s">
        <v>9780</v>
      </c>
      <c r="D4717" t="s">
        <v>101</v>
      </c>
      <c r="F4717">
        <v>982442272</v>
      </c>
      <c r="G4717">
        <v>751428166</v>
      </c>
      <c r="P4717">
        <v>65</v>
      </c>
      <c r="Q4717" t="s">
        <v>9781</v>
      </c>
    </row>
    <row r="4718" spans="1:17" x14ac:dyDescent="0.3">
      <c r="A4718" t="s">
        <v>4664</v>
      </c>
      <c r="B4718" t="str">
        <f>"300983"</f>
        <v>300983</v>
      </c>
      <c r="C4718" t="s">
        <v>9782</v>
      </c>
      <c r="D4718" t="s">
        <v>1272</v>
      </c>
      <c r="F4718">
        <v>448355433</v>
      </c>
      <c r="P4718">
        <v>34</v>
      </c>
      <c r="Q4718" t="s">
        <v>9783</v>
      </c>
    </row>
    <row r="4719" spans="1:17" x14ac:dyDescent="0.3">
      <c r="A4719" t="s">
        <v>4664</v>
      </c>
      <c r="B4719" t="str">
        <f>"300984"</f>
        <v>300984</v>
      </c>
      <c r="C4719" t="s">
        <v>9784</v>
      </c>
      <c r="D4719" t="s">
        <v>560</v>
      </c>
      <c r="F4719">
        <v>602932414</v>
      </c>
      <c r="P4719">
        <v>18</v>
      </c>
      <c r="Q4719" t="s">
        <v>9785</v>
      </c>
    </row>
    <row r="4720" spans="1:17" x14ac:dyDescent="0.3">
      <c r="A4720" t="s">
        <v>4664</v>
      </c>
      <c r="B4720" t="str">
        <f>"300985"</f>
        <v>300985</v>
      </c>
      <c r="C4720" t="s">
        <v>9786</v>
      </c>
      <c r="D4720" t="s">
        <v>274</v>
      </c>
      <c r="F4720">
        <v>264468325</v>
      </c>
      <c r="G4720">
        <v>489705060</v>
      </c>
      <c r="P4720">
        <v>32</v>
      </c>
      <c r="Q4720" t="s">
        <v>9787</v>
      </c>
    </row>
    <row r="4721" spans="1:17" x14ac:dyDescent="0.3">
      <c r="A4721" t="s">
        <v>4664</v>
      </c>
      <c r="B4721" t="str">
        <f>"300986"</f>
        <v>300986</v>
      </c>
      <c r="C4721" t="s">
        <v>9788</v>
      </c>
      <c r="D4721" t="s">
        <v>504</v>
      </c>
      <c r="F4721">
        <v>1068252929</v>
      </c>
      <c r="G4721">
        <v>805267444</v>
      </c>
      <c r="P4721">
        <v>34</v>
      </c>
      <c r="Q4721" t="s">
        <v>9789</v>
      </c>
    </row>
    <row r="4722" spans="1:17" x14ac:dyDescent="0.3">
      <c r="A4722" t="s">
        <v>4664</v>
      </c>
      <c r="B4722" t="str">
        <f>"300987"</f>
        <v>300987</v>
      </c>
      <c r="C4722" t="s">
        <v>9790</v>
      </c>
      <c r="D4722" t="s">
        <v>522</v>
      </c>
      <c r="F4722">
        <v>98027572</v>
      </c>
      <c r="G4722">
        <v>113491082</v>
      </c>
      <c r="P4722">
        <v>24</v>
      </c>
      <c r="Q4722" t="s">
        <v>9791</v>
      </c>
    </row>
    <row r="4723" spans="1:17" x14ac:dyDescent="0.3">
      <c r="A4723" t="s">
        <v>4664</v>
      </c>
      <c r="B4723" t="str">
        <f>"300988"</f>
        <v>300988</v>
      </c>
      <c r="C4723" t="s">
        <v>9792</v>
      </c>
      <c r="D4723" t="s">
        <v>741</v>
      </c>
      <c r="F4723">
        <v>1045499722</v>
      </c>
      <c r="P4723">
        <v>20</v>
      </c>
      <c r="Q4723" t="s">
        <v>9793</v>
      </c>
    </row>
    <row r="4724" spans="1:17" x14ac:dyDescent="0.3">
      <c r="A4724" t="s">
        <v>4664</v>
      </c>
      <c r="B4724" t="str">
        <f>"300989"</f>
        <v>300989</v>
      </c>
      <c r="C4724" t="s">
        <v>9794</v>
      </c>
      <c r="D4724" t="s">
        <v>1272</v>
      </c>
      <c r="F4724">
        <v>274811220</v>
      </c>
      <c r="P4724">
        <v>32</v>
      </c>
      <c r="Q4724" t="s">
        <v>9795</v>
      </c>
    </row>
    <row r="4725" spans="1:17" x14ac:dyDescent="0.3">
      <c r="A4725" t="s">
        <v>4664</v>
      </c>
      <c r="B4725" t="str">
        <f>"300990"</f>
        <v>300990</v>
      </c>
      <c r="C4725" t="s">
        <v>9796</v>
      </c>
      <c r="D4725" t="s">
        <v>988</v>
      </c>
      <c r="F4725">
        <v>340797419</v>
      </c>
      <c r="P4725">
        <v>42</v>
      </c>
      <c r="Q4725" t="s">
        <v>9797</v>
      </c>
    </row>
    <row r="4726" spans="1:17" x14ac:dyDescent="0.3">
      <c r="A4726" t="s">
        <v>4664</v>
      </c>
      <c r="B4726" t="str">
        <f>"300991"</f>
        <v>300991</v>
      </c>
      <c r="C4726" t="s">
        <v>9798</v>
      </c>
      <c r="D4726" t="s">
        <v>651</v>
      </c>
      <c r="F4726">
        <v>415660543</v>
      </c>
      <c r="G4726">
        <v>369598542</v>
      </c>
      <c r="P4726">
        <v>58</v>
      </c>
      <c r="Q4726" t="s">
        <v>9799</v>
      </c>
    </row>
    <row r="4727" spans="1:17" x14ac:dyDescent="0.3">
      <c r="A4727" t="s">
        <v>4664</v>
      </c>
      <c r="B4727" t="str">
        <f>"300992"</f>
        <v>300992</v>
      </c>
      <c r="C4727" t="s">
        <v>9800</v>
      </c>
      <c r="D4727" t="s">
        <v>560</v>
      </c>
      <c r="F4727">
        <v>379610090</v>
      </c>
      <c r="G4727">
        <v>336538121</v>
      </c>
      <c r="P4727">
        <v>26</v>
      </c>
      <c r="Q4727" t="s">
        <v>9801</v>
      </c>
    </row>
    <row r="4728" spans="1:17" x14ac:dyDescent="0.3">
      <c r="A4728" t="s">
        <v>4664</v>
      </c>
      <c r="B4728" t="str">
        <f>"300993"</f>
        <v>300993</v>
      </c>
      <c r="C4728" t="s">
        <v>9802</v>
      </c>
      <c r="D4728" t="s">
        <v>2436</v>
      </c>
      <c r="F4728">
        <v>361393523</v>
      </c>
      <c r="G4728">
        <v>251623403</v>
      </c>
      <c r="P4728">
        <v>31</v>
      </c>
      <c r="Q4728" t="s">
        <v>9803</v>
      </c>
    </row>
    <row r="4729" spans="1:17" x14ac:dyDescent="0.3">
      <c r="A4729" t="s">
        <v>4664</v>
      </c>
      <c r="B4729" t="str">
        <f>"300994"</f>
        <v>300994</v>
      </c>
      <c r="C4729" t="s">
        <v>9804</v>
      </c>
      <c r="D4729" t="s">
        <v>233</v>
      </c>
      <c r="F4729">
        <v>2376376758</v>
      </c>
      <c r="G4729">
        <v>1460080277</v>
      </c>
      <c r="P4729">
        <v>21</v>
      </c>
      <c r="Q4729" t="s">
        <v>9805</v>
      </c>
    </row>
    <row r="4730" spans="1:17" x14ac:dyDescent="0.3">
      <c r="A4730" t="s">
        <v>4664</v>
      </c>
      <c r="B4730" t="str">
        <f>"300995"</f>
        <v>300995</v>
      </c>
      <c r="C4730" t="s">
        <v>9806</v>
      </c>
      <c r="D4730" t="s">
        <v>341</v>
      </c>
      <c r="F4730">
        <v>214652269</v>
      </c>
      <c r="G4730">
        <v>327362314</v>
      </c>
      <c r="P4730">
        <v>26</v>
      </c>
      <c r="Q4730" t="s">
        <v>9807</v>
      </c>
    </row>
    <row r="4731" spans="1:17" x14ac:dyDescent="0.3">
      <c r="A4731" t="s">
        <v>4664</v>
      </c>
      <c r="B4731" t="str">
        <f>"300996"</f>
        <v>300996</v>
      </c>
      <c r="C4731" t="s">
        <v>9808</v>
      </c>
      <c r="D4731" t="s">
        <v>945</v>
      </c>
      <c r="F4731">
        <v>250924817</v>
      </c>
      <c r="P4731">
        <v>42</v>
      </c>
      <c r="Q4731" t="s">
        <v>9809</v>
      </c>
    </row>
    <row r="4732" spans="1:17" x14ac:dyDescent="0.3">
      <c r="A4732" t="s">
        <v>4664</v>
      </c>
      <c r="B4732" t="str">
        <f>"300997"</f>
        <v>300997</v>
      </c>
      <c r="C4732" t="s">
        <v>9810</v>
      </c>
      <c r="D4732" t="s">
        <v>440</v>
      </c>
      <c r="F4732">
        <v>990763594</v>
      </c>
      <c r="G4732">
        <v>783529165</v>
      </c>
      <c r="P4732">
        <v>39</v>
      </c>
      <c r="Q4732" t="s">
        <v>9811</v>
      </c>
    </row>
    <row r="4733" spans="1:17" x14ac:dyDescent="0.3">
      <c r="A4733" t="s">
        <v>4664</v>
      </c>
      <c r="B4733" t="str">
        <f>"300998"</f>
        <v>300998</v>
      </c>
      <c r="C4733" t="s">
        <v>9812</v>
      </c>
      <c r="D4733" t="s">
        <v>985</v>
      </c>
      <c r="F4733">
        <v>462568535</v>
      </c>
      <c r="P4733">
        <v>26</v>
      </c>
      <c r="Q4733" t="s">
        <v>9813</v>
      </c>
    </row>
    <row r="4734" spans="1:17" x14ac:dyDescent="0.3">
      <c r="A4734" t="s">
        <v>4664</v>
      </c>
      <c r="B4734" t="str">
        <f>"300999"</f>
        <v>300999</v>
      </c>
      <c r="C4734" t="s">
        <v>9814</v>
      </c>
      <c r="D4734" t="s">
        <v>306</v>
      </c>
      <c r="F4734">
        <v>184658002000</v>
      </c>
      <c r="G4734">
        <v>160712554000</v>
      </c>
      <c r="H4734">
        <v>143324063000</v>
      </c>
      <c r="P4734">
        <v>1181</v>
      </c>
      <c r="Q4734" t="s">
        <v>9815</v>
      </c>
    </row>
    <row r="4735" spans="1:17" x14ac:dyDescent="0.3">
      <c r="A4735" t="s">
        <v>4664</v>
      </c>
      <c r="B4735" t="str">
        <f>"301000"</f>
        <v>301000</v>
      </c>
      <c r="C4735" t="s">
        <v>9816</v>
      </c>
      <c r="D4735" t="s">
        <v>985</v>
      </c>
      <c r="F4735">
        <v>486857223</v>
      </c>
      <c r="P4735">
        <v>25</v>
      </c>
      <c r="Q4735" t="s">
        <v>9817</v>
      </c>
    </row>
    <row r="4736" spans="1:17" x14ac:dyDescent="0.3">
      <c r="A4736" t="s">
        <v>4664</v>
      </c>
      <c r="B4736" t="str">
        <f>"301001"</f>
        <v>301001</v>
      </c>
      <c r="C4736" t="s">
        <v>9818</v>
      </c>
      <c r="D4736" t="s">
        <v>3590</v>
      </c>
      <c r="F4736">
        <v>618584095</v>
      </c>
      <c r="G4736">
        <v>720881950</v>
      </c>
      <c r="P4736">
        <v>23</v>
      </c>
      <c r="Q4736" t="s">
        <v>9819</v>
      </c>
    </row>
    <row r="4737" spans="1:17" x14ac:dyDescent="0.3">
      <c r="A4737" t="s">
        <v>4664</v>
      </c>
      <c r="B4737" t="str">
        <f>"301002"</f>
        <v>301002</v>
      </c>
      <c r="C4737" t="s">
        <v>9820</v>
      </c>
      <c r="D4737" t="s">
        <v>210</v>
      </c>
      <c r="F4737">
        <v>561205035</v>
      </c>
      <c r="G4737">
        <v>344020177</v>
      </c>
      <c r="P4737">
        <v>43</v>
      </c>
      <c r="Q4737" t="s">
        <v>9821</v>
      </c>
    </row>
    <row r="4738" spans="1:17" x14ac:dyDescent="0.3">
      <c r="A4738" t="s">
        <v>4664</v>
      </c>
      <c r="B4738" t="str">
        <f>"301003"</f>
        <v>301003</v>
      </c>
      <c r="C4738" t="s">
        <v>9822</v>
      </c>
      <c r="D4738" t="s">
        <v>341</v>
      </c>
      <c r="F4738">
        <v>494594109</v>
      </c>
      <c r="P4738">
        <v>31</v>
      </c>
      <c r="Q4738" t="s">
        <v>9823</v>
      </c>
    </row>
    <row r="4739" spans="1:17" x14ac:dyDescent="0.3">
      <c r="A4739" t="s">
        <v>4664</v>
      </c>
      <c r="B4739" t="str">
        <f>"301004"</f>
        <v>301004</v>
      </c>
      <c r="C4739" t="s">
        <v>9824</v>
      </c>
      <c r="D4739" t="s">
        <v>2436</v>
      </c>
      <c r="F4739">
        <v>398225142</v>
      </c>
      <c r="P4739">
        <v>25</v>
      </c>
      <c r="Q4739" t="s">
        <v>9825</v>
      </c>
    </row>
    <row r="4740" spans="1:17" x14ac:dyDescent="0.3">
      <c r="A4740" t="s">
        <v>4664</v>
      </c>
      <c r="B4740" t="str">
        <f>"301005"</f>
        <v>301005</v>
      </c>
      <c r="C4740" t="s">
        <v>9826</v>
      </c>
      <c r="D4740" t="s">
        <v>985</v>
      </c>
      <c r="F4740">
        <v>254945328</v>
      </c>
      <c r="P4740">
        <v>23</v>
      </c>
      <c r="Q4740" t="s">
        <v>9827</v>
      </c>
    </row>
    <row r="4741" spans="1:17" x14ac:dyDescent="0.3">
      <c r="A4741" t="s">
        <v>4664</v>
      </c>
      <c r="B4741" t="str">
        <f>"301006"</f>
        <v>301006</v>
      </c>
      <c r="C4741" t="s">
        <v>9828</v>
      </c>
      <c r="D4741" t="s">
        <v>2551</v>
      </c>
      <c r="F4741">
        <v>252684125</v>
      </c>
      <c r="G4741">
        <v>252447321</v>
      </c>
      <c r="P4741">
        <v>50</v>
      </c>
      <c r="Q4741" t="s">
        <v>9829</v>
      </c>
    </row>
    <row r="4742" spans="1:17" x14ac:dyDescent="0.3">
      <c r="A4742" t="s">
        <v>4664</v>
      </c>
      <c r="B4742" t="str">
        <f>"301007"</f>
        <v>301007</v>
      </c>
      <c r="C4742" t="s">
        <v>9830</v>
      </c>
      <c r="D4742" t="s">
        <v>348</v>
      </c>
      <c r="F4742">
        <v>310307544</v>
      </c>
      <c r="G4742">
        <v>299809330</v>
      </c>
      <c r="P4742">
        <v>44</v>
      </c>
      <c r="Q4742" t="s">
        <v>9831</v>
      </c>
    </row>
    <row r="4743" spans="1:17" x14ac:dyDescent="0.3">
      <c r="A4743" t="s">
        <v>4664</v>
      </c>
      <c r="B4743" t="str">
        <f>"301008"</f>
        <v>301008</v>
      </c>
      <c r="C4743" t="s">
        <v>9832</v>
      </c>
      <c r="D4743" t="s">
        <v>1253</v>
      </c>
      <c r="F4743">
        <v>572604625</v>
      </c>
      <c r="P4743">
        <v>36</v>
      </c>
      <c r="Q4743" t="s">
        <v>9833</v>
      </c>
    </row>
    <row r="4744" spans="1:17" x14ac:dyDescent="0.3">
      <c r="A4744" t="s">
        <v>4664</v>
      </c>
      <c r="B4744" t="str">
        <f>"301009"</f>
        <v>301009</v>
      </c>
      <c r="C4744" t="s">
        <v>9834</v>
      </c>
      <c r="D4744" t="s">
        <v>2728</v>
      </c>
      <c r="F4744">
        <v>990025621</v>
      </c>
      <c r="G4744">
        <v>1223397088</v>
      </c>
      <c r="P4744">
        <v>59</v>
      </c>
      <c r="Q4744" t="s">
        <v>9835</v>
      </c>
    </row>
    <row r="4745" spans="1:17" x14ac:dyDescent="0.3">
      <c r="A4745" t="s">
        <v>4664</v>
      </c>
      <c r="B4745" t="str">
        <f>"301010"</f>
        <v>301010</v>
      </c>
      <c r="C4745" t="s">
        <v>9836</v>
      </c>
      <c r="D4745" t="s">
        <v>722</v>
      </c>
      <c r="F4745">
        <v>595559329</v>
      </c>
      <c r="G4745">
        <v>506172670</v>
      </c>
      <c r="P4745">
        <v>33</v>
      </c>
      <c r="Q4745" t="s">
        <v>9837</v>
      </c>
    </row>
    <row r="4746" spans="1:17" x14ac:dyDescent="0.3">
      <c r="A4746" t="s">
        <v>4664</v>
      </c>
      <c r="B4746" t="str">
        <f>"301011"</f>
        <v>301011</v>
      </c>
      <c r="C4746" t="s">
        <v>9838</v>
      </c>
      <c r="D4746" t="s">
        <v>741</v>
      </c>
      <c r="F4746">
        <v>414748945</v>
      </c>
      <c r="G4746">
        <v>186733123</v>
      </c>
      <c r="P4746">
        <v>28</v>
      </c>
      <c r="Q4746" t="s">
        <v>9839</v>
      </c>
    </row>
    <row r="4747" spans="1:17" x14ac:dyDescent="0.3">
      <c r="A4747" t="s">
        <v>4664</v>
      </c>
      <c r="B4747" t="str">
        <f>"301012"</f>
        <v>301012</v>
      </c>
      <c r="C4747" t="s">
        <v>9840</v>
      </c>
      <c r="D4747" t="s">
        <v>210</v>
      </c>
      <c r="F4747">
        <v>145067148</v>
      </c>
      <c r="G4747">
        <v>143129690</v>
      </c>
      <c r="P4747">
        <v>23</v>
      </c>
      <c r="Q4747" t="s">
        <v>9841</v>
      </c>
    </row>
    <row r="4748" spans="1:17" x14ac:dyDescent="0.3">
      <c r="A4748" t="s">
        <v>4664</v>
      </c>
      <c r="B4748" t="str">
        <f>"301013"</f>
        <v>301013</v>
      </c>
      <c r="C4748" t="s">
        <v>9842</v>
      </c>
      <c r="D4748" t="s">
        <v>741</v>
      </c>
      <c r="F4748">
        <v>222067030</v>
      </c>
      <c r="G4748">
        <v>482881567</v>
      </c>
      <c r="P4748">
        <v>20</v>
      </c>
      <c r="Q4748" t="s">
        <v>9843</v>
      </c>
    </row>
    <row r="4749" spans="1:17" x14ac:dyDescent="0.3">
      <c r="A4749" t="s">
        <v>4664</v>
      </c>
      <c r="B4749" t="str">
        <f>"301015"</f>
        <v>301015</v>
      </c>
      <c r="C4749" t="s">
        <v>9844</v>
      </c>
      <c r="D4749" t="s">
        <v>125</v>
      </c>
      <c r="F4749">
        <v>5265145587</v>
      </c>
      <c r="G4749">
        <v>3656130056</v>
      </c>
      <c r="P4749">
        <v>45</v>
      </c>
      <c r="Q4749" t="s">
        <v>9845</v>
      </c>
    </row>
    <row r="4750" spans="1:17" x14ac:dyDescent="0.3">
      <c r="A4750" t="s">
        <v>4664</v>
      </c>
      <c r="B4750" t="str">
        <f>"301016"</f>
        <v>301016</v>
      </c>
      <c r="C4750" t="s">
        <v>9846</v>
      </c>
      <c r="D4750" t="s">
        <v>1012</v>
      </c>
      <c r="F4750">
        <v>188829407</v>
      </c>
      <c r="P4750">
        <v>35</v>
      </c>
      <c r="Q4750" t="s">
        <v>9847</v>
      </c>
    </row>
    <row r="4751" spans="1:17" x14ac:dyDescent="0.3">
      <c r="A4751" t="s">
        <v>4664</v>
      </c>
      <c r="B4751" t="str">
        <f>"301017"</f>
        <v>301017</v>
      </c>
      <c r="C4751" t="s">
        <v>9848</v>
      </c>
      <c r="D4751" t="s">
        <v>1684</v>
      </c>
      <c r="F4751">
        <v>4194835030</v>
      </c>
      <c r="G4751">
        <v>3937345604</v>
      </c>
      <c r="P4751">
        <v>36</v>
      </c>
      <c r="Q4751" t="s">
        <v>9849</v>
      </c>
    </row>
    <row r="4752" spans="1:17" x14ac:dyDescent="0.3">
      <c r="A4752" t="s">
        <v>4664</v>
      </c>
      <c r="B4752" t="str">
        <f>"301018"</f>
        <v>301018</v>
      </c>
      <c r="C4752" t="s">
        <v>9850</v>
      </c>
      <c r="D4752" t="s">
        <v>988</v>
      </c>
      <c r="F4752">
        <v>1270881163</v>
      </c>
      <c r="P4752">
        <v>37</v>
      </c>
      <c r="Q4752" t="s">
        <v>9851</v>
      </c>
    </row>
    <row r="4753" spans="1:17" x14ac:dyDescent="0.3">
      <c r="A4753" t="s">
        <v>4664</v>
      </c>
      <c r="B4753" t="str">
        <f>"301019"</f>
        <v>301019</v>
      </c>
      <c r="C4753" t="s">
        <v>9852</v>
      </c>
      <c r="D4753" t="s">
        <v>1192</v>
      </c>
      <c r="F4753">
        <v>393945162</v>
      </c>
      <c r="G4753">
        <v>294012295</v>
      </c>
      <c r="P4753">
        <v>39</v>
      </c>
      <c r="Q4753" t="s">
        <v>9853</v>
      </c>
    </row>
    <row r="4754" spans="1:17" x14ac:dyDescent="0.3">
      <c r="A4754" t="s">
        <v>4664</v>
      </c>
      <c r="B4754" t="str">
        <f>"301020"</f>
        <v>301020</v>
      </c>
      <c r="C4754" t="s">
        <v>9854</v>
      </c>
      <c r="D4754" t="s">
        <v>348</v>
      </c>
      <c r="F4754">
        <v>346620039</v>
      </c>
      <c r="G4754">
        <v>250254300</v>
      </c>
      <c r="P4754">
        <v>54</v>
      </c>
      <c r="Q4754" t="s">
        <v>9855</v>
      </c>
    </row>
    <row r="4755" spans="1:17" x14ac:dyDescent="0.3">
      <c r="A4755" t="s">
        <v>4664</v>
      </c>
      <c r="B4755" t="str">
        <f>"301021"</f>
        <v>301021</v>
      </c>
      <c r="C4755" t="s">
        <v>9856</v>
      </c>
      <c r="D4755" t="s">
        <v>3784</v>
      </c>
      <c r="F4755">
        <v>251954810</v>
      </c>
      <c r="G4755">
        <v>229449365</v>
      </c>
      <c r="P4755">
        <v>35</v>
      </c>
      <c r="Q4755" t="s">
        <v>9857</v>
      </c>
    </row>
    <row r="4756" spans="1:17" x14ac:dyDescent="0.3">
      <c r="A4756" t="s">
        <v>4664</v>
      </c>
      <c r="B4756" t="str">
        <f>"301022"</f>
        <v>301022</v>
      </c>
      <c r="C4756" t="s">
        <v>9858</v>
      </c>
      <c r="D4756" t="s">
        <v>985</v>
      </c>
      <c r="F4756">
        <v>379389473</v>
      </c>
      <c r="P4756">
        <v>24</v>
      </c>
      <c r="Q4756" t="s">
        <v>9859</v>
      </c>
    </row>
    <row r="4757" spans="1:17" x14ac:dyDescent="0.3">
      <c r="A4757" t="s">
        <v>4664</v>
      </c>
      <c r="B4757" t="str">
        <f>"301023"</f>
        <v>301023</v>
      </c>
      <c r="C4757" t="s">
        <v>9860</v>
      </c>
      <c r="D4757" t="s">
        <v>1171</v>
      </c>
      <c r="F4757">
        <v>145486768</v>
      </c>
      <c r="P4757">
        <v>22</v>
      </c>
      <c r="Q4757" t="s">
        <v>9861</v>
      </c>
    </row>
    <row r="4758" spans="1:17" x14ac:dyDescent="0.3">
      <c r="A4758" t="s">
        <v>4664</v>
      </c>
      <c r="B4758" t="str">
        <f>"301024"</f>
        <v>301024</v>
      </c>
      <c r="C4758" t="s">
        <v>9862</v>
      </c>
      <c r="D4758" t="s">
        <v>1272</v>
      </c>
      <c r="F4758">
        <v>143699309</v>
      </c>
      <c r="P4758">
        <v>22</v>
      </c>
      <c r="Q4758" t="s">
        <v>9863</v>
      </c>
    </row>
    <row r="4759" spans="1:17" x14ac:dyDescent="0.3">
      <c r="A4759" t="s">
        <v>4664</v>
      </c>
      <c r="B4759" t="str">
        <f>"301025"</f>
        <v>301025</v>
      </c>
      <c r="C4759" t="s">
        <v>9864</v>
      </c>
      <c r="D4759" t="s">
        <v>525</v>
      </c>
      <c r="F4759">
        <v>355414700</v>
      </c>
      <c r="G4759">
        <v>315579573</v>
      </c>
      <c r="P4759">
        <v>24</v>
      </c>
      <c r="Q4759" t="s">
        <v>9865</v>
      </c>
    </row>
    <row r="4760" spans="1:17" x14ac:dyDescent="0.3">
      <c r="A4760" t="s">
        <v>4664</v>
      </c>
      <c r="B4760" t="str">
        <f>"301026"</f>
        <v>301026</v>
      </c>
      <c r="C4760" t="s">
        <v>9866</v>
      </c>
      <c r="D4760" t="s">
        <v>636</v>
      </c>
      <c r="F4760">
        <v>1679866509</v>
      </c>
      <c r="G4760">
        <v>744424958</v>
      </c>
      <c r="P4760">
        <v>41</v>
      </c>
      <c r="Q4760" t="s">
        <v>9867</v>
      </c>
    </row>
    <row r="4761" spans="1:17" x14ac:dyDescent="0.3">
      <c r="A4761" t="s">
        <v>4664</v>
      </c>
      <c r="B4761" t="str">
        <f>"301027"</f>
        <v>301027</v>
      </c>
      <c r="C4761" t="s">
        <v>9868</v>
      </c>
      <c r="D4761" t="s">
        <v>1272</v>
      </c>
      <c r="F4761">
        <v>567401671</v>
      </c>
      <c r="G4761">
        <v>663767967</v>
      </c>
      <c r="P4761">
        <v>25</v>
      </c>
      <c r="Q4761" t="s">
        <v>9869</v>
      </c>
    </row>
    <row r="4762" spans="1:17" x14ac:dyDescent="0.3">
      <c r="A4762" t="s">
        <v>4664</v>
      </c>
      <c r="B4762" t="str">
        <f>"301028"</f>
        <v>301028</v>
      </c>
      <c r="C4762" t="s">
        <v>9870</v>
      </c>
      <c r="D4762" t="s">
        <v>560</v>
      </c>
      <c r="F4762">
        <v>691101005</v>
      </c>
      <c r="G4762">
        <v>520849984</v>
      </c>
      <c r="P4762">
        <v>53</v>
      </c>
      <c r="Q4762" t="s">
        <v>9871</v>
      </c>
    </row>
    <row r="4763" spans="1:17" x14ac:dyDescent="0.3">
      <c r="A4763" t="s">
        <v>4664</v>
      </c>
      <c r="B4763" t="str">
        <f>"301029"</f>
        <v>301029</v>
      </c>
      <c r="C4763" t="s">
        <v>9872</v>
      </c>
      <c r="D4763" t="s">
        <v>3450</v>
      </c>
      <c r="F4763">
        <v>1058751496</v>
      </c>
      <c r="G4763">
        <v>785912970</v>
      </c>
      <c r="P4763">
        <v>67</v>
      </c>
      <c r="Q4763" t="s">
        <v>9873</v>
      </c>
    </row>
    <row r="4764" spans="1:17" x14ac:dyDescent="0.3">
      <c r="A4764" t="s">
        <v>4664</v>
      </c>
      <c r="B4764" t="str">
        <f>"301030"</f>
        <v>301030</v>
      </c>
      <c r="C4764" t="s">
        <v>9874</v>
      </c>
      <c r="D4764" t="s">
        <v>1070</v>
      </c>
      <c r="F4764">
        <v>357855804</v>
      </c>
      <c r="G4764">
        <v>151472037</v>
      </c>
      <c r="H4764">
        <v>270826900</v>
      </c>
      <c r="P4764">
        <v>19</v>
      </c>
      <c r="Q4764" t="s">
        <v>9875</v>
      </c>
    </row>
    <row r="4765" spans="1:17" x14ac:dyDescent="0.3">
      <c r="A4765" t="s">
        <v>4664</v>
      </c>
      <c r="B4765" t="str">
        <f>"301031"</f>
        <v>301031</v>
      </c>
      <c r="C4765" t="s">
        <v>9876</v>
      </c>
      <c r="D4765" t="s">
        <v>651</v>
      </c>
      <c r="F4765">
        <v>217420786</v>
      </c>
      <c r="G4765">
        <v>150332839</v>
      </c>
      <c r="P4765">
        <v>77</v>
      </c>
      <c r="Q4765" t="s">
        <v>9877</v>
      </c>
    </row>
    <row r="4766" spans="1:17" x14ac:dyDescent="0.3">
      <c r="A4766" t="s">
        <v>4664</v>
      </c>
      <c r="B4766" t="str">
        <f>"301032"</f>
        <v>301032</v>
      </c>
      <c r="C4766" t="s">
        <v>9878</v>
      </c>
      <c r="D4766" t="s">
        <v>560</v>
      </c>
      <c r="F4766">
        <v>1977435067</v>
      </c>
      <c r="G4766">
        <v>1241399934</v>
      </c>
      <c r="P4766">
        <v>19</v>
      </c>
      <c r="Q4766" t="s">
        <v>9879</v>
      </c>
    </row>
    <row r="4767" spans="1:17" x14ac:dyDescent="0.3">
      <c r="A4767" t="s">
        <v>4664</v>
      </c>
      <c r="B4767" t="str">
        <f>"301033"</f>
        <v>301033</v>
      </c>
      <c r="C4767" t="s">
        <v>9880</v>
      </c>
      <c r="D4767" t="s">
        <v>1077</v>
      </c>
      <c r="F4767">
        <v>117282425</v>
      </c>
      <c r="G4767">
        <v>90388832</v>
      </c>
      <c r="P4767">
        <v>31</v>
      </c>
      <c r="Q4767" t="s">
        <v>9881</v>
      </c>
    </row>
    <row r="4768" spans="1:17" x14ac:dyDescent="0.3">
      <c r="A4768" t="s">
        <v>4664</v>
      </c>
      <c r="B4768" t="str">
        <f>"301035"</f>
        <v>301035</v>
      </c>
      <c r="C4768" t="s">
        <v>9882</v>
      </c>
      <c r="D4768" t="s">
        <v>853</v>
      </c>
      <c r="F4768">
        <v>6889339845</v>
      </c>
      <c r="G4768">
        <v>4544513266</v>
      </c>
      <c r="P4768">
        <v>40</v>
      </c>
      <c r="Q4768" t="s">
        <v>9883</v>
      </c>
    </row>
    <row r="4769" spans="1:17" x14ac:dyDescent="0.3">
      <c r="A4769" t="s">
        <v>4664</v>
      </c>
      <c r="B4769" t="str">
        <f>"301036"</f>
        <v>301036</v>
      </c>
      <c r="C4769" t="s">
        <v>9884</v>
      </c>
      <c r="D4769" t="s">
        <v>2570</v>
      </c>
      <c r="F4769">
        <v>594314947</v>
      </c>
      <c r="G4769">
        <v>637440970</v>
      </c>
      <c r="P4769">
        <v>20</v>
      </c>
      <c r="Q4769" t="s">
        <v>9885</v>
      </c>
    </row>
    <row r="4770" spans="1:17" x14ac:dyDescent="0.3">
      <c r="A4770" t="s">
        <v>4664</v>
      </c>
      <c r="B4770" t="str">
        <f>"301037"</f>
        <v>301037</v>
      </c>
      <c r="C4770" t="s">
        <v>9886</v>
      </c>
      <c r="D4770" t="s">
        <v>2570</v>
      </c>
      <c r="F4770">
        <v>1328475152</v>
      </c>
      <c r="G4770">
        <v>842750078</v>
      </c>
      <c r="P4770">
        <v>13</v>
      </c>
      <c r="Q4770" t="s">
        <v>9887</v>
      </c>
    </row>
    <row r="4771" spans="1:17" x14ac:dyDescent="0.3">
      <c r="A4771" t="s">
        <v>4664</v>
      </c>
      <c r="B4771" t="str">
        <f>"301038"</f>
        <v>301038</v>
      </c>
      <c r="C4771" t="s">
        <v>9888</v>
      </c>
      <c r="D4771" t="s">
        <v>1272</v>
      </c>
      <c r="F4771">
        <v>449346511</v>
      </c>
      <c r="G4771">
        <v>465011731</v>
      </c>
      <c r="P4771">
        <v>21</v>
      </c>
      <c r="Q4771" t="s">
        <v>9889</v>
      </c>
    </row>
    <row r="4772" spans="1:17" x14ac:dyDescent="0.3">
      <c r="A4772" t="s">
        <v>4664</v>
      </c>
      <c r="B4772" t="str">
        <f>"301039"</f>
        <v>301039</v>
      </c>
      <c r="C4772" t="s">
        <v>9890</v>
      </c>
      <c r="D4772" t="s">
        <v>27</v>
      </c>
      <c r="F4772">
        <v>23575845896</v>
      </c>
      <c r="G4772">
        <v>19423325871</v>
      </c>
      <c r="P4772">
        <v>35</v>
      </c>
      <c r="Q4772" t="s">
        <v>9891</v>
      </c>
    </row>
    <row r="4773" spans="1:17" x14ac:dyDescent="0.3">
      <c r="A4773" t="s">
        <v>4664</v>
      </c>
      <c r="B4773" t="str">
        <f>"301040"</f>
        <v>301040</v>
      </c>
      <c r="C4773" t="s">
        <v>9892</v>
      </c>
      <c r="D4773" t="s">
        <v>950</v>
      </c>
      <c r="F4773">
        <v>339724053</v>
      </c>
      <c r="G4773">
        <v>433651942</v>
      </c>
      <c r="P4773">
        <v>22</v>
      </c>
      <c r="Q4773" t="s">
        <v>9893</v>
      </c>
    </row>
    <row r="4774" spans="1:17" x14ac:dyDescent="0.3">
      <c r="A4774" t="s">
        <v>4664</v>
      </c>
      <c r="B4774" t="str">
        <f>"301041"</f>
        <v>301041</v>
      </c>
      <c r="C4774" t="s">
        <v>9894</v>
      </c>
      <c r="D4774" t="s">
        <v>425</v>
      </c>
      <c r="F4774">
        <v>455717794</v>
      </c>
      <c r="G4774">
        <v>509869880</v>
      </c>
      <c r="P4774">
        <v>31</v>
      </c>
      <c r="Q4774" t="s">
        <v>9895</v>
      </c>
    </row>
    <row r="4775" spans="1:17" x14ac:dyDescent="0.3">
      <c r="A4775" t="s">
        <v>4664</v>
      </c>
      <c r="B4775" t="str">
        <f>"301042"</f>
        <v>301042</v>
      </c>
      <c r="C4775" t="s">
        <v>9896</v>
      </c>
      <c r="D4775" t="s">
        <v>2953</v>
      </c>
      <c r="F4775">
        <v>652979019</v>
      </c>
      <c r="P4775">
        <v>14</v>
      </c>
      <c r="Q4775" t="s">
        <v>9897</v>
      </c>
    </row>
    <row r="4776" spans="1:17" x14ac:dyDescent="0.3">
      <c r="A4776" t="s">
        <v>4664</v>
      </c>
      <c r="B4776" t="str">
        <f>"301043"</f>
        <v>301043</v>
      </c>
      <c r="C4776" t="s">
        <v>9898</v>
      </c>
      <c r="D4776" t="s">
        <v>560</v>
      </c>
      <c r="F4776">
        <v>408257371</v>
      </c>
      <c r="P4776">
        <v>18</v>
      </c>
      <c r="Q4776" t="s">
        <v>9899</v>
      </c>
    </row>
    <row r="4777" spans="1:17" x14ac:dyDescent="0.3">
      <c r="A4777" t="s">
        <v>4664</v>
      </c>
      <c r="B4777" t="str">
        <f>"301045"</f>
        <v>301045</v>
      </c>
      <c r="C4777" t="s">
        <v>9900</v>
      </c>
      <c r="D4777" t="s">
        <v>164</v>
      </c>
      <c r="F4777">
        <v>633895296</v>
      </c>
      <c r="G4777">
        <v>483587498</v>
      </c>
      <c r="P4777">
        <v>17</v>
      </c>
      <c r="Q4777" t="s">
        <v>9901</v>
      </c>
    </row>
    <row r="4778" spans="1:17" x14ac:dyDescent="0.3">
      <c r="A4778" t="s">
        <v>4664</v>
      </c>
      <c r="B4778" t="str">
        <f>"301046"</f>
        <v>301046</v>
      </c>
      <c r="C4778" t="s">
        <v>9902</v>
      </c>
      <c r="D4778" t="s">
        <v>1986</v>
      </c>
      <c r="F4778">
        <v>296490565</v>
      </c>
      <c r="G4778">
        <v>261409492</v>
      </c>
      <c r="P4778">
        <v>33</v>
      </c>
      <c r="Q4778" t="s">
        <v>9903</v>
      </c>
    </row>
    <row r="4779" spans="1:17" x14ac:dyDescent="0.3">
      <c r="A4779" t="s">
        <v>4664</v>
      </c>
      <c r="B4779" t="str">
        <f>"301047"</f>
        <v>301047</v>
      </c>
      <c r="C4779" t="s">
        <v>9904</v>
      </c>
      <c r="D4779" t="s">
        <v>1461</v>
      </c>
      <c r="F4779">
        <v>858511731</v>
      </c>
      <c r="G4779">
        <v>794143086</v>
      </c>
      <c r="P4779">
        <v>71</v>
      </c>
      <c r="Q4779" t="s">
        <v>9905</v>
      </c>
    </row>
    <row r="4780" spans="1:17" x14ac:dyDescent="0.3">
      <c r="A4780" t="s">
        <v>4664</v>
      </c>
      <c r="B4780" t="str">
        <f>"301048"</f>
        <v>301048</v>
      </c>
      <c r="C4780" t="s">
        <v>9906</v>
      </c>
      <c r="D4780" t="s">
        <v>1012</v>
      </c>
      <c r="F4780">
        <v>1710969229</v>
      </c>
      <c r="G4780">
        <v>1842197104</v>
      </c>
      <c r="P4780">
        <v>16</v>
      </c>
      <c r="Q4780" t="s">
        <v>9907</v>
      </c>
    </row>
    <row r="4781" spans="1:17" x14ac:dyDescent="0.3">
      <c r="A4781" t="s">
        <v>4664</v>
      </c>
      <c r="B4781" t="str">
        <f>"301049"</f>
        <v>301049</v>
      </c>
      <c r="C4781" t="s">
        <v>9908</v>
      </c>
      <c r="D4781" t="s">
        <v>499</v>
      </c>
      <c r="F4781">
        <v>204947257</v>
      </c>
      <c r="P4781">
        <v>26</v>
      </c>
      <c r="Q4781" t="s">
        <v>9909</v>
      </c>
    </row>
    <row r="4782" spans="1:17" x14ac:dyDescent="0.3">
      <c r="A4782" t="s">
        <v>4664</v>
      </c>
      <c r="B4782" t="str">
        <f>"301050"</f>
        <v>301050</v>
      </c>
      <c r="C4782" t="s">
        <v>9910</v>
      </c>
      <c r="D4782" t="s">
        <v>1136</v>
      </c>
      <c r="F4782">
        <v>437815024</v>
      </c>
      <c r="G4782">
        <v>118471457</v>
      </c>
      <c r="P4782">
        <v>31</v>
      </c>
      <c r="Q4782" t="s">
        <v>9911</v>
      </c>
    </row>
    <row r="4783" spans="1:17" x14ac:dyDescent="0.3">
      <c r="A4783" t="s">
        <v>4664</v>
      </c>
      <c r="B4783" t="str">
        <f>"301051"</f>
        <v>301051</v>
      </c>
      <c r="C4783" t="s">
        <v>9912</v>
      </c>
      <c r="D4783" t="s">
        <v>313</v>
      </c>
      <c r="F4783">
        <v>1328386151</v>
      </c>
      <c r="P4783">
        <v>18</v>
      </c>
      <c r="Q4783" t="s">
        <v>9913</v>
      </c>
    </row>
    <row r="4784" spans="1:17" x14ac:dyDescent="0.3">
      <c r="A4784" t="s">
        <v>4664</v>
      </c>
      <c r="B4784" t="str">
        <f>"301052"</f>
        <v>301052</v>
      </c>
      <c r="C4784" t="s">
        <v>9914</v>
      </c>
      <c r="D4784" t="s">
        <v>525</v>
      </c>
      <c r="F4784">
        <v>296232089</v>
      </c>
      <c r="G4784">
        <v>205305488</v>
      </c>
      <c r="P4784">
        <v>16</v>
      </c>
      <c r="Q4784" t="s">
        <v>9915</v>
      </c>
    </row>
    <row r="4785" spans="1:17" x14ac:dyDescent="0.3">
      <c r="A4785" t="s">
        <v>4664</v>
      </c>
      <c r="B4785" t="str">
        <f>"301053"</f>
        <v>301053</v>
      </c>
      <c r="C4785" t="s">
        <v>9916</v>
      </c>
      <c r="D4785" t="s">
        <v>534</v>
      </c>
      <c r="F4785">
        <v>284632547</v>
      </c>
      <c r="G4785">
        <v>208115654</v>
      </c>
      <c r="P4785">
        <v>24</v>
      </c>
      <c r="Q4785" t="s">
        <v>9917</v>
      </c>
    </row>
    <row r="4786" spans="1:17" x14ac:dyDescent="0.3">
      <c r="A4786" t="s">
        <v>4664</v>
      </c>
      <c r="B4786" t="str">
        <f>"301055"</f>
        <v>301055</v>
      </c>
      <c r="C4786" t="s">
        <v>9918</v>
      </c>
      <c r="D4786" t="s">
        <v>2436</v>
      </c>
      <c r="F4786">
        <v>565684516</v>
      </c>
      <c r="P4786">
        <v>28</v>
      </c>
      <c r="Q4786" t="s">
        <v>9919</v>
      </c>
    </row>
    <row r="4787" spans="1:17" x14ac:dyDescent="0.3">
      <c r="A4787" t="s">
        <v>4664</v>
      </c>
      <c r="B4787" t="str">
        <f>"301056"</f>
        <v>301056</v>
      </c>
      <c r="C4787" t="s">
        <v>9920</v>
      </c>
      <c r="D4787" t="s">
        <v>1689</v>
      </c>
      <c r="F4787">
        <v>423952976</v>
      </c>
      <c r="G4787">
        <v>391415908</v>
      </c>
      <c r="P4787">
        <v>16</v>
      </c>
      <c r="Q4787" t="s">
        <v>9921</v>
      </c>
    </row>
    <row r="4788" spans="1:17" x14ac:dyDescent="0.3">
      <c r="A4788" t="s">
        <v>4664</v>
      </c>
      <c r="B4788" t="str">
        <f>"301057"</f>
        <v>301057</v>
      </c>
      <c r="C4788" t="s">
        <v>9922</v>
      </c>
      <c r="D4788" t="s">
        <v>2708</v>
      </c>
      <c r="F4788">
        <v>472295310</v>
      </c>
      <c r="P4788">
        <v>16</v>
      </c>
      <c r="Q4788" t="s">
        <v>9923</v>
      </c>
    </row>
    <row r="4789" spans="1:17" x14ac:dyDescent="0.3">
      <c r="A4789" t="s">
        <v>4664</v>
      </c>
      <c r="B4789" t="str">
        <f>"301058"</f>
        <v>301058</v>
      </c>
      <c r="C4789" t="s">
        <v>9924</v>
      </c>
      <c r="D4789" t="s">
        <v>1272</v>
      </c>
      <c r="F4789">
        <v>1517137645</v>
      </c>
      <c r="G4789">
        <v>1345724224</v>
      </c>
      <c r="P4789">
        <v>24</v>
      </c>
      <c r="Q4789" t="s">
        <v>9925</v>
      </c>
    </row>
    <row r="4790" spans="1:17" x14ac:dyDescent="0.3">
      <c r="A4790" t="s">
        <v>4664</v>
      </c>
      <c r="B4790" t="str">
        <f>"301059"</f>
        <v>301059</v>
      </c>
      <c r="C4790" t="s">
        <v>9926</v>
      </c>
      <c r="D4790" t="s">
        <v>386</v>
      </c>
      <c r="F4790">
        <v>159890326</v>
      </c>
      <c r="G4790">
        <v>159783353</v>
      </c>
      <c r="P4790">
        <v>21</v>
      </c>
      <c r="Q4790" t="s">
        <v>9927</v>
      </c>
    </row>
    <row r="4791" spans="1:17" x14ac:dyDescent="0.3">
      <c r="A4791" t="s">
        <v>4664</v>
      </c>
      <c r="B4791" t="str">
        <f>"301060"</f>
        <v>301060</v>
      </c>
      <c r="C4791" t="s">
        <v>9928</v>
      </c>
      <c r="D4791" t="s">
        <v>2565</v>
      </c>
      <c r="F4791">
        <v>992681829</v>
      </c>
      <c r="G4791">
        <v>777835761</v>
      </c>
      <c r="P4791">
        <v>41</v>
      </c>
      <c r="Q4791" t="s">
        <v>9929</v>
      </c>
    </row>
    <row r="4792" spans="1:17" x14ac:dyDescent="0.3">
      <c r="A4792" t="s">
        <v>4664</v>
      </c>
      <c r="B4792" t="str">
        <f>"301061"</f>
        <v>301061</v>
      </c>
      <c r="C4792" t="s">
        <v>9930</v>
      </c>
      <c r="D4792" t="s">
        <v>757</v>
      </c>
      <c r="F4792">
        <v>1439067211</v>
      </c>
      <c r="P4792">
        <v>28</v>
      </c>
      <c r="Q4792" t="s">
        <v>9931</v>
      </c>
    </row>
    <row r="4793" spans="1:17" x14ac:dyDescent="0.3">
      <c r="A4793" t="s">
        <v>4664</v>
      </c>
      <c r="B4793" t="str">
        <f>"301062"</f>
        <v>301062</v>
      </c>
      <c r="C4793" t="s">
        <v>9932</v>
      </c>
      <c r="D4793" t="s">
        <v>2156</v>
      </c>
      <c r="F4793">
        <v>713943152</v>
      </c>
      <c r="G4793">
        <v>527374342</v>
      </c>
      <c r="P4793">
        <v>13</v>
      </c>
      <c r="Q4793" t="s">
        <v>9933</v>
      </c>
    </row>
    <row r="4794" spans="1:17" x14ac:dyDescent="0.3">
      <c r="A4794" t="s">
        <v>4664</v>
      </c>
      <c r="B4794" t="str">
        <f>"301063"</f>
        <v>301063</v>
      </c>
      <c r="C4794" t="s">
        <v>9934</v>
      </c>
      <c r="D4794" t="s">
        <v>274</v>
      </c>
      <c r="F4794">
        <v>304855524</v>
      </c>
      <c r="G4794">
        <v>342475047</v>
      </c>
      <c r="P4794">
        <v>17</v>
      </c>
      <c r="Q4794" t="s">
        <v>9935</v>
      </c>
    </row>
    <row r="4795" spans="1:17" x14ac:dyDescent="0.3">
      <c r="A4795" t="s">
        <v>4664</v>
      </c>
      <c r="B4795" t="str">
        <f>"301065"</f>
        <v>301065</v>
      </c>
      <c r="C4795" t="s">
        <v>9936</v>
      </c>
      <c r="D4795" t="s">
        <v>386</v>
      </c>
      <c r="F4795">
        <v>159969745</v>
      </c>
      <c r="P4795">
        <v>12</v>
      </c>
      <c r="Q4795" t="s">
        <v>9937</v>
      </c>
    </row>
    <row r="4796" spans="1:17" x14ac:dyDescent="0.3">
      <c r="A4796" t="s">
        <v>4664</v>
      </c>
      <c r="B4796" t="str">
        <f>"301066"</f>
        <v>301066</v>
      </c>
      <c r="C4796" t="s">
        <v>9938</v>
      </c>
      <c r="D4796" t="s">
        <v>330</v>
      </c>
      <c r="F4796">
        <v>520356882</v>
      </c>
      <c r="G4796">
        <v>642034274</v>
      </c>
      <c r="P4796">
        <v>21</v>
      </c>
      <c r="Q4796" t="s">
        <v>9939</v>
      </c>
    </row>
    <row r="4797" spans="1:17" x14ac:dyDescent="0.3">
      <c r="A4797" t="s">
        <v>4664</v>
      </c>
      <c r="B4797" t="str">
        <f>"301067"</f>
        <v>301067</v>
      </c>
      <c r="C4797" t="s">
        <v>9940</v>
      </c>
      <c r="D4797" t="s">
        <v>313</v>
      </c>
      <c r="F4797">
        <v>402987311</v>
      </c>
      <c r="G4797">
        <v>344168938</v>
      </c>
      <c r="P4797">
        <v>18</v>
      </c>
      <c r="Q4797" t="s">
        <v>9941</v>
      </c>
    </row>
    <row r="4798" spans="1:17" x14ac:dyDescent="0.3">
      <c r="A4798" t="s">
        <v>4664</v>
      </c>
      <c r="B4798" t="str">
        <f>"301068"</f>
        <v>301068</v>
      </c>
      <c r="C4798" t="s">
        <v>9942</v>
      </c>
      <c r="D4798" t="s">
        <v>499</v>
      </c>
      <c r="F4798">
        <v>336489302</v>
      </c>
      <c r="G4798">
        <v>284804928</v>
      </c>
      <c r="P4798">
        <v>14</v>
      </c>
      <c r="Q4798" t="s">
        <v>9943</v>
      </c>
    </row>
    <row r="4799" spans="1:17" x14ac:dyDescent="0.3">
      <c r="A4799" t="s">
        <v>4664</v>
      </c>
      <c r="B4799" t="str">
        <f>"301069"</f>
        <v>301069</v>
      </c>
      <c r="C4799" t="s">
        <v>9944</v>
      </c>
      <c r="D4799" t="s">
        <v>1233</v>
      </c>
      <c r="F4799">
        <v>324800608</v>
      </c>
      <c r="G4799">
        <v>341868419</v>
      </c>
      <c r="P4799">
        <v>29</v>
      </c>
      <c r="Q4799" t="s">
        <v>9945</v>
      </c>
    </row>
    <row r="4800" spans="1:17" x14ac:dyDescent="0.3">
      <c r="A4800" t="s">
        <v>4664</v>
      </c>
      <c r="B4800" t="str">
        <f>"301070"</f>
        <v>301070</v>
      </c>
      <c r="C4800" t="s">
        <v>9946</v>
      </c>
      <c r="D4800" t="s">
        <v>560</v>
      </c>
      <c r="F4800">
        <v>263412283</v>
      </c>
      <c r="P4800">
        <v>19</v>
      </c>
      <c r="Q4800" t="s">
        <v>9947</v>
      </c>
    </row>
    <row r="4801" spans="1:17" x14ac:dyDescent="0.3">
      <c r="A4801" t="s">
        <v>4664</v>
      </c>
      <c r="B4801" t="str">
        <f>"301071"</f>
        <v>301071</v>
      </c>
      <c r="C4801" t="s">
        <v>9948</v>
      </c>
      <c r="D4801" t="s">
        <v>404</v>
      </c>
      <c r="F4801">
        <v>261896725</v>
      </c>
      <c r="G4801">
        <v>77482913</v>
      </c>
      <c r="P4801">
        <v>76</v>
      </c>
      <c r="Q4801" t="s">
        <v>9949</v>
      </c>
    </row>
    <row r="4802" spans="1:17" x14ac:dyDescent="0.3">
      <c r="A4802" t="s">
        <v>4664</v>
      </c>
      <c r="B4802" t="str">
        <f>"301072"</f>
        <v>301072</v>
      </c>
      <c r="C4802" t="s">
        <v>9950</v>
      </c>
      <c r="D4802" t="s">
        <v>348</v>
      </c>
      <c r="F4802">
        <v>438249935</v>
      </c>
      <c r="G4802">
        <v>340634686</v>
      </c>
      <c r="P4802">
        <v>17</v>
      </c>
      <c r="Q4802" t="s">
        <v>9951</v>
      </c>
    </row>
    <row r="4803" spans="1:17" x14ac:dyDescent="0.3">
      <c r="A4803" t="s">
        <v>4664</v>
      </c>
      <c r="B4803" t="str">
        <f>"301073"</f>
        <v>301073</v>
      </c>
      <c r="C4803" t="s">
        <v>9952</v>
      </c>
      <c r="D4803" t="s">
        <v>590</v>
      </c>
      <c r="F4803">
        <v>219131849</v>
      </c>
      <c r="G4803">
        <v>177563693</v>
      </c>
      <c r="P4803">
        <v>22</v>
      </c>
      <c r="Q4803" t="s">
        <v>9953</v>
      </c>
    </row>
    <row r="4804" spans="1:17" x14ac:dyDescent="0.3">
      <c r="A4804" t="s">
        <v>4664</v>
      </c>
      <c r="B4804" t="str">
        <f>"301075"</f>
        <v>301075</v>
      </c>
      <c r="C4804" t="s">
        <v>9954</v>
      </c>
      <c r="D4804" t="s">
        <v>143</v>
      </c>
      <c r="F4804">
        <v>443488876</v>
      </c>
      <c r="P4804">
        <v>22</v>
      </c>
      <c r="Q4804" t="s">
        <v>9955</v>
      </c>
    </row>
    <row r="4805" spans="1:17" x14ac:dyDescent="0.3">
      <c r="A4805" t="s">
        <v>4664</v>
      </c>
      <c r="B4805" t="str">
        <f>"301076"</f>
        <v>301076</v>
      </c>
      <c r="C4805" t="s">
        <v>9956</v>
      </c>
      <c r="D4805" t="s">
        <v>386</v>
      </c>
      <c r="F4805">
        <v>182849819</v>
      </c>
      <c r="P4805">
        <v>20</v>
      </c>
      <c r="Q4805" t="s">
        <v>9957</v>
      </c>
    </row>
    <row r="4806" spans="1:17" x14ac:dyDescent="0.3">
      <c r="A4806" t="s">
        <v>4664</v>
      </c>
      <c r="B4806" t="str">
        <f>"301077"</f>
        <v>301077</v>
      </c>
      <c r="C4806" t="s">
        <v>9958</v>
      </c>
      <c r="D4806" t="s">
        <v>386</v>
      </c>
      <c r="F4806">
        <v>543877863</v>
      </c>
      <c r="G4806">
        <v>427604768</v>
      </c>
      <c r="P4806">
        <v>30</v>
      </c>
      <c r="Q4806" t="s">
        <v>9959</v>
      </c>
    </row>
    <row r="4807" spans="1:17" x14ac:dyDescent="0.3">
      <c r="A4807" t="s">
        <v>4664</v>
      </c>
      <c r="B4807" t="str">
        <f>"301078"</f>
        <v>301078</v>
      </c>
      <c r="C4807" t="s">
        <v>9960</v>
      </c>
      <c r="D4807" t="s">
        <v>295</v>
      </c>
      <c r="F4807">
        <v>7504466727</v>
      </c>
      <c r="G4807">
        <v>7213842937</v>
      </c>
      <c r="P4807">
        <v>23</v>
      </c>
      <c r="Q4807" t="s">
        <v>9961</v>
      </c>
    </row>
    <row r="4808" spans="1:17" x14ac:dyDescent="0.3">
      <c r="A4808" t="s">
        <v>4664</v>
      </c>
      <c r="B4808" t="str">
        <f>"301079"</f>
        <v>301079</v>
      </c>
      <c r="C4808" t="s">
        <v>9962</v>
      </c>
      <c r="D4808" t="s">
        <v>2001</v>
      </c>
      <c r="F4808">
        <v>243240309</v>
      </c>
      <c r="G4808">
        <v>225253826</v>
      </c>
      <c r="P4808">
        <v>22</v>
      </c>
      <c r="Q4808" t="s">
        <v>9963</v>
      </c>
    </row>
    <row r="4809" spans="1:17" x14ac:dyDescent="0.3">
      <c r="A4809" t="s">
        <v>4664</v>
      </c>
      <c r="B4809" t="str">
        <f>"301080"</f>
        <v>301080</v>
      </c>
      <c r="C4809" t="s">
        <v>9964</v>
      </c>
      <c r="D4809" t="s">
        <v>1461</v>
      </c>
      <c r="F4809">
        <v>267182342</v>
      </c>
      <c r="P4809">
        <v>52</v>
      </c>
      <c r="Q4809" t="s">
        <v>9965</v>
      </c>
    </row>
    <row r="4810" spans="1:17" x14ac:dyDescent="0.3">
      <c r="A4810" t="s">
        <v>4664</v>
      </c>
      <c r="B4810" t="str">
        <f>"301081"</f>
        <v>301081</v>
      </c>
      <c r="C4810" t="s">
        <v>9966</v>
      </c>
      <c r="D4810" t="s">
        <v>1070</v>
      </c>
      <c r="F4810">
        <v>322508441</v>
      </c>
      <c r="G4810">
        <v>297922382</v>
      </c>
      <c r="P4810">
        <v>21</v>
      </c>
      <c r="Q4810" t="s">
        <v>9967</v>
      </c>
    </row>
    <row r="4811" spans="1:17" x14ac:dyDescent="0.3">
      <c r="A4811" t="s">
        <v>4664</v>
      </c>
      <c r="B4811" t="str">
        <f>"301082"</f>
        <v>301082</v>
      </c>
      <c r="C4811" t="s">
        <v>9968</v>
      </c>
      <c r="D4811" t="s">
        <v>1164</v>
      </c>
      <c r="F4811">
        <v>1188243211</v>
      </c>
      <c r="G4811">
        <v>719853863</v>
      </c>
      <c r="P4811">
        <v>17</v>
      </c>
      <c r="Q4811" t="s">
        <v>9969</v>
      </c>
    </row>
    <row r="4812" spans="1:17" x14ac:dyDescent="0.3">
      <c r="A4812" t="s">
        <v>4664</v>
      </c>
      <c r="B4812" t="str">
        <f>"301083"</f>
        <v>301083</v>
      </c>
      <c r="C4812" t="s">
        <v>9970</v>
      </c>
      <c r="D4812" t="s">
        <v>741</v>
      </c>
      <c r="F4812">
        <v>386246891</v>
      </c>
      <c r="G4812">
        <v>380070396</v>
      </c>
      <c r="P4812">
        <v>16</v>
      </c>
      <c r="Q4812" t="s">
        <v>9971</v>
      </c>
    </row>
    <row r="4813" spans="1:17" x14ac:dyDescent="0.3">
      <c r="A4813" t="s">
        <v>4664</v>
      </c>
      <c r="B4813" t="str">
        <f>"301085"</f>
        <v>301085</v>
      </c>
      <c r="C4813" t="s">
        <v>9972</v>
      </c>
      <c r="D4813" t="s">
        <v>316</v>
      </c>
      <c r="F4813">
        <v>778939656</v>
      </c>
      <c r="P4813">
        <v>16</v>
      </c>
      <c r="Q4813" t="s">
        <v>9973</v>
      </c>
    </row>
    <row r="4814" spans="1:17" x14ac:dyDescent="0.3">
      <c r="A4814" t="s">
        <v>4664</v>
      </c>
      <c r="B4814" t="str">
        <f>"301086"</f>
        <v>301086</v>
      </c>
      <c r="C4814" t="s">
        <v>9974</v>
      </c>
      <c r="D4814" t="s">
        <v>313</v>
      </c>
      <c r="F4814">
        <v>573873858</v>
      </c>
      <c r="P4814">
        <v>28</v>
      </c>
      <c r="Q4814" t="s">
        <v>9975</v>
      </c>
    </row>
    <row r="4815" spans="1:17" x14ac:dyDescent="0.3">
      <c r="A4815" t="s">
        <v>4664</v>
      </c>
      <c r="B4815" t="str">
        <f>"301087"</f>
        <v>301087</v>
      </c>
      <c r="C4815" t="s">
        <v>9976</v>
      </c>
      <c r="D4815" t="s">
        <v>1305</v>
      </c>
      <c r="F4815">
        <v>1630278817</v>
      </c>
      <c r="G4815">
        <v>1771799162</v>
      </c>
      <c r="P4815">
        <v>33</v>
      </c>
      <c r="Q4815" t="s">
        <v>9977</v>
      </c>
    </row>
    <row r="4816" spans="1:17" x14ac:dyDescent="0.3">
      <c r="A4816" t="s">
        <v>4664</v>
      </c>
      <c r="B4816" t="str">
        <f>"301088"</f>
        <v>301088</v>
      </c>
      <c r="C4816" t="s">
        <v>9978</v>
      </c>
      <c r="D4816" t="s">
        <v>255</v>
      </c>
      <c r="F4816">
        <v>624793258</v>
      </c>
      <c r="G4816">
        <v>554122457</v>
      </c>
      <c r="P4816">
        <v>28</v>
      </c>
      <c r="Q4816" t="s">
        <v>9979</v>
      </c>
    </row>
    <row r="4817" spans="1:17" x14ac:dyDescent="0.3">
      <c r="A4817" t="s">
        <v>4664</v>
      </c>
      <c r="B4817" t="str">
        <f>"301089"</f>
        <v>301089</v>
      </c>
      <c r="C4817" t="s">
        <v>9980</v>
      </c>
      <c r="D4817" t="s">
        <v>496</v>
      </c>
      <c r="F4817">
        <v>253820496</v>
      </c>
      <c r="G4817">
        <v>358501589</v>
      </c>
      <c r="P4817">
        <v>37</v>
      </c>
      <c r="Q4817" t="s">
        <v>9981</v>
      </c>
    </row>
    <row r="4818" spans="1:17" x14ac:dyDescent="0.3">
      <c r="A4818" t="s">
        <v>4664</v>
      </c>
      <c r="B4818" t="str">
        <f>"301090"</f>
        <v>301090</v>
      </c>
      <c r="C4818" t="s">
        <v>9982</v>
      </c>
      <c r="D4818" t="s">
        <v>528</v>
      </c>
      <c r="F4818">
        <v>9382671427</v>
      </c>
      <c r="G4818">
        <v>10951884813</v>
      </c>
      <c r="P4818">
        <v>18</v>
      </c>
      <c r="Q4818" t="s">
        <v>9983</v>
      </c>
    </row>
    <row r="4819" spans="1:17" x14ac:dyDescent="0.3">
      <c r="A4819" t="s">
        <v>4664</v>
      </c>
      <c r="B4819" t="str">
        <f>"301091"</f>
        <v>301091</v>
      </c>
      <c r="C4819" t="s">
        <v>9984</v>
      </c>
      <c r="D4819" t="s">
        <v>1272</v>
      </c>
      <c r="F4819">
        <v>508518168</v>
      </c>
      <c r="G4819">
        <v>515481934</v>
      </c>
      <c r="P4819">
        <v>25</v>
      </c>
      <c r="Q4819" t="s">
        <v>9985</v>
      </c>
    </row>
    <row r="4820" spans="1:17" x14ac:dyDescent="0.3">
      <c r="A4820" t="s">
        <v>4664</v>
      </c>
      <c r="B4820" t="str">
        <f>"301092"</f>
        <v>301092</v>
      </c>
      <c r="C4820" t="s">
        <v>9986</v>
      </c>
      <c r="D4820" t="s">
        <v>3350</v>
      </c>
      <c r="F4820">
        <v>293774246</v>
      </c>
      <c r="G4820">
        <v>265008280</v>
      </c>
      <c r="P4820">
        <v>22</v>
      </c>
      <c r="Q4820" t="s">
        <v>9987</v>
      </c>
    </row>
    <row r="4821" spans="1:17" x14ac:dyDescent="0.3">
      <c r="A4821" t="s">
        <v>4664</v>
      </c>
      <c r="B4821" t="str">
        <f>"301093"</f>
        <v>301093</v>
      </c>
      <c r="C4821" t="s">
        <v>9988</v>
      </c>
      <c r="D4821" t="s">
        <v>1077</v>
      </c>
      <c r="F4821">
        <v>596506126</v>
      </c>
      <c r="P4821">
        <v>30</v>
      </c>
      <c r="Q4821" t="s">
        <v>9989</v>
      </c>
    </row>
    <row r="4822" spans="1:17" x14ac:dyDescent="0.3">
      <c r="A4822" t="s">
        <v>4664</v>
      </c>
      <c r="B4822" t="str">
        <f>"301096"</f>
        <v>301096</v>
      </c>
      <c r="C4822" t="s">
        <v>9990</v>
      </c>
      <c r="D4822" t="s">
        <v>1461</v>
      </c>
      <c r="F4822">
        <v>223970118</v>
      </c>
      <c r="G4822">
        <v>112485806</v>
      </c>
      <c r="P4822">
        <v>26</v>
      </c>
      <c r="Q4822" t="s">
        <v>9991</v>
      </c>
    </row>
    <row r="4823" spans="1:17" x14ac:dyDescent="0.3">
      <c r="A4823" t="s">
        <v>4664</v>
      </c>
      <c r="B4823" t="str">
        <f>"301098"</f>
        <v>301098</v>
      </c>
      <c r="C4823" t="s">
        <v>9992</v>
      </c>
      <c r="D4823" t="s">
        <v>2408</v>
      </c>
      <c r="F4823">
        <v>417927813</v>
      </c>
      <c r="G4823">
        <v>301306957</v>
      </c>
      <c r="P4823">
        <v>13</v>
      </c>
      <c r="Q4823" t="s">
        <v>9993</v>
      </c>
    </row>
    <row r="4824" spans="1:17" x14ac:dyDescent="0.3">
      <c r="A4824" t="s">
        <v>4664</v>
      </c>
      <c r="B4824" t="str">
        <f>"301099"</f>
        <v>301099</v>
      </c>
      <c r="C4824" t="s">
        <v>9994</v>
      </c>
      <c r="D4824" t="s">
        <v>546</v>
      </c>
      <c r="F4824">
        <v>739016639</v>
      </c>
      <c r="G4824">
        <v>568512396</v>
      </c>
      <c r="P4824">
        <v>16</v>
      </c>
      <c r="Q4824" t="s">
        <v>9995</v>
      </c>
    </row>
    <row r="4825" spans="1:17" x14ac:dyDescent="0.3">
      <c r="A4825" t="s">
        <v>4664</v>
      </c>
      <c r="B4825" t="str">
        <f>"301100"</f>
        <v>301100</v>
      </c>
      <c r="C4825" t="s">
        <v>9996</v>
      </c>
      <c r="D4825" t="s">
        <v>386</v>
      </c>
      <c r="F4825">
        <v>411184767</v>
      </c>
      <c r="G4825">
        <v>367349473</v>
      </c>
      <c r="P4825">
        <v>11</v>
      </c>
      <c r="Q4825" t="s">
        <v>9997</v>
      </c>
    </row>
    <row r="4826" spans="1:17" x14ac:dyDescent="0.3">
      <c r="A4826" t="s">
        <v>4664</v>
      </c>
      <c r="B4826" t="str">
        <f>"301101"</f>
        <v>301101</v>
      </c>
      <c r="C4826" t="s">
        <v>9998</v>
      </c>
      <c r="D4826" t="s">
        <v>3383</v>
      </c>
      <c r="F4826">
        <v>491577575</v>
      </c>
      <c r="G4826">
        <v>388960109</v>
      </c>
      <c r="P4826">
        <v>19</v>
      </c>
      <c r="Q4826" t="s">
        <v>9999</v>
      </c>
    </row>
    <row r="4827" spans="1:17" x14ac:dyDescent="0.3">
      <c r="A4827" t="s">
        <v>4664</v>
      </c>
      <c r="B4827" t="str">
        <f>"301106"</f>
        <v>301106</v>
      </c>
      <c r="C4827" t="s">
        <v>10000</v>
      </c>
      <c r="F4827">
        <v>275352520</v>
      </c>
      <c r="G4827">
        <v>261083346</v>
      </c>
      <c r="P4827">
        <v>8</v>
      </c>
      <c r="Q4827" t="s">
        <v>10001</v>
      </c>
    </row>
    <row r="4828" spans="1:17" x14ac:dyDescent="0.3">
      <c r="A4828" t="s">
        <v>4664</v>
      </c>
      <c r="B4828" t="str">
        <f>"301108"</f>
        <v>301108</v>
      </c>
      <c r="C4828" t="s">
        <v>10002</v>
      </c>
      <c r="D4828" t="s">
        <v>2728</v>
      </c>
      <c r="F4828">
        <v>875154405</v>
      </c>
      <c r="G4828">
        <v>397122027</v>
      </c>
      <c r="P4828">
        <v>24</v>
      </c>
      <c r="Q4828" t="s">
        <v>10003</v>
      </c>
    </row>
    <row r="4829" spans="1:17" x14ac:dyDescent="0.3">
      <c r="A4829" t="s">
        <v>4664</v>
      </c>
      <c r="B4829" t="str">
        <f>"301111"</f>
        <v>301111</v>
      </c>
      <c r="C4829" t="s">
        <v>10004</v>
      </c>
      <c r="D4829" t="s">
        <v>143</v>
      </c>
      <c r="F4829">
        <v>252883993</v>
      </c>
      <c r="G4829">
        <v>253765207</v>
      </c>
      <c r="P4829">
        <v>28</v>
      </c>
      <c r="Q4829" t="s">
        <v>10005</v>
      </c>
    </row>
    <row r="4830" spans="1:17" x14ac:dyDescent="0.3">
      <c r="A4830" t="s">
        <v>4664</v>
      </c>
      <c r="B4830" t="str">
        <f>"301113"</f>
        <v>301113</v>
      </c>
      <c r="C4830" t="s">
        <v>10006</v>
      </c>
      <c r="D4830" t="s">
        <v>2436</v>
      </c>
      <c r="F4830">
        <v>345980886</v>
      </c>
      <c r="G4830">
        <v>165454999</v>
      </c>
      <c r="P4830">
        <v>27</v>
      </c>
      <c r="Q4830" t="s">
        <v>10007</v>
      </c>
    </row>
    <row r="4831" spans="1:17" x14ac:dyDescent="0.3">
      <c r="A4831" t="s">
        <v>4664</v>
      </c>
      <c r="B4831" t="str">
        <f>"301116"</f>
        <v>301116</v>
      </c>
      <c r="C4831" t="s">
        <v>10008</v>
      </c>
      <c r="D4831" t="s">
        <v>6173</v>
      </c>
      <c r="F4831">
        <v>11210318197</v>
      </c>
      <c r="G4831">
        <v>10174816161</v>
      </c>
      <c r="P4831">
        <v>11</v>
      </c>
      <c r="Q4831" t="s">
        <v>10009</v>
      </c>
    </row>
    <row r="4832" spans="1:17" x14ac:dyDescent="0.3">
      <c r="A4832" t="s">
        <v>4664</v>
      </c>
      <c r="B4832" t="str">
        <f>"301117"</f>
        <v>301117</v>
      </c>
      <c r="C4832" t="s">
        <v>10010</v>
      </c>
      <c r="D4832" t="s">
        <v>2953</v>
      </c>
      <c r="F4832">
        <v>111261603</v>
      </c>
      <c r="G4832">
        <v>69509595</v>
      </c>
      <c r="P4832">
        <v>9</v>
      </c>
      <c r="Q4832" t="s">
        <v>10011</v>
      </c>
    </row>
    <row r="4833" spans="1:17" x14ac:dyDescent="0.3">
      <c r="A4833" t="s">
        <v>4664</v>
      </c>
      <c r="B4833" t="str">
        <f>"301118"</f>
        <v>301118</v>
      </c>
      <c r="C4833" t="s">
        <v>10012</v>
      </c>
      <c r="D4833" t="s">
        <v>1233</v>
      </c>
      <c r="F4833">
        <v>531073491</v>
      </c>
      <c r="G4833">
        <v>364539940</v>
      </c>
      <c r="P4833">
        <v>16</v>
      </c>
      <c r="Q4833" t="s">
        <v>10013</v>
      </c>
    </row>
    <row r="4834" spans="1:17" x14ac:dyDescent="0.3">
      <c r="A4834" t="s">
        <v>4664</v>
      </c>
      <c r="B4834" t="str">
        <f>"301119"</f>
        <v>301119</v>
      </c>
      <c r="C4834" t="s">
        <v>10014</v>
      </c>
      <c r="D4834" t="s">
        <v>348</v>
      </c>
      <c r="F4834">
        <v>228202218</v>
      </c>
      <c r="G4834">
        <v>179252760</v>
      </c>
      <c r="P4834">
        <v>12</v>
      </c>
      <c r="Q4834" t="s">
        <v>10015</v>
      </c>
    </row>
    <row r="4835" spans="1:17" x14ac:dyDescent="0.3">
      <c r="A4835" t="s">
        <v>4664</v>
      </c>
      <c r="B4835" t="str">
        <f>"301122"</f>
        <v>301122</v>
      </c>
      <c r="C4835" t="s">
        <v>10016</v>
      </c>
      <c r="F4835">
        <v>320729578</v>
      </c>
      <c r="G4835">
        <v>402285894</v>
      </c>
      <c r="P4835">
        <v>14</v>
      </c>
      <c r="Q4835" t="s">
        <v>10017</v>
      </c>
    </row>
    <row r="4836" spans="1:17" x14ac:dyDescent="0.3">
      <c r="A4836" t="s">
        <v>4664</v>
      </c>
      <c r="B4836" t="str">
        <f>"301123"</f>
        <v>301123</v>
      </c>
      <c r="C4836" t="s">
        <v>10018</v>
      </c>
      <c r="F4836">
        <v>1019585220</v>
      </c>
      <c r="P4836">
        <v>6</v>
      </c>
      <c r="Q4836" t="s">
        <v>10019</v>
      </c>
    </row>
    <row r="4837" spans="1:17" x14ac:dyDescent="0.3">
      <c r="A4837" t="s">
        <v>4664</v>
      </c>
      <c r="B4837" t="str">
        <f>"301126"</f>
        <v>301126</v>
      </c>
      <c r="C4837" t="s">
        <v>10020</v>
      </c>
      <c r="D4837" t="s">
        <v>125</v>
      </c>
      <c r="F4837">
        <v>1610500492</v>
      </c>
      <c r="G4837">
        <v>1448097267</v>
      </c>
      <c r="P4837">
        <v>14</v>
      </c>
      <c r="Q4837" t="s">
        <v>10021</v>
      </c>
    </row>
    <row r="4838" spans="1:17" x14ac:dyDescent="0.3">
      <c r="A4838" t="s">
        <v>4664</v>
      </c>
      <c r="B4838" t="str">
        <f>"301127"</f>
        <v>301127</v>
      </c>
      <c r="C4838" t="s">
        <v>10022</v>
      </c>
      <c r="D4838" t="s">
        <v>33</v>
      </c>
      <c r="F4838">
        <v>321391966</v>
      </c>
      <c r="G4838">
        <v>299819756</v>
      </c>
      <c r="P4838">
        <v>13</v>
      </c>
      <c r="Q4838" t="s">
        <v>10023</v>
      </c>
    </row>
    <row r="4839" spans="1:17" x14ac:dyDescent="0.3">
      <c r="A4839" t="s">
        <v>4664</v>
      </c>
      <c r="B4839" t="str">
        <f>"301128"</f>
        <v>301128</v>
      </c>
      <c r="C4839" t="s">
        <v>10024</v>
      </c>
      <c r="D4839" t="s">
        <v>741</v>
      </c>
      <c r="F4839">
        <v>281711774</v>
      </c>
      <c r="G4839">
        <v>309654489</v>
      </c>
      <c r="P4839">
        <v>12</v>
      </c>
      <c r="Q4839" t="s">
        <v>10025</v>
      </c>
    </row>
    <row r="4840" spans="1:17" x14ac:dyDescent="0.3">
      <c r="A4840" t="s">
        <v>4664</v>
      </c>
      <c r="B4840" t="str">
        <f>"301129"</f>
        <v>301129</v>
      </c>
      <c r="C4840" t="s">
        <v>10026</v>
      </c>
      <c r="D4840" t="s">
        <v>2551</v>
      </c>
      <c r="F4840">
        <v>133217121</v>
      </c>
      <c r="G4840">
        <v>116577466</v>
      </c>
      <c r="P4840">
        <v>22</v>
      </c>
      <c r="Q4840" t="s">
        <v>10027</v>
      </c>
    </row>
    <row r="4841" spans="1:17" x14ac:dyDescent="0.3">
      <c r="A4841" t="s">
        <v>4664</v>
      </c>
      <c r="B4841" t="str">
        <f>"301130"</f>
        <v>301130</v>
      </c>
      <c r="C4841" t="s">
        <v>10028</v>
      </c>
      <c r="F4841">
        <v>233046659</v>
      </c>
      <c r="G4841">
        <v>237273532</v>
      </c>
      <c r="P4841">
        <v>7</v>
      </c>
      <c r="Q4841" t="s">
        <v>10029</v>
      </c>
    </row>
    <row r="4842" spans="1:17" x14ac:dyDescent="0.3">
      <c r="A4842" t="s">
        <v>4664</v>
      </c>
      <c r="B4842" t="str">
        <f>"301133"</f>
        <v>301133</v>
      </c>
      <c r="C4842" t="s">
        <v>10030</v>
      </c>
      <c r="D4842" t="s">
        <v>191</v>
      </c>
      <c r="F4842">
        <v>274887780</v>
      </c>
      <c r="G4842">
        <v>175004701</v>
      </c>
      <c r="P4842">
        <v>15</v>
      </c>
      <c r="Q4842" t="s">
        <v>10031</v>
      </c>
    </row>
    <row r="4843" spans="1:17" x14ac:dyDescent="0.3">
      <c r="A4843" t="s">
        <v>4664</v>
      </c>
      <c r="B4843" t="str">
        <f>"301136"</f>
        <v>301136</v>
      </c>
      <c r="C4843" t="s">
        <v>10032</v>
      </c>
      <c r="D4843" t="s">
        <v>1272</v>
      </c>
      <c r="F4843">
        <v>323882827</v>
      </c>
      <c r="G4843">
        <v>335657619</v>
      </c>
      <c r="P4843">
        <v>9</v>
      </c>
      <c r="Q4843" t="s">
        <v>10033</v>
      </c>
    </row>
    <row r="4844" spans="1:17" x14ac:dyDescent="0.3">
      <c r="A4844" t="s">
        <v>4664</v>
      </c>
      <c r="B4844" t="str">
        <f>"301138"</f>
        <v>301138</v>
      </c>
      <c r="C4844" t="s">
        <v>10034</v>
      </c>
      <c r="D4844" t="s">
        <v>741</v>
      </c>
      <c r="F4844">
        <v>478684226</v>
      </c>
      <c r="G4844">
        <v>327224205</v>
      </c>
      <c r="P4844">
        <v>16</v>
      </c>
      <c r="Q4844" t="s">
        <v>10035</v>
      </c>
    </row>
    <row r="4845" spans="1:17" x14ac:dyDescent="0.3">
      <c r="A4845" t="s">
        <v>4664</v>
      </c>
      <c r="B4845" t="str">
        <f>"301149"</f>
        <v>301149</v>
      </c>
      <c r="C4845" t="s">
        <v>10036</v>
      </c>
      <c r="D4845" t="s">
        <v>386</v>
      </c>
      <c r="F4845">
        <v>3311927755</v>
      </c>
      <c r="G4845">
        <v>1551672879</v>
      </c>
      <c r="P4845">
        <v>17</v>
      </c>
      <c r="Q4845" t="s">
        <v>10037</v>
      </c>
    </row>
    <row r="4846" spans="1:17" x14ac:dyDescent="0.3">
      <c r="A4846" t="s">
        <v>4664</v>
      </c>
      <c r="B4846" t="str">
        <f>"301155"</f>
        <v>301155</v>
      </c>
      <c r="C4846" t="s">
        <v>10038</v>
      </c>
      <c r="D4846" t="s">
        <v>950</v>
      </c>
      <c r="F4846">
        <v>2298991979</v>
      </c>
      <c r="G4846">
        <v>2301657544</v>
      </c>
      <c r="P4846">
        <v>40</v>
      </c>
      <c r="Q4846" t="s">
        <v>10039</v>
      </c>
    </row>
    <row r="4847" spans="1:17" x14ac:dyDescent="0.3">
      <c r="A4847" t="s">
        <v>4664</v>
      </c>
      <c r="B4847" t="str">
        <f>"301158"</f>
        <v>301158</v>
      </c>
      <c r="C4847" t="s">
        <v>10040</v>
      </c>
      <c r="D4847" t="s">
        <v>395</v>
      </c>
      <c r="F4847">
        <v>179243591</v>
      </c>
      <c r="G4847">
        <v>159318246</v>
      </c>
      <c r="P4847">
        <v>12</v>
      </c>
      <c r="Q4847" t="s">
        <v>10041</v>
      </c>
    </row>
    <row r="4848" spans="1:17" x14ac:dyDescent="0.3">
      <c r="A4848" t="s">
        <v>4664</v>
      </c>
      <c r="B4848" t="str">
        <f>"301159"</f>
        <v>301159</v>
      </c>
      <c r="C4848" t="s">
        <v>10042</v>
      </c>
      <c r="D4848" t="s">
        <v>945</v>
      </c>
      <c r="F4848">
        <v>140721532</v>
      </c>
      <c r="G4848">
        <v>135496235</v>
      </c>
      <c r="P4848">
        <v>10</v>
      </c>
      <c r="Q4848" t="s">
        <v>10043</v>
      </c>
    </row>
    <row r="4849" spans="1:17" x14ac:dyDescent="0.3">
      <c r="A4849" t="s">
        <v>4664</v>
      </c>
      <c r="B4849" t="str">
        <f>"301166"</f>
        <v>301166</v>
      </c>
      <c r="C4849" t="s">
        <v>10044</v>
      </c>
      <c r="D4849" t="s">
        <v>1379</v>
      </c>
      <c r="F4849">
        <v>852264016</v>
      </c>
      <c r="G4849">
        <v>629707159</v>
      </c>
      <c r="P4849">
        <v>21</v>
      </c>
      <c r="Q4849" t="s">
        <v>10045</v>
      </c>
    </row>
    <row r="4850" spans="1:17" x14ac:dyDescent="0.3">
      <c r="A4850" t="s">
        <v>4664</v>
      </c>
      <c r="B4850" t="str">
        <f>"301167"</f>
        <v>301167</v>
      </c>
      <c r="C4850" t="s">
        <v>10046</v>
      </c>
      <c r="D4850" t="s">
        <v>1272</v>
      </c>
      <c r="F4850">
        <v>210605867</v>
      </c>
      <c r="G4850">
        <v>215443428</v>
      </c>
      <c r="P4850">
        <v>17</v>
      </c>
      <c r="Q4850" t="s">
        <v>10047</v>
      </c>
    </row>
    <row r="4851" spans="1:17" x14ac:dyDescent="0.3">
      <c r="A4851" t="s">
        <v>4664</v>
      </c>
      <c r="B4851" t="str">
        <f>"301168"</f>
        <v>301168</v>
      </c>
      <c r="C4851" t="s">
        <v>10048</v>
      </c>
      <c r="D4851" t="s">
        <v>478</v>
      </c>
      <c r="F4851">
        <v>770328586</v>
      </c>
      <c r="G4851">
        <v>558492552</v>
      </c>
      <c r="P4851">
        <v>14</v>
      </c>
      <c r="Q4851" t="s">
        <v>10049</v>
      </c>
    </row>
    <row r="4852" spans="1:17" x14ac:dyDescent="0.3">
      <c r="A4852" t="s">
        <v>4664</v>
      </c>
      <c r="B4852" t="str">
        <f>"301169"</f>
        <v>301169</v>
      </c>
      <c r="C4852" t="s">
        <v>10050</v>
      </c>
      <c r="D4852" t="s">
        <v>9741</v>
      </c>
      <c r="F4852">
        <v>246839996</v>
      </c>
      <c r="G4852">
        <v>233466434</v>
      </c>
      <c r="P4852">
        <v>15</v>
      </c>
      <c r="Q4852" t="s">
        <v>10051</v>
      </c>
    </row>
    <row r="4853" spans="1:17" x14ac:dyDescent="0.3">
      <c r="A4853" t="s">
        <v>4664</v>
      </c>
      <c r="B4853" t="str">
        <f>"301177"</f>
        <v>301177</v>
      </c>
      <c r="C4853" t="s">
        <v>10052</v>
      </c>
      <c r="D4853" t="s">
        <v>1238</v>
      </c>
      <c r="F4853">
        <v>3614536323</v>
      </c>
      <c r="G4853">
        <v>1615133253</v>
      </c>
      <c r="P4853">
        <v>30</v>
      </c>
      <c r="Q4853" t="s">
        <v>10053</v>
      </c>
    </row>
    <row r="4854" spans="1:17" x14ac:dyDescent="0.3">
      <c r="A4854" t="s">
        <v>4664</v>
      </c>
      <c r="B4854" t="str">
        <f>"301178"</f>
        <v>301178</v>
      </c>
      <c r="C4854" t="s">
        <v>10054</v>
      </c>
      <c r="D4854" t="s">
        <v>316</v>
      </c>
      <c r="F4854">
        <v>243725591</v>
      </c>
      <c r="G4854">
        <v>196728972</v>
      </c>
      <c r="P4854">
        <v>15</v>
      </c>
      <c r="Q4854" t="s">
        <v>10055</v>
      </c>
    </row>
    <row r="4855" spans="1:17" x14ac:dyDescent="0.3">
      <c r="A4855" t="s">
        <v>4664</v>
      </c>
      <c r="B4855" t="str">
        <f>"301179"</f>
        <v>301179</v>
      </c>
      <c r="C4855" t="s">
        <v>10056</v>
      </c>
      <c r="D4855" t="s">
        <v>610</v>
      </c>
      <c r="F4855">
        <v>524466826</v>
      </c>
      <c r="G4855">
        <v>318910085</v>
      </c>
      <c r="P4855">
        <v>17</v>
      </c>
      <c r="Q4855" t="s">
        <v>10057</v>
      </c>
    </row>
    <row r="4856" spans="1:17" x14ac:dyDescent="0.3">
      <c r="A4856" t="s">
        <v>4664</v>
      </c>
      <c r="B4856" t="str">
        <f>"301180"</f>
        <v>301180</v>
      </c>
      <c r="C4856" t="s">
        <v>10058</v>
      </c>
      <c r="D4856" t="s">
        <v>313</v>
      </c>
      <c r="F4856">
        <v>1011891337</v>
      </c>
      <c r="G4856">
        <v>627714430</v>
      </c>
      <c r="P4856">
        <v>15</v>
      </c>
      <c r="Q4856" t="s">
        <v>10059</v>
      </c>
    </row>
    <row r="4857" spans="1:17" x14ac:dyDescent="0.3">
      <c r="A4857" t="s">
        <v>4664</v>
      </c>
      <c r="B4857" t="str">
        <f>"301181"</f>
        <v>301181</v>
      </c>
      <c r="C4857" t="s">
        <v>10060</v>
      </c>
      <c r="F4857">
        <v>457286265</v>
      </c>
      <c r="G4857">
        <v>504663511</v>
      </c>
      <c r="P4857">
        <v>5</v>
      </c>
      <c r="Q4857" t="s">
        <v>10061</v>
      </c>
    </row>
    <row r="4858" spans="1:17" x14ac:dyDescent="0.3">
      <c r="A4858" t="s">
        <v>4664</v>
      </c>
      <c r="B4858" t="str">
        <f>"301182"</f>
        <v>301182</v>
      </c>
      <c r="C4858" t="s">
        <v>10062</v>
      </c>
      <c r="D4858" t="s">
        <v>313</v>
      </c>
      <c r="F4858">
        <v>454644999</v>
      </c>
      <c r="G4858">
        <v>296260179</v>
      </c>
      <c r="P4858">
        <v>11</v>
      </c>
      <c r="Q4858" t="s">
        <v>10063</v>
      </c>
    </row>
    <row r="4859" spans="1:17" x14ac:dyDescent="0.3">
      <c r="A4859" t="s">
        <v>4664</v>
      </c>
      <c r="B4859" t="str">
        <f>"301185"</f>
        <v>301185</v>
      </c>
      <c r="C4859" t="s">
        <v>10064</v>
      </c>
      <c r="D4859" t="s">
        <v>316</v>
      </c>
      <c r="F4859">
        <v>98401690</v>
      </c>
      <c r="G4859">
        <v>82754794</v>
      </c>
      <c r="P4859">
        <v>20</v>
      </c>
      <c r="Q4859" t="s">
        <v>10065</v>
      </c>
    </row>
    <row r="4860" spans="1:17" x14ac:dyDescent="0.3">
      <c r="A4860" t="s">
        <v>4664</v>
      </c>
      <c r="B4860" t="str">
        <f>"301186"</f>
        <v>301186</v>
      </c>
      <c r="C4860" t="s">
        <v>10066</v>
      </c>
      <c r="D4860" t="s">
        <v>985</v>
      </c>
      <c r="F4860">
        <v>284997168</v>
      </c>
      <c r="G4860">
        <v>273425621</v>
      </c>
      <c r="P4860">
        <v>10</v>
      </c>
      <c r="Q4860" t="s">
        <v>10067</v>
      </c>
    </row>
    <row r="4861" spans="1:17" x14ac:dyDescent="0.3">
      <c r="A4861" t="s">
        <v>4664</v>
      </c>
      <c r="B4861" t="str">
        <f>"301187"</f>
        <v>301187</v>
      </c>
      <c r="C4861" t="s">
        <v>10068</v>
      </c>
      <c r="G4861">
        <v>663863225</v>
      </c>
      <c r="P4861">
        <v>1</v>
      </c>
      <c r="Q4861" t="s">
        <v>10069</v>
      </c>
    </row>
    <row r="4862" spans="1:17" x14ac:dyDescent="0.3">
      <c r="A4862" t="s">
        <v>4664</v>
      </c>
      <c r="B4862" t="str">
        <f>"301188"</f>
        <v>301188</v>
      </c>
      <c r="C4862" t="s">
        <v>10070</v>
      </c>
      <c r="D4862" t="s">
        <v>2436</v>
      </c>
      <c r="F4862">
        <v>525892805</v>
      </c>
      <c r="G4862">
        <v>401524480</v>
      </c>
      <c r="P4862">
        <v>18</v>
      </c>
      <c r="Q4862" t="s">
        <v>10071</v>
      </c>
    </row>
    <row r="4863" spans="1:17" x14ac:dyDescent="0.3">
      <c r="A4863" t="s">
        <v>4664</v>
      </c>
      <c r="B4863" t="str">
        <f>"301189"</f>
        <v>301189</v>
      </c>
      <c r="C4863" t="s">
        <v>10072</v>
      </c>
      <c r="D4863" t="s">
        <v>3499</v>
      </c>
      <c r="F4863">
        <v>674026431</v>
      </c>
      <c r="G4863">
        <v>663642719</v>
      </c>
      <c r="P4863">
        <v>10</v>
      </c>
      <c r="Q4863" t="s">
        <v>10073</v>
      </c>
    </row>
    <row r="4864" spans="1:17" x14ac:dyDescent="0.3">
      <c r="A4864" t="s">
        <v>4664</v>
      </c>
      <c r="B4864" t="str">
        <f>"301190"</f>
        <v>301190</v>
      </c>
      <c r="C4864" t="s">
        <v>10074</v>
      </c>
      <c r="D4864" t="s">
        <v>779</v>
      </c>
      <c r="F4864">
        <v>194953580</v>
      </c>
      <c r="G4864">
        <v>98078332</v>
      </c>
      <c r="P4864">
        <v>11</v>
      </c>
      <c r="Q4864" t="s">
        <v>10075</v>
      </c>
    </row>
    <row r="4865" spans="1:17" x14ac:dyDescent="0.3">
      <c r="A4865" t="s">
        <v>4664</v>
      </c>
      <c r="B4865" t="str">
        <f>"301193"</f>
        <v>301193</v>
      </c>
      <c r="C4865" t="s">
        <v>10076</v>
      </c>
      <c r="D4865" t="s">
        <v>2436</v>
      </c>
      <c r="F4865">
        <v>941629610</v>
      </c>
      <c r="G4865">
        <v>744862055</v>
      </c>
      <c r="P4865">
        <v>15</v>
      </c>
      <c r="Q4865" t="s">
        <v>10077</v>
      </c>
    </row>
    <row r="4866" spans="1:17" x14ac:dyDescent="0.3">
      <c r="A4866" t="s">
        <v>4664</v>
      </c>
      <c r="B4866" t="str">
        <f>"301196"</f>
        <v>301196</v>
      </c>
      <c r="C4866" t="s">
        <v>10078</v>
      </c>
      <c r="D4866" t="s">
        <v>1192</v>
      </c>
      <c r="F4866">
        <v>918178525</v>
      </c>
      <c r="G4866">
        <v>604775088</v>
      </c>
      <c r="P4866">
        <v>7</v>
      </c>
      <c r="Q4866" t="s">
        <v>10079</v>
      </c>
    </row>
    <row r="4867" spans="1:17" x14ac:dyDescent="0.3">
      <c r="A4867" t="s">
        <v>4664</v>
      </c>
      <c r="B4867" t="str">
        <f>"301198"</f>
        <v>301198</v>
      </c>
      <c r="C4867" t="s">
        <v>10080</v>
      </c>
      <c r="D4867" t="s">
        <v>485</v>
      </c>
      <c r="F4867">
        <v>256446763</v>
      </c>
      <c r="G4867">
        <v>190108406</v>
      </c>
      <c r="P4867">
        <v>16</v>
      </c>
      <c r="Q4867" t="s">
        <v>10081</v>
      </c>
    </row>
    <row r="4868" spans="1:17" x14ac:dyDescent="0.3">
      <c r="A4868" t="s">
        <v>4664</v>
      </c>
      <c r="B4868" t="str">
        <f>"301199"</f>
        <v>301199</v>
      </c>
      <c r="C4868" t="s">
        <v>10082</v>
      </c>
      <c r="D4868" t="s">
        <v>2911</v>
      </c>
      <c r="F4868">
        <v>500084621</v>
      </c>
      <c r="G4868">
        <v>379326567</v>
      </c>
      <c r="P4868">
        <v>10</v>
      </c>
      <c r="Q4868" t="s">
        <v>10083</v>
      </c>
    </row>
    <row r="4869" spans="1:17" x14ac:dyDescent="0.3">
      <c r="A4869" t="s">
        <v>4664</v>
      </c>
      <c r="B4869" t="str">
        <f>"301200"</f>
        <v>301200</v>
      </c>
      <c r="C4869" t="s">
        <v>10084</v>
      </c>
      <c r="F4869">
        <v>2034145821</v>
      </c>
      <c r="G4869">
        <v>1053259407</v>
      </c>
      <c r="P4869">
        <v>13</v>
      </c>
      <c r="Q4869" t="s">
        <v>10085</v>
      </c>
    </row>
    <row r="4870" spans="1:17" x14ac:dyDescent="0.3">
      <c r="A4870" t="s">
        <v>4664</v>
      </c>
      <c r="B4870" t="str">
        <f>"301201"</f>
        <v>301201</v>
      </c>
      <c r="C4870" t="s">
        <v>10086</v>
      </c>
      <c r="D4870" t="s">
        <v>1461</v>
      </c>
      <c r="F4870">
        <v>281042695</v>
      </c>
      <c r="G4870">
        <v>264854036</v>
      </c>
      <c r="P4870">
        <v>18</v>
      </c>
      <c r="Q4870" t="s">
        <v>10087</v>
      </c>
    </row>
    <row r="4871" spans="1:17" x14ac:dyDescent="0.3">
      <c r="A4871" t="s">
        <v>4664</v>
      </c>
      <c r="B4871" t="str">
        <f>"301206"</f>
        <v>301206</v>
      </c>
      <c r="C4871" t="s">
        <v>10088</v>
      </c>
      <c r="F4871">
        <v>1290809630</v>
      </c>
      <c r="G4871">
        <v>570342186</v>
      </c>
      <c r="P4871">
        <v>24</v>
      </c>
      <c r="Q4871" t="s">
        <v>10089</v>
      </c>
    </row>
    <row r="4872" spans="1:17" x14ac:dyDescent="0.3">
      <c r="A4872" t="s">
        <v>4664</v>
      </c>
      <c r="B4872" t="str">
        <f>"301207"</f>
        <v>301207</v>
      </c>
      <c r="C4872" t="s">
        <v>10090</v>
      </c>
      <c r="F4872">
        <v>1366106180</v>
      </c>
      <c r="G4872">
        <v>745873225</v>
      </c>
      <c r="P4872">
        <v>19</v>
      </c>
      <c r="Q4872" t="s">
        <v>10091</v>
      </c>
    </row>
    <row r="4873" spans="1:17" x14ac:dyDescent="0.3">
      <c r="A4873" t="s">
        <v>4664</v>
      </c>
      <c r="B4873" t="str">
        <f>"301211"</f>
        <v>301211</v>
      </c>
      <c r="C4873" t="s">
        <v>10092</v>
      </c>
      <c r="D4873" t="s">
        <v>496</v>
      </c>
      <c r="F4873">
        <v>290332602</v>
      </c>
      <c r="G4873">
        <v>321733168</v>
      </c>
      <c r="P4873">
        <v>14</v>
      </c>
      <c r="Q4873" t="s">
        <v>10093</v>
      </c>
    </row>
    <row r="4874" spans="1:17" x14ac:dyDescent="0.3">
      <c r="A4874" t="s">
        <v>4664</v>
      </c>
      <c r="B4874" t="str">
        <f>"301213"</f>
        <v>301213</v>
      </c>
      <c r="C4874" t="s">
        <v>10094</v>
      </c>
      <c r="D4874" t="s">
        <v>1136</v>
      </c>
      <c r="F4874">
        <v>40077267</v>
      </c>
      <c r="G4874">
        <v>99938659</v>
      </c>
      <c r="P4874">
        <v>16</v>
      </c>
      <c r="Q4874" t="s">
        <v>10095</v>
      </c>
    </row>
    <row r="4875" spans="1:17" x14ac:dyDescent="0.3">
      <c r="A4875" t="s">
        <v>4664</v>
      </c>
      <c r="B4875" t="str">
        <f>"301215"</f>
        <v>301215</v>
      </c>
      <c r="C4875" t="s">
        <v>10096</v>
      </c>
      <c r="F4875">
        <v>220504133</v>
      </c>
      <c r="G4875">
        <v>264285404</v>
      </c>
      <c r="P4875">
        <v>7</v>
      </c>
      <c r="Q4875" t="s">
        <v>10097</v>
      </c>
    </row>
    <row r="4876" spans="1:17" x14ac:dyDescent="0.3">
      <c r="A4876" t="s">
        <v>4664</v>
      </c>
      <c r="B4876" t="str">
        <f>"301217"</f>
        <v>301217</v>
      </c>
      <c r="C4876" t="s">
        <v>10098</v>
      </c>
      <c r="F4876">
        <v>3204015123</v>
      </c>
      <c r="P4876">
        <v>16</v>
      </c>
      <c r="Q4876" t="s">
        <v>10099</v>
      </c>
    </row>
    <row r="4877" spans="1:17" x14ac:dyDescent="0.3">
      <c r="A4877" t="s">
        <v>4664</v>
      </c>
      <c r="B4877" t="str">
        <f>"301219"</f>
        <v>301219</v>
      </c>
      <c r="C4877" t="s">
        <v>10100</v>
      </c>
      <c r="G4877">
        <v>1093020343</v>
      </c>
      <c r="P4877">
        <v>8</v>
      </c>
      <c r="Q4877" t="s">
        <v>10101</v>
      </c>
    </row>
    <row r="4878" spans="1:17" x14ac:dyDescent="0.3">
      <c r="A4878" t="s">
        <v>4664</v>
      </c>
      <c r="B4878" t="str">
        <f>"301221"</f>
        <v>301221</v>
      </c>
      <c r="C4878" t="s">
        <v>10102</v>
      </c>
      <c r="D4878" t="s">
        <v>1415</v>
      </c>
      <c r="F4878">
        <v>258072702</v>
      </c>
      <c r="G4878">
        <v>244805380</v>
      </c>
      <c r="P4878">
        <v>16</v>
      </c>
      <c r="Q4878" t="s">
        <v>10103</v>
      </c>
    </row>
    <row r="4879" spans="1:17" x14ac:dyDescent="0.3">
      <c r="A4879" t="s">
        <v>4664</v>
      </c>
      <c r="B4879" t="str">
        <f>"301228"</f>
        <v>301228</v>
      </c>
      <c r="C4879" t="s">
        <v>10104</v>
      </c>
      <c r="F4879">
        <v>223354649</v>
      </c>
      <c r="G4879">
        <v>171588035</v>
      </c>
      <c r="P4879">
        <v>11</v>
      </c>
      <c r="Q4879" t="s">
        <v>10105</v>
      </c>
    </row>
    <row r="4880" spans="1:17" x14ac:dyDescent="0.3">
      <c r="A4880" t="s">
        <v>4664</v>
      </c>
      <c r="B4880" t="str">
        <f>"301229"</f>
        <v>301229</v>
      </c>
      <c r="C4880" t="s">
        <v>10106</v>
      </c>
      <c r="F4880">
        <v>384755295</v>
      </c>
      <c r="G4880">
        <v>298418114</v>
      </c>
      <c r="P4880">
        <v>6</v>
      </c>
      <c r="Q4880" t="s">
        <v>10107</v>
      </c>
    </row>
    <row r="4881" spans="1:17" x14ac:dyDescent="0.3">
      <c r="A4881" t="s">
        <v>4664</v>
      </c>
      <c r="B4881" t="str">
        <f>"301235"</f>
        <v>301235</v>
      </c>
      <c r="C4881" t="s">
        <v>10108</v>
      </c>
      <c r="F4881">
        <v>414838972</v>
      </c>
      <c r="G4881">
        <v>459176201</v>
      </c>
      <c r="P4881">
        <v>11</v>
      </c>
      <c r="Q4881" t="s">
        <v>10109</v>
      </c>
    </row>
    <row r="4882" spans="1:17" x14ac:dyDescent="0.3">
      <c r="A4882" t="s">
        <v>4664</v>
      </c>
      <c r="B4882" t="str">
        <f>"301236"</f>
        <v>301236</v>
      </c>
      <c r="C4882" t="s">
        <v>10110</v>
      </c>
      <c r="G4882">
        <v>9325903912</v>
      </c>
      <c r="P4882">
        <v>4</v>
      </c>
      <c r="Q4882" t="s">
        <v>10111</v>
      </c>
    </row>
    <row r="4883" spans="1:17" x14ac:dyDescent="0.3">
      <c r="A4883" t="s">
        <v>4664</v>
      </c>
      <c r="B4883" t="str">
        <f>"301237"</f>
        <v>301237</v>
      </c>
      <c r="C4883" t="s">
        <v>10112</v>
      </c>
      <c r="F4883">
        <v>243641754</v>
      </c>
      <c r="G4883">
        <v>141010125</v>
      </c>
      <c r="P4883">
        <v>6</v>
      </c>
      <c r="Q4883" t="s">
        <v>10113</v>
      </c>
    </row>
    <row r="4884" spans="1:17" x14ac:dyDescent="0.3">
      <c r="A4884" t="s">
        <v>4664</v>
      </c>
      <c r="B4884" t="str">
        <f>"301268"</f>
        <v>301268</v>
      </c>
      <c r="C4884" t="s">
        <v>10114</v>
      </c>
      <c r="F4884">
        <v>1061898347</v>
      </c>
      <c r="P4884">
        <v>2</v>
      </c>
      <c r="Q4884" t="s">
        <v>10115</v>
      </c>
    </row>
    <row r="4886" spans="1:17" x14ac:dyDescent="0.3">
      <c r="A4886" t="s">
        <v>10116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筛选器_大陆_20220502_015728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2022-05-01T17:58:03Z</dcterms:created>
  <dcterms:modified xsi:type="dcterms:W3CDTF">2022-05-01T17:58:03Z</dcterms:modified>
</cp:coreProperties>
</file>