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ca9edd782bb68f/Desktop/Maven_Analytics/Excel_Dashboard_design/"/>
    </mc:Choice>
  </mc:AlternateContent>
  <xr:revisionPtr revIDLastSave="616" documentId="8_{4B1FFE80-F575-4FB3-AAD9-C0CE88E872FB}" xr6:coauthVersionLast="47" xr6:coauthVersionMax="47" xr10:uidLastSave="{B1718AE7-FE2B-4B72-9B60-0D7381CBAC5E}"/>
  <bookViews>
    <workbookView minimized="1" xWindow="-25485" yWindow="3255" windowWidth="18540" windowHeight="1233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9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N7" i="22" l="1"/>
  <c r="B13" i="22"/>
  <c r="E8" i="23" s="1"/>
  <c r="K3" i="22"/>
  <c r="K14" i="22"/>
  <c r="K13" i="22"/>
  <c r="K12" i="22"/>
  <c r="K8" i="22"/>
  <c r="K7" i="22"/>
  <c r="K6" i="22"/>
  <c r="K5" i="22"/>
  <c r="K4" i="22"/>
  <c r="AB35" i="22"/>
  <c r="AB34" i="22"/>
  <c r="AB17" i="22"/>
  <c r="AB14" i="22"/>
  <c r="AB28" i="22"/>
  <c r="AB27" i="22"/>
  <c r="AB11" i="22"/>
  <c r="AB16" i="22"/>
  <c r="AB29" i="22"/>
  <c r="AB12" i="22"/>
  <c r="AB26" i="22"/>
  <c r="AB10" i="22"/>
  <c r="AB18" i="22"/>
  <c r="AB33" i="22"/>
  <c r="AB32" i="22"/>
  <c r="AB15" i="22"/>
  <c r="AB9" i="22"/>
  <c r="AB8" i="22"/>
  <c r="AB23" i="22"/>
  <c r="AB7" i="22"/>
  <c r="AB31" i="22"/>
  <c r="AB30" i="22"/>
  <c r="AB25" i="22"/>
  <c r="AB24" i="22"/>
  <c r="AB22" i="22"/>
  <c r="AB3" i="22"/>
  <c r="AB21" i="22"/>
  <c r="AB5" i="22"/>
  <c r="AB6" i="22"/>
  <c r="AB36" i="22"/>
  <c r="AB20" i="22"/>
  <c r="AB4" i="22"/>
  <c r="AB19" i="22"/>
  <c r="AB13" i="22"/>
  <c r="N10" i="22"/>
  <c r="J14" i="22"/>
  <c r="N12" i="22"/>
  <c r="J13" i="22"/>
  <c r="N11" i="22"/>
  <c r="J12" i="22"/>
  <c r="N6" i="22"/>
  <c r="J11" i="22"/>
  <c r="K11" i="22" s="1"/>
  <c r="N9" i="22"/>
  <c r="N3" i="22"/>
  <c r="N4" i="22"/>
  <c r="N8" i="22"/>
  <c r="N5" i="22"/>
  <c r="AY48" i="16"/>
  <c r="B12" i="22"/>
  <c r="E2" i="22"/>
  <c r="B10" i="22"/>
  <c r="I2" i="22" s="1"/>
  <c r="J2" i="22"/>
  <c r="J3" i="22" s="1"/>
  <c r="AY23" i="16"/>
  <c r="AY35" i="16"/>
  <c r="AY45" i="16"/>
  <c r="AY49" i="16"/>
  <c r="AY37" i="16"/>
  <c r="AY3" i="16"/>
  <c r="AY28" i="16"/>
  <c r="AY6" i="16"/>
  <c r="AY29" i="16"/>
  <c r="AY15" i="16"/>
  <c r="AY41" i="16"/>
  <c r="AY36" i="16"/>
  <c r="AY40" i="16"/>
  <c r="AY51" i="16"/>
  <c r="AY21" i="16"/>
  <c r="AY9" i="16"/>
  <c r="AY32" i="16"/>
  <c r="AY31" i="16"/>
  <c r="AY52" i="16"/>
  <c r="AY22" i="16"/>
  <c r="AY20" i="16"/>
  <c r="AY7" i="16"/>
  <c r="AY19" i="16"/>
  <c r="AY16" i="16"/>
  <c r="AY4" i="16"/>
  <c r="AY33" i="16"/>
  <c r="AY50" i="16"/>
  <c r="AY13" i="16"/>
  <c r="AY18" i="16"/>
  <c r="AY8" i="16"/>
  <c r="AY27" i="16"/>
  <c r="AY46" i="16"/>
  <c r="AY47" i="16"/>
  <c r="AY14" i="16"/>
  <c r="AY25" i="16"/>
  <c r="AY17" i="16"/>
  <c r="B11" i="22"/>
  <c r="AY43" i="16"/>
  <c r="AY10" i="16"/>
  <c r="AY38" i="16"/>
  <c r="AY39" i="16"/>
  <c r="AY34" i="16"/>
  <c r="AY24" i="16"/>
  <c r="AY30" i="16"/>
  <c r="AY26" i="16"/>
  <c r="AY42" i="16"/>
  <c r="AY11" i="16"/>
  <c r="AY5" i="16"/>
  <c r="AY44" i="16"/>
  <c r="AY12" i="16"/>
  <c r="AC6" i="22" l="1"/>
  <c r="AD6" i="22" s="1"/>
  <c r="AC22" i="22"/>
  <c r="AD22" i="22" s="1"/>
  <c r="AC8" i="22"/>
  <c r="AD8" i="22" s="1"/>
  <c r="AC7" i="22"/>
  <c r="AD7" i="22" s="1"/>
  <c r="AC23" i="22"/>
  <c r="AD23" i="22" s="1"/>
  <c r="AC24" i="22"/>
  <c r="AD24" i="22" s="1"/>
  <c r="AC27" i="22"/>
  <c r="AD27" i="22" s="1"/>
  <c r="AC35" i="22"/>
  <c r="AD35" i="22" s="1"/>
  <c r="AC20" i="22"/>
  <c r="AD20" i="22" s="1"/>
  <c r="AC21" i="22"/>
  <c r="AD21" i="22" s="1"/>
  <c r="AC9" i="22"/>
  <c r="AD9" i="22" s="1"/>
  <c r="AC25" i="22"/>
  <c r="AD25" i="22" s="1"/>
  <c r="AC10" i="22"/>
  <c r="AD10" i="22" s="1"/>
  <c r="AC26" i="22"/>
  <c r="AD26" i="22" s="1"/>
  <c r="AC11" i="22"/>
  <c r="AD11" i="22" s="1"/>
  <c r="AC16" i="22"/>
  <c r="AD16" i="22" s="1"/>
  <c r="AC34" i="22"/>
  <c r="AD34" i="22" s="1"/>
  <c r="AC19" i="22"/>
  <c r="AD19" i="22" s="1"/>
  <c r="AC4" i="22"/>
  <c r="AD4" i="22" s="1"/>
  <c r="AC3" i="22"/>
  <c r="AD3" i="22" s="1"/>
  <c r="AC12" i="22"/>
  <c r="AD12" i="22" s="1"/>
  <c r="AC28" i="22"/>
  <c r="AD28" i="22" s="1"/>
  <c r="AC14" i="22"/>
  <c r="AD14" i="22" s="1"/>
  <c r="AC31" i="22"/>
  <c r="AD31" i="22" s="1"/>
  <c r="AC32" i="22"/>
  <c r="AD32" i="22" s="1"/>
  <c r="AC33" i="22"/>
  <c r="AD33" i="22" s="1"/>
  <c r="AC18" i="22"/>
  <c r="AD18" i="22" s="1"/>
  <c r="AC13" i="22"/>
  <c r="AD13" i="22" s="1"/>
  <c r="AC29" i="22"/>
  <c r="AD29" i="22" s="1"/>
  <c r="AC30" i="22"/>
  <c r="AD30" i="22" s="1"/>
  <c r="AC15" i="22"/>
  <c r="AD15" i="22" s="1"/>
  <c r="AC17" i="22"/>
  <c r="AD17" i="22" s="1"/>
  <c r="AC36" i="22"/>
  <c r="AD36" i="22" s="1"/>
  <c r="AC5" i="22"/>
  <c r="AD5" i="22" s="1"/>
  <c r="Q8" i="22"/>
  <c r="Q4" i="22"/>
  <c r="J6" i="22"/>
  <c r="J7" i="22"/>
  <c r="J8" i="22"/>
  <c r="Q3" i="22"/>
  <c r="Q9" i="22"/>
  <c r="Q6" i="22"/>
  <c r="Q11" i="22"/>
  <c r="Q12" i="22"/>
  <c r="Q10" i="22"/>
  <c r="Q5" i="22"/>
  <c r="Q7" i="22"/>
  <c r="J9" i="22"/>
  <c r="K9" i="22" s="1"/>
  <c r="J10" i="22"/>
  <c r="K10" i="22" s="1"/>
  <c r="E4" i="22"/>
  <c r="E6" i="22" s="1"/>
  <c r="B18" i="23" s="1"/>
  <c r="O3" i="22"/>
  <c r="P3" i="22" s="1"/>
  <c r="O9" i="22"/>
  <c r="P9" i="22" s="1"/>
  <c r="O6" i="22"/>
  <c r="P6" i="22" s="1"/>
  <c r="O11" i="22"/>
  <c r="P11" i="22" s="1"/>
  <c r="O12" i="22"/>
  <c r="P12" i="22" s="1"/>
  <c r="O10" i="22"/>
  <c r="P10" i="22" s="1"/>
  <c r="O7" i="22"/>
  <c r="P7" i="22" s="1"/>
  <c r="O5" i="22"/>
  <c r="P5" i="22" s="1"/>
  <c r="O8" i="22"/>
  <c r="P8" i="22" s="1"/>
  <c r="O4" i="22"/>
  <c r="P4" i="22" s="1"/>
  <c r="J4" i="22"/>
  <c r="J5" i="22"/>
  <c r="I4" i="22"/>
  <c r="I5" i="22"/>
  <c r="I6" i="22"/>
  <c r="I14" i="22"/>
  <c r="I7" i="22"/>
  <c r="I3" i="22"/>
  <c r="I8" i="22"/>
  <c r="I12" i="22"/>
  <c r="I13" i="22"/>
  <c r="I9" i="22"/>
  <c r="I11" i="22"/>
  <c r="I10" i="22"/>
  <c r="E3" i="22"/>
  <c r="E5" i="22" s="1"/>
  <c r="C18" i="23" s="1"/>
  <c r="AE9" i="22" l="1"/>
  <c r="AF9" i="22"/>
  <c r="AE20" i="22"/>
  <c r="AF20" i="22"/>
  <c r="AF27" i="22"/>
  <c r="AE27" i="22"/>
  <c r="AF15" i="22"/>
  <c r="AE15" i="22"/>
  <c r="AF32" i="22"/>
  <c r="AE32" i="22"/>
  <c r="AF30" i="22"/>
  <c r="AE30" i="22"/>
  <c r="AF31" i="22"/>
  <c r="AE31" i="22"/>
  <c r="AE7" i="22"/>
  <c r="AF7" i="22"/>
  <c r="AF4" i="22"/>
  <c r="AE4" i="22"/>
  <c r="AE5" i="22"/>
  <c r="AF5" i="22"/>
  <c r="AF36" i="22"/>
  <c r="AE36" i="22"/>
  <c r="AE3" i="22"/>
  <c r="AF3" i="22"/>
  <c r="AF19" i="22"/>
  <c r="AE19" i="22"/>
  <c r="AF22" i="22"/>
  <c r="AE22" i="22"/>
  <c r="AF6" i="22"/>
  <c r="AE6" i="22"/>
  <c r="AF11" i="22"/>
  <c r="AE11" i="22"/>
  <c r="AE8" i="22"/>
  <c r="AF8" i="22"/>
  <c r="AE26" i="22"/>
  <c r="AF26" i="22"/>
  <c r="AF16" i="22"/>
  <c r="AE16" i="22"/>
  <c r="AF14" i="22"/>
  <c r="AE14" i="22"/>
  <c r="AF29" i="22"/>
  <c r="AE29" i="22"/>
  <c r="AE10" i="22"/>
  <c r="AF10" i="22"/>
  <c r="AE34" i="22"/>
  <c r="AF34" i="22"/>
  <c r="AF13" i="22"/>
  <c r="AE13" i="22"/>
  <c r="AE25" i="22"/>
  <c r="AF25" i="22"/>
  <c r="AE18" i="22"/>
  <c r="AF18" i="22"/>
  <c r="AF17" i="22"/>
  <c r="AE17" i="22"/>
  <c r="AF33" i="22"/>
  <c r="AE33" i="22"/>
  <c r="AE21" i="22"/>
  <c r="AF21" i="22"/>
  <c r="AF35" i="22"/>
  <c r="AE35" i="22"/>
  <c r="AF28" i="22"/>
  <c r="AE28" i="22"/>
  <c r="AE24" i="22"/>
  <c r="AF24" i="22"/>
  <c r="AF12" i="22"/>
  <c r="AE12" i="22"/>
  <c r="AF23" i="22"/>
  <c r="AE23" i="22"/>
  <c r="V3" i="22"/>
  <c r="V4" i="22"/>
  <c r="V5" i="22"/>
  <c r="T4" i="22"/>
  <c r="U4" i="22" s="1"/>
  <c r="W5" i="22"/>
  <c r="T5" i="22"/>
  <c r="U5" i="22" s="1"/>
  <c r="V6" i="22"/>
  <c r="T6" i="22"/>
  <c r="U6" i="22" s="1"/>
  <c r="W6" i="22"/>
  <c r="T7" i="22"/>
  <c r="U7" i="22" s="1"/>
  <c r="T8" i="22"/>
  <c r="U8" i="22" s="1"/>
  <c r="T12" i="22"/>
  <c r="U12" i="22" s="1"/>
  <c r="V7" i="22"/>
  <c r="W7" i="22"/>
  <c r="V8" i="22"/>
  <c r="T10" i="22"/>
  <c r="U10" i="22" s="1"/>
  <c r="W8" i="22"/>
  <c r="T11" i="22"/>
  <c r="U11" i="22" s="1"/>
  <c r="W9" i="22"/>
  <c r="T3" i="22"/>
  <c r="U3" i="22" s="1"/>
  <c r="V10" i="22"/>
  <c r="W10" i="22"/>
  <c r="V11" i="22"/>
  <c r="W3" i="22"/>
  <c r="W11" i="22"/>
  <c r="V12" i="22"/>
  <c r="W4" i="22"/>
  <c r="W12" i="22"/>
  <c r="T9" i="22"/>
  <c r="U9" i="22" s="1"/>
  <c r="V9" i="22"/>
  <c r="X7" i="22" l="1"/>
  <c r="Y7" i="22"/>
  <c r="X6" i="22"/>
  <c r="Y6" i="22"/>
  <c r="Y11" i="22"/>
  <c r="X11" i="22"/>
  <c r="Y8" i="22"/>
  <c r="X8" i="22"/>
  <c r="Y3" i="22"/>
  <c r="X3" i="22"/>
  <c r="X10" i="22"/>
  <c r="Y10" i="22"/>
  <c r="X12" i="22"/>
  <c r="Y12" i="22"/>
  <c r="X5" i="22"/>
  <c r="Y5" i="22"/>
  <c r="Y4" i="22"/>
  <c r="X4" i="22"/>
  <c r="Y9" i="22"/>
  <c r="X9" i="22"/>
  <c r="AJ17" i="22"/>
  <c r="R33" i="23" s="1"/>
  <c r="AI16" i="22"/>
  <c r="Q32" i="23" s="1"/>
  <c r="AI17" i="22"/>
  <c r="Q33" i="23" s="1"/>
  <c r="AK17" i="22"/>
  <c r="S33" i="23" s="1"/>
  <c r="AJ16" i="22"/>
  <c r="R32" i="23" s="1"/>
  <c r="AK8" i="22"/>
  <c r="S19" i="23" s="1"/>
  <c r="AJ8" i="22"/>
  <c r="R19" i="23" s="1"/>
  <c r="AI8" i="22"/>
  <c r="Q19" i="23" s="1"/>
  <c r="AI3" i="22"/>
  <c r="Q14" i="23" s="1"/>
  <c r="AJ12" i="22"/>
  <c r="R28" i="23" s="1"/>
  <c r="AK12" i="22"/>
  <c r="S28" i="23" s="1"/>
  <c r="AI15" i="22"/>
  <c r="Q31" i="23" s="1"/>
  <c r="AJ13" i="22"/>
  <c r="R29" i="23" s="1"/>
  <c r="AK13" i="22"/>
  <c r="S29" i="23" s="1"/>
  <c r="AJ14" i="22"/>
  <c r="R30" i="23" s="1"/>
  <c r="AI14" i="22"/>
  <c r="Q30" i="23" s="1"/>
  <c r="AI12" i="22"/>
  <c r="Q28" i="23" s="1"/>
  <c r="AK14" i="22"/>
  <c r="S30" i="23" s="1"/>
  <c r="AJ15" i="22"/>
  <c r="R31" i="23" s="1"/>
  <c r="AK15" i="22"/>
  <c r="S31" i="23" s="1"/>
  <c r="AK16" i="22"/>
  <c r="S32" i="23" s="1"/>
  <c r="AI13" i="22"/>
  <c r="Q29" i="23" s="1"/>
  <c r="AK5" i="22"/>
  <c r="S16" i="23" s="1"/>
  <c r="AJ4" i="22"/>
  <c r="R15" i="23" s="1"/>
  <c r="AK6" i="22"/>
  <c r="S17" i="23" s="1"/>
  <c r="AK7" i="22"/>
  <c r="S18" i="23" s="1"/>
  <c r="AJ5" i="22"/>
  <c r="R16" i="23" s="1"/>
  <c r="AJ6" i="22"/>
  <c r="R17" i="23" s="1"/>
  <c r="AJ7" i="22"/>
  <c r="R18" i="23" s="1"/>
  <c r="AJ3" i="22"/>
  <c r="R14" i="23" s="1"/>
  <c r="AK3" i="22"/>
  <c r="S14" i="23" s="1"/>
  <c r="AK4" i="22"/>
  <c r="S15" i="23" s="1"/>
  <c r="AI4" i="22"/>
  <c r="Q15" i="23" s="1"/>
  <c r="AI6" i="22"/>
  <c r="Q17" i="23" s="1"/>
  <c r="AI5" i="22"/>
  <c r="Q16" i="23" s="1"/>
  <c r="AI7" i="22"/>
  <c r="Q18" i="23" s="1"/>
  <c r="S20" i="23" l="1"/>
  <c r="S34" i="23"/>
</calcChain>
</file>

<file path=xl/sharedStrings.xml><?xml version="1.0" encoding="utf-8"?>
<sst xmlns="http://schemas.openxmlformats.org/spreadsheetml/2006/main" count="26863" uniqueCount="128">
  <si>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</si>
  <si>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</si>
  <si>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</si>
  <si>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</si>
  <si>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</si>
  <si>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</si>
  <si>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</si>
  <si>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</si>
  <si>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</si>
  <si>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</si>
  <si>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</si>
  <si>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</si>
  <si>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</si>
  <si>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</si>
  <si>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</si>
  <si>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</si>
  <si>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</si>
  <si>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</si>
  <si>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</si>
  <si>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</si>
  <si>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</si>
  <si>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</si>
  <si>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</si>
  <si>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</si>
  <si>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</si>
  <si>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</si>
  <si>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</si>
  <si>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</si>
  <si>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</si>
  <si>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</si>
  <si>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</si>
  <si>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</si>
  <si>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</si>
  <si>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</si>
  <si>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</si>
  <si>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</si>
  <si>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</si>
  <si>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</si>
  <si>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</si>
  <si>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</si>
  <si>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</si>
  <si>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</si>
  <si>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</si>
  <si>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</si>
  <si>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</si>
  <si>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</si>
  <si>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</si>
  <si>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</si>
  <si>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</si>
  <si>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</si>
  <si>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</si>
  <si>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</si>
  <si>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</si>
  <si>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</si>
  <si>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</si>
  <si>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</si>
  <si>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</si>
  <si>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</si>
  <si>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</si>
  <si>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</si>
  <si>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</si>
  <si>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</si>
  <si>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</si>
  <si>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</si>
  <si>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</si>
  <si>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</si>
  <si>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</si>
  <si>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</si>
  <si>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</si>
  <si>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</si>
  <si>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</si>
  <si>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</si>
  <si>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</si>
  <si>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</si>
  <si>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</si>
  <si>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</si>
  <si>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</si>
  <si>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</si>
  <si>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</si>
  <si>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</si>
  <si>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</si>
  <si>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</si>
  <si>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</si>
  <si>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</si>
  <si>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PM Revenue:</t>
  </si>
  <si>
    <t>PY Revenue:</t>
  </si>
  <si>
    <t>PM Year:</t>
  </si>
  <si>
    <r>
      <t>YoY %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:</t>
    </r>
  </si>
  <si>
    <t>moM %Δ:</t>
  </si>
  <si>
    <t>REVENUE TREND</t>
  </si>
  <si>
    <t>Month #</t>
  </si>
  <si>
    <t>J</t>
  </si>
  <si>
    <t>F</t>
  </si>
  <si>
    <t>A</t>
  </si>
  <si>
    <t>S</t>
  </si>
  <si>
    <t>O</t>
  </si>
  <si>
    <t>N</t>
  </si>
  <si>
    <t>D</t>
  </si>
  <si>
    <t>M</t>
  </si>
  <si>
    <t>STORE PERFORMANCE</t>
  </si>
  <si>
    <t>PM Revenue</t>
  </si>
  <si>
    <t>MoM %Δ:</t>
  </si>
  <si>
    <t>Rank</t>
  </si>
  <si>
    <t>STORE PERFORMANCE (SORTED)</t>
  </si>
  <si>
    <t>PRODUCT PERFORMANCE</t>
  </si>
  <si>
    <t>Product</t>
  </si>
  <si>
    <r>
      <t xml:space="preserve">MoM </t>
    </r>
    <r>
      <rPr>
        <sz val="11"/>
        <color theme="1"/>
        <rFont val="Calibri"/>
        <family val="2"/>
      </rPr>
      <t>Δ</t>
    </r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</si>
  <si>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</si>
  <si>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</si>
  <si>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</si>
  <si>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</si>
  <si>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</si>
  <si>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</si>
  <si>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</si>
  <si>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</si>
  <si>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</si>
  <si>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</si>
  <si>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</si>
  <si>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</si>
  <si>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</si>
  <si>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</si>
  <si>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</si>
  <si>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</si>
  <si>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</si>
  <si>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</si>
  <si>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</si>
  <si>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</si>
  <si>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perform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</si>
</sst>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NumberFormat="1" applyFont="1" applyFill="1" applyAlignment="1">
      <alignment horizontal="centerContinuous"/>
    </xf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3" fillId="7" borderId="0" xfId="0" applyNumberFormat="1" applyFont="1" applyFill="1" applyAlignment="1">
      <alignment horizontal="centerContinuous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1" fillId="8" borderId="0" xfId="1" applyNumberFormat="1" applyFont="1" applyFill="1" applyAlignment="1">
      <alignment horizontal="left"/>
    </xf>
    <xf numFmtId="0" fontId="7" fillId="0" borderId="0" xfId="0" applyFont="1"/>
    <xf numFmtId="165" fontId="1" fillId="8" borderId="0" xfId="1" applyNumberFormat="1" applyFont="1" applyFill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64" fontId="8" fillId="0" borderId="1" xfId="0" applyNumberFormat="1" applyFont="1" applyBorder="1"/>
    <xf numFmtId="164" fontId="12" fillId="8" borderId="0" xfId="0" applyNumberFormat="1" applyFont="1" applyFill="1"/>
    <xf numFmtId="164" fontId="13" fillId="0" borderId="0" xfId="0" applyNumberFormat="1" applyFont="1"/>
    <xf numFmtId="0" fontId="7" fillId="0" borderId="0" xfId="0" applyFont="1" applyAlignment="1">
      <alignment horizontal="center"/>
    </xf>
    <xf numFmtId="0" fontId="1" fillId="11" borderId="0" xfId="0" applyFont="1" applyFill="1" applyAlignment="1">
      <alignment horizontal="right"/>
    </xf>
    <xf numFmtId="0" fontId="1" fillId="11" borderId="0" xfId="0" applyFont="1" applyFill="1"/>
    <xf numFmtId="0" fontId="14" fillId="0" borderId="0" xfId="0" applyFont="1"/>
    <xf numFmtId="0" fontId="11" fillId="10" borderId="0" xfId="0" applyFont="1" applyFill="1" applyProtection="1">
      <protection locked="0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7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61304168562398E-2"/>
          <c:y val="2.1521792548098589E-2"/>
          <c:w val="0.93793869583143763"/>
          <c:h val="0.92720735099393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%Δ: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0-4396-A743-E866659A72C2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EAE0-4396-A743-E866659A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815069471"/>
        <c:axId val="815068223"/>
      </c:barChart>
      <c:catAx>
        <c:axId val="815069471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8223"/>
        <c:crosses val="autoZero"/>
        <c:auto val="1"/>
        <c:lblAlgn val="ctr"/>
        <c:lblOffset val="100"/>
        <c:noMultiLvlLbl val="0"/>
      </c:catAx>
      <c:valAx>
        <c:axId val="8150682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MoM %</a:t>
                </a: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20290370294171151"/>
              <c:y val="0.9570745384021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8150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3529107290909"/>
          <c:y val="3.3159851119534213E-2"/>
          <c:w val="0.8458964200962999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2F-4AAC-9F64-01B5CFFEB0B4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2F-4AAC-9F64-01B5CFFEB0B4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F-4AAC-9F64-01B5CFFE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02303"/>
        <c:axId val="650700223"/>
      </c:lineChart>
      <c:catAx>
        <c:axId val="65070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2334803699275815"/>
              <c:y val="0.94104861083974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00223"/>
        <c:crosses val="autoZero"/>
        <c:auto val="1"/>
        <c:lblAlgn val="ctr"/>
        <c:lblOffset val="100"/>
        <c:noMultiLvlLbl val="0"/>
      </c:catAx>
      <c:valAx>
        <c:axId val="65070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Revenue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1445503388663911E-2"/>
              <c:y val="7.83892507710394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023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864731384813565"/>
          <c:y val="0.67094610544947486"/>
          <c:w val="0.12983447719014937"/>
          <c:h val="0.1024131217857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B-4683-990C-118C9FFB0395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B-4683-990C-118C9FFB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815069471"/>
        <c:axId val="815068223"/>
      </c:barChart>
      <c:catAx>
        <c:axId val="8150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8223"/>
        <c:crosses val="autoZero"/>
        <c:auto val="1"/>
        <c:lblAlgn val="ctr"/>
        <c:lblOffset val="100"/>
        <c:noMultiLvlLbl val="0"/>
      </c:catAx>
      <c:valAx>
        <c:axId val="8150682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4597899000416851"/>
              <c:y val="0.9572253578014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8150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17</xdr:row>
      <xdr:rowOff>0</xdr:rowOff>
    </xdr:from>
    <xdr:to>
      <xdr:col>2</xdr:col>
      <xdr:colOff>245746</xdr:colOff>
      <xdr:row>19</xdr:row>
      <xdr:rowOff>15240</xdr:rowOff>
    </xdr:to>
    <xdr:sp macro="" textlink="'Data Prep'!$E$6">
      <xdr:nvSpPr>
        <xdr:cNvPr id="31" name="TextBox 30">
          <a:extLst>
            <a:ext uri="{FF2B5EF4-FFF2-40B4-BE49-F238E27FC236}">
              <a16:creationId xmlns:a16="http://schemas.microsoft.com/office/drawing/2014/main" id="{72A9E630-AF90-621C-81FE-DD97A953F208}"/>
            </a:ext>
          </a:extLst>
        </xdr:cNvPr>
        <xdr:cNvSpPr txBox="1"/>
      </xdr:nvSpPr>
      <xdr:spPr>
        <a:xfrm>
          <a:off x="523876" y="3257550"/>
          <a:ext cx="1064895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458EC9-576D-4D1C-9D7D-EC4A91792870}" type="TxLink">
            <a:rPr lang="en-US" sz="2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6.7%</a:t>
          </a:fld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874396</xdr:colOff>
      <xdr:row>17</xdr:row>
      <xdr:rowOff>30480</xdr:rowOff>
    </xdr:from>
    <xdr:to>
      <xdr:col>3</xdr:col>
      <xdr:colOff>390526</xdr:colOff>
      <xdr:row>19</xdr:row>
      <xdr:rowOff>1905</xdr:rowOff>
    </xdr:to>
    <xdr:sp macro="" textlink="'Data Prep'!$E$5">
      <xdr:nvSpPr>
        <xdr:cNvPr id="32" name="TextBox 31">
          <a:extLst>
            <a:ext uri="{FF2B5EF4-FFF2-40B4-BE49-F238E27FC236}">
              <a16:creationId xmlns:a16="http://schemas.microsoft.com/office/drawing/2014/main" id="{56461074-933A-5CA0-40A7-AFFBB0B2CF94}"/>
            </a:ext>
          </a:extLst>
        </xdr:cNvPr>
        <xdr:cNvSpPr txBox="1"/>
      </xdr:nvSpPr>
      <xdr:spPr>
        <a:xfrm>
          <a:off x="2217421" y="3288030"/>
          <a:ext cx="106870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253A4B-65E7-47BF-B507-E7FA89505C41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t>26.3%</a:t>
          </a:fld>
          <a:endParaRPr 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382904</xdr:colOff>
      <xdr:row>11</xdr:row>
      <xdr:rowOff>173355</xdr:rowOff>
    </xdr:from>
    <xdr:to>
      <xdr:col>13</xdr:col>
      <xdr:colOff>592455</xdr:colOff>
      <xdr:row>39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A4AD961-2BE9-46D0-A45B-A8B30B3B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99059</xdr:colOff>
      <xdr:row>1</xdr:row>
      <xdr:rowOff>20955</xdr:rowOff>
    </xdr:from>
    <xdr:to>
      <xdr:col>10</xdr:col>
      <xdr:colOff>57149</xdr:colOff>
      <xdr:row>4</xdr:row>
      <xdr:rowOff>93345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5FA520-2A9D-87DF-94EC-A81F20FDFD00}"/>
            </a:ext>
          </a:extLst>
        </xdr:cNvPr>
        <xdr:cNvSpPr txBox="1"/>
      </xdr:nvSpPr>
      <xdr:spPr>
        <a:xfrm>
          <a:off x="99059" y="211455"/>
          <a:ext cx="8227695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135255</xdr:rowOff>
    </xdr:from>
    <xdr:to>
      <xdr:col>19</xdr:col>
      <xdr:colOff>249555</xdr:colOff>
      <xdr:row>8</xdr:row>
      <xdr:rowOff>135255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B58EF6B-F3F2-089A-D9B5-338C05154D52}"/>
            </a:ext>
          </a:extLst>
        </xdr:cNvPr>
        <xdr:cNvCxnSpPr/>
      </xdr:nvCxnSpPr>
      <xdr:spPr>
        <a:xfrm>
          <a:off x="38100" y="1436370"/>
          <a:ext cx="15240000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10</xdr:row>
      <xdr:rowOff>78105</xdr:rowOff>
    </xdr:from>
    <xdr:to>
      <xdr:col>3</xdr:col>
      <xdr:colOff>518159</xdr:colOff>
      <xdr:row>12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93C635-8431-9870-1682-9682777932E4}"/>
            </a:ext>
          </a:extLst>
        </xdr:cNvPr>
        <xdr:cNvSpPr txBox="1"/>
      </xdr:nvSpPr>
      <xdr:spPr>
        <a:xfrm>
          <a:off x="0" y="1735455"/>
          <a:ext cx="3423284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was the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134916</xdr:colOff>
      <xdr:row>18</xdr:row>
      <xdr:rowOff>186690</xdr:rowOff>
    </xdr:from>
    <xdr:to>
      <xdr:col>2</xdr:col>
      <xdr:colOff>289221</xdr:colOff>
      <xdr:row>20</xdr:row>
      <xdr:rowOff>226695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9FBA63-68B5-AF63-02F6-CF2D023253EF}"/>
            </a:ext>
          </a:extLst>
        </xdr:cNvPr>
        <xdr:cNvSpPr txBox="1"/>
      </xdr:nvSpPr>
      <xdr:spPr>
        <a:xfrm>
          <a:off x="352086" y="3672840"/>
          <a:ext cx="1285875" cy="4972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689591</xdr:colOff>
      <xdr:row>18</xdr:row>
      <xdr:rowOff>207645</xdr:rowOff>
    </xdr:from>
    <xdr:to>
      <xdr:col>3</xdr:col>
      <xdr:colOff>460992</xdr:colOff>
      <xdr:row>20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C511F35-333C-3F04-12DE-185E933BB496}"/>
            </a:ext>
          </a:extLst>
        </xdr:cNvPr>
        <xdr:cNvSpPr txBox="1"/>
      </xdr:nvSpPr>
      <xdr:spPr>
        <a:xfrm>
          <a:off x="2032616" y="3697605"/>
          <a:ext cx="1323976" cy="360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 Year</a:t>
          </a:r>
        </a:p>
      </xdr:txBody>
    </xdr:sp>
    <xdr:clientData/>
  </xdr:twoCellAnchor>
  <xdr:twoCellAnchor editAs="absolute">
    <xdr:from>
      <xdr:col>0</xdr:col>
      <xdr:colOff>15240</xdr:colOff>
      <xdr:row>21</xdr:row>
      <xdr:rowOff>15240</xdr:rowOff>
    </xdr:from>
    <xdr:to>
      <xdr:col>3</xdr:col>
      <xdr:colOff>1238250</xdr:colOff>
      <xdr:row>23</xdr:row>
      <xdr:rowOff>91440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07F1D9-AFE2-1E55-1FDE-0E69AE5614FE}"/>
            </a:ext>
          </a:extLst>
        </xdr:cNvPr>
        <xdr:cNvSpPr txBox="1"/>
      </xdr:nvSpPr>
      <xdr:spPr>
        <a:xfrm>
          <a:off x="15240" y="4187190"/>
          <a:ext cx="411861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  <a:r>
            <a:rPr lang="en-US" sz="1600" b="0">
              <a:solidFill>
                <a:schemeClr val="tx1">
                  <a:lumMod val="85000"/>
                  <a:lumOff val="15000"/>
                </a:schemeClr>
              </a:solidFill>
            </a:rPr>
            <a:t>and the revenure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bg1">
                  <a:lumMod val="65000"/>
                </a:schemeClr>
              </a:solidFill>
            </a:rPr>
            <a:t>2020</a:t>
          </a:r>
          <a:endParaRPr lang="en-US" sz="18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708659</xdr:colOff>
      <xdr:row>9</xdr:row>
      <xdr:rowOff>129540</xdr:rowOff>
    </xdr:from>
    <xdr:to>
      <xdr:col>13</xdr:col>
      <xdr:colOff>321945</xdr:colOff>
      <xdr:row>11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5E1965-5DB5-B71A-0A7F-9CA90C294444}"/>
            </a:ext>
          </a:extLst>
        </xdr:cNvPr>
        <xdr:cNvSpPr txBox="1"/>
      </xdr:nvSpPr>
      <xdr:spPr>
        <a:xfrm>
          <a:off x="5048249" y="1605915"/>
          <a:ext cx="5368291" cy="3943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our stores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rank compared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to </a:t>
          </a:r>
          <a:r>
            <a:rPr lang="en-US" sz="1600" b="1" baseline="0">
              <a:solidFill>
                <a:schemeClr val="bg1">
                  <a:lumMod val="65000"/>
                </a:schemeClr>
              </a:solidFill>
            </a:rPr>
            <a:t>other regions</a:t>
          </a:r>
          <a:endParaRPr lang="en-US" sz="16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13</xdr:col>
      <xdr:colOff>320040</xdr:colOff>
      <xdr:row>9</xdr:row>
      <xdr:rowOff>133350</xdr:rowOff>
    </xdr:from>
    <xdr:to>
      <xdr:col>18</xdr:col>
      <xdr:colOff>971549</xdr:colOff>
      <xdr:row>11</xdr:row>
      <xdr:rowOff>209550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42F465-A377-A589-06B5-01E62947EF81}"/>
            </a:ext>
          </a:extLst>
        </xdr:cNvPr>
        <xdr:cNvSpPr txBox="1"/>
      </xdr:nvSpPr>
      <xdr:spPr>
        <a:xfrm>
          <a:off x="10401300" y="1609725"/>
          <a:ext cx="4027169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13</xdr:col>
      <xdr:colOff>285751</xdr:colOff>
      <xdr:row>23</xdr:row>
      <xdr:rowOff>53340</xdr:rowOff>
    </xdr:from>
    <xdr:to>
      <xdr:col>18</xdr:col>
      <xdr:colOff>1198246</xdr:colOff>
      <xdr:row>25</xdr:row>
      <xdr:rowOff>91440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ADA102-40B6-B04A-B08D-8EB534689948}"/>
            </a:ext>
          </a:extLst>
        </xdr:cNvPr>
        <xdr:cNvSpPr txBox="1"/>
      </xdr:nvSpPr>
      <xdr:spPr>
        <a:xfrm>
          <a:off x="10372726" y="4682490"/>
          <a:ext cx="428625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and 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0" baseline="0">
              <a:solidFill>
                <a:srgbClr val="FF0000"/>
              </a:solidFill>
            </a:rPr>
            <a:t>caused losses</a:t>
          </a:r>
          <a:endParaRPr lang="en-US" sz="16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0</xdr:col>
      <xdr:colOff>92392</xdr:colOff>
      <xdr:row>11</xdr:row>
      <xdr:rowOff>173354</xdr:rowOff>
    </xdr:from>
    <xdr:to>
      <xdr:col>3</xdr:col>
      <xdr:colOff>667702</xdr:colOff>
      <xdr:row>15</xdr:row>
      <xdr:rowOff>209550</xdr:rowOff>
    </xdr:to>
    <xdr:sp macro="" textlink="'Data Prep'!$E$2">
      <xdr:nvSpPr>
        <xdr:cNvPr id="19" name="TextBox 18">
          <a:extLst>
            <a:ext uri="{FF2B5EF4-FFF2-40B4-BE49-F238E27FC236}">
              <a16:creationId xmlns:a16="http://schemas.microsoft.com/office/drawing/2014/main" id="{E9FABF67-B32E-461D-BB88-48D520E79DC9}"/>
            </a:ext>
          </a:extLst>
        </xdr:cNvPr>
        <xdr:cNvSpPr txBox="1"/>
      </xdr:nvSpPr>
      <xdr:spPr>
        <a:xfrm>
          <a:off x="88582" y="2055494"/>
          <a:ext cx="3465195" cy="9448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2AC1656-B9F3-43E3-A199-0D8504B21FD3}" type="TxLink">
            <a:rPr lang="en-US" sz="6000" b="1" i="0" u="none" strike="noStrike">
              <a:solidFill>
                <a:srgbClr val="002060"/>
              </a:solidFill>
              <a:latin typeface="Calibri"/>
              <a:cs typeface="Calibri"/>
            </a:rPr>
            <a:t>$44,041</a:t>
          </a:fld>
          <a:endParaRPr lang="en-US" sz="6000" b="1">
            <a:solidFill>
              <a:srgbClr val="002060"/>
            </a:solidFill>
          </a:endParaRPr>
        </a:p>
      </xdr:txBody>
    </xdr:sp>
    <xdr:clientData/>
  </xdr:twoCellAnchor>
  <xdr:twoCellAnchor editAs="absolute">
    <xdr:from>
      <xdr:col>0</xdr:col>
      <xdr:colOff>152399</xdr:colOff>
      <xdr:row>16</xdr:row>
      <xdr:rowOff>133350</xdr:rowOff>
    </xdr:from>
    <xdr:to>
      <xdr:col>3</xdr:col>
      <xdr:colOff>590549</xdr:colOff>
      <xdr:row>16</xdr:row>
      <xdr:rowOff>133350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DDE6806-7CE0-F39C-D7A7-13D26E32F54D}"/>
            </a:ext>
          </a:extLst>
        </xdr:cNvPr>
        <xdr:cNvCxnSpPr/>
      </xdr:nvCxnSpPr>
      <xdr:spPr>
        <a:xfrm>
          <a:off x="152399" y="3162300"/>
          <a:ext cx="333375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476249</xdr:colOff>
      <xdr:row>16</xdr:row>
      <xdr:rowOff>131445</xdr:rowOff>
    </xdr:from>
    <xdr:to>
      <xdr:col>2</xdr:col>
      <xdr:colOff>476249</xdr:colOff>
      <xdr:row>20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EBC499C-4D4A-0423-44CD-7AF60C7BA663}"/>
            </a:ext>
          </a:extLst>
        </xdr:cNvPr>
        <xdr:cNvCxnSpPr/>
      </xdr:nvCxnSpPr>
      <xdr:spPr>
        <a:xfrm>
          <a:off x="1819274" y="3169920"/>
          <a:ext cx="0" cy="893445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23</xdr:row>
      <xdr:rowOff>19051</xdr:rowOff>
    </xdr:from>
    <xdr:to>
      <xdr:col>4</xdr:col>
      <xdr:colOff>438150</xdr:colOff>
      <xdr:row>41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6AF5A62-4D96-43AE-BE4D-B22F70FE4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59056</xdr:colOff>
      <xdr:row>11</xdr:row>
      <xdr:rowOff>161925</xdr:rowOff>
    </xdr:from>
    <xdr:to>
      <xdr:col>10</xdr:col>
      <xdr:colOff>495300</xdr:colOff>
      <xdr:row>39</xdr:row>
      <xdr:rowOff>123555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AD2282C-2F2F-4C51-94E4-7B2AF8C3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862965</xdr:colOff>
      <xdr:row>0</xdr:row>
      <xdr:rowOff>81915</xdr:rowOff>
    </xdr:from>
    <xdr:to>
      <xdr:col>18</xdr:col>
      <xdr:colOff>1542932</xdr:colOff>
      <xdr:row>8</xdr:row>
      <xdr:rowOff>95817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9F4295D-0F29-A7E2-20C7-22E57730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1465" y="81915"/>
          <a:ext cx="3407927" cy="12997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CC892-D9BF-4BD7-AC54-B93654C44E31}" name="Data" displayName="Data" ref="A1:J4795" totalsRowShown="0" headerRowDxfId="14">
  <autoFilter ref="A1:J4795" xr:uid="{F90CC892-D9BF-4BD7-AC54-B93654C44E31}"/>
  <tableColumns count="10">
    <tableColumn id="1" xr3:uid="{E60971B0-BE7C-47ED-B68A-E6DC99ABCF89}" name="Year"/>
    <tableColumn id="2" xr3:uid="{3240A2F5-7EDD-4608-A584-41A0E72A5A44}" name="Month"/>
    <tableColumn id="3" xr3:uid="{14F8BA6F-DF67-46C0-A2A5-EF76670D3E8B}" name="Store Name"/>
    <tableColumn id="4" xr3:uid="{42391BE3-63DC-436F-9720-E8D5CD063FDF}" name="Region"/>
    <tableColumn id="5" xr3:uid="{1A25B659-CC51-4A1A-ADB7-F7A83A31E822}" name="Store Type"/>
    <tableColumn id="6" xr3:uid="{D04053A4-B44A-4970-8505-C7493796DCD4}" name="Product Name"/>
    <tableColumn id="7" xr3:uid="{E3D63EDA-44F9-4776-B8DE-D6572A9CD52F}" name="Product Category"/>
    <tableColumn id="8" xr3:uid="{9A6874C4-EFA1-4EAE-A68E-97CD3908B089}" name="Units Sold"/>
    <tableColumn id="9" xr3:uid="{5D856D59-E40D-4DDE-A8DE-7B48E39E3674}" name="Revenue" dataDxfId="16"/>
    <tableColumn id="10" xr3:uid="{2C4E8CA1-1B1D-4CD2-98B3-805004515B37}" name="Profit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14" zoomScaleNormal="100" workbookViewId="0">
      <selection activeCell="A4536" sqref="A4536:J479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7D2D-8598-4ED1-8D1F-718462812A2D}">
  <dimension ref="A1:AK36"/>
  <sheetViews>
    <sheetView workbookViewId="0">
      <selection activeCell="E6" sqref="E6"/>
    </sheetView>
  </sheetViews>
  <sheetFormatPr defaultRowHeight="14.4" x14ac:dyDescent="0.3"/>
  <cols>
    <col min="1" max="1" width="15.44140625" bestFit="1" customWidth="1"/>
    <col min="2" max="2" width="13.77734375" customWidth="1"/>
    <col min="4" max="4" width="14.5546875" customWidth="1"/>
    <col min="7" max="8" width="9.109375" customWidth="1"/>
    <col min="9" max="9" width="12" customWidth="1"/>
    <col min="10" max="11" width="11.77734375" customWidth="1"/>
    <col min="13" max="13" width="13.77734375" customWidth="1"/>
    <col min="14" max="14" width="10.88671875" customWidth="1"/>
    <col min="15" max="15" width="14" customWidth="1"/>
    <col min="16" max="16" width="10.6640625" customWidth="1"/>
    <col min="20" max="20" width="12" customWidth="1"/>
    <col min="21" max="21" width="12.5546875" customWidth="1"/>
    <col min="27" max="27" width="16" bestFit="1" customWidth="1"/>
    <col min="28" max="28" width="10.6640625" customWidth="1"/>
    <col min="29" max="29" width="11.88671875" customWidth="1"/>
    <col min="34" max="34" width="9.77734375" customWidth="1"/>
    <col min="35" max="36" width="19.21875" customWidth="1"/>
    <col min="37" max="37" width="10.33203125" customWidth="1"/>
  </cols>
  <sheetData>
    <row r="1" spans="1:37" x14ac:dyDescent="0.3">
      <c r="A1" s="6" t="s">
        <v>75</v>
      </c>
      <c r="B1" s="6"/>
      <c r="D1" s="11" t="s">
        <v>82</v>
      </c>
      <c r="E1" s="11"/>
      <c r="G1" s="11" t="s">
        <v>89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110</v>
      </c>
      <c r="AI1" s="11"/>
      <c r="AJ1" s="11"/>
      <c r="AK1" s="11"/>
    </row>
    <row r="2" spans="1:37" x14ac:dyDescent="0.3">
      <c r="A2" s="7" t="s">
        <v>52</v>
      </c>
      <c r="B2" s="7" t="s">
        <v>76</v>
      </c>
      <c r="D2" s="9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76</v>
      </c>
      <c r="M2" s="12" t="s">
        <v>63</v>
      </c>
      <c r="N2" s="12" t="s">
        <v>46</v>
      </c>
      <c r="O2" s="12" t="s">
        <v>100</v>
      </c>
      <c r="P2" s="12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2" t="s">
        <v>101</v>
      </c>
      <c r="X2" s="12" t="s">
        <v>76</v>
      </c>
      <c r="Y2" s="12" t="s">
        <v>76</v>
      </c>
      <c r="AA2" s="12" t="s">
        <v>105</v>
      </c>
      <c r="AB2" s="12" t="s">
        <v>46</v>
      </c>
      <c r="AC2" s="12" t="s">
        <v>100</v>
      </c>
      <c r="AD2" s="12" t="s">
        <v>107</v>
      </c>
      <c r="AE2" s="12" t="s">
        <v>108</v>
      </c>
      <c r="AF2" s="12" t="s">
        <v>109</v>
      </c>
      <c r="AH2" s="12" t="s">
        <v>102</v>
      </c>
      <c r="AI2" s="12" t="s">
        <v>105</v>
      </c>
      <c r="AJ2" s="12" t="s">
        <v>46</v>
      </c>
      <c r="AK2" s="12" t="s">
        <v>107</v>
      </c>
    </row>
    <row r="3" spans="1:37" x14ac:dyDescent="0.3">
      <c r="A3" t="s">
        <v>4</v>
      </c>
      <c r="B3" t="str">
        <f>Dashboard!C8</f>
        <v>Los Angeles</v>
      </c>
      <c r="D3" s="9" t="s">
        <v>85</v>
      </c>
      <c r="E3" s="10">
        <f>SUMIFS(Data[Revenue],Data[Region],Region,Data[Month],CurMonth,Data[Year],PrevYear)</f>
        <v>34881.53</v>
      </c>
      <c r="G3" s="13">
        <v>1</v>
      </c>
      <c r="H3" s="13" t="s">
        <v>91</v>
      </c>
      <c r="I3" s="14">
        <f>SUMIFS(Data[[Revenue]:[Revenue]],Data[[Region]:[Region]],Region,Data[[Month]:[Month]],'Data Prep'!$G3,Data[[Year]:[Year]],'Data Prep'!I$2)</f>
        <v>37135.47</v>
      </c>
      <c r="J3" s="14">
        <f>IF(G3&gt;CurMonth,NA(),SUMIFS(Data[[Revenue]:[Revenue]],Data[[Region]:[Region]],Region,Data[[Month]:[Month]],'Data Prep'!$G3,Data[[Year]:[Year]],'Data Prep'!J$2))</f>
        <v>51959.660000000011</v>
      </c>
      <c r="K3" s="14" t="e">
        <f>IF(G3=CurMonth,J3,NA())</f>
        <v>#N/A</v>
      </c>
      <c r="M3" t="s">
        <v>59</v>
      </c>
      <c r="N3" s="14">
        <f>SUMIFS(Data[Revenue],Data[Store Name],M3,Data[Month],CurMonth,Data[Year],CurYear)</f>
        <v>10103.540000000001</v>
      </c>
      <c r="O3" s="14">
        <f>SUMIFS(Data[Revenue],Data[Store Name],M3,Data[Month],PrevMonth,Data[Year],PMYear)</f>
        <v>7938.76</v>
      </c>
      <c r="P3" s="15">
        <f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Name]:[Region]],2,FALSE)</f>
        <v>Chicago</v>
      </c>
      <c r="V3" s="14">
        <f t="shared" ref="V3:W3" si="0">INDEX($M$3:$P$12,MATCH($S3,$Q$3:$Q$12,0),MATCH(V$2,$M$2:$P$2,0))</f>
        <v>7721.8800000000019</v>
      </c>
      <c r="W3" s="15">
        <f t="shared" si="0"/>
        <v>-0.23788412342481746</v>
      </c>
      <c r="X3" s="14">
        <f>IF($U3=Region,V3,0)</f>
        <v>0</v>
      </c>
      <c r="Y3" s="15">
        <f>IF($U3=Region,W3,0)</f>
        <v>0</v>
      </c>
      <c r="AA3" t="s">
        <v>13</v>
      </c>
      <c r="AB3" s="14">
        <f>SUMIFS(Data[Revenue],Data[Region],Region,Data[Month],CurMonth,Data[Year],CurYear,Data[Product Name],'Data Prep'!AA3)</f>
        <v>1662.96</v>
      </c>
      <c r="AC3" s="14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14">
        <f t="shared" ref="AJ3:AK8" si="1">INDEX($AA$3:$AD$36,MATCH($AH3,$AE$3:$AE$36,0),MATCH(AJ$2,$AA$2:$AD$2,0))</f>
        <v>6523.92</v>
      </c>
      <c r="AK3" s="14">
        <f t="shared" si="1"/>
        <v>3293.9400000000005</v>
      </c>
    </row>
    <row r="4" spans="1:37" x14ac:dyDescent="0.3">
      <c r="A4" t="s">
        <v>5</v>
      </c>
      <c r="D4" s="9" t="s">
        <v>84</v>
      </c>
      <c r="E4" s="10">
        <f>SUMIFS(Data[Revenue],Data[Region],Region,Data[Month],PrevMonth,Data[Year],PMYear)</f>
        <v>41270.179999999986</v>
      </c>
      <c r="G4" s="13">
        <v>2</v>
      </c>
      <c r="H4" s="13" t="s">
        <v>92</v>
      </c>
      <c r="I4" s="14">
        <f>SUMIFS(Data[[Revenue]:[Revenue]],Data[[Region]:[Region]],Region,Data[[Month]:[Month]],'Data Prep'!$G4,Data[[Year]:[Year]],'Data Prep'!I$2)</f>
        <v>31324.390000000007</v>
      </c>
      <c r="J4" s="14">
        <f>IF(G4&gt;CurMonth,NA(),SUMIFS(Data[[Revenue]:[Revenue]],Data[[Region]:[Region]],Region,Data[[Month]:[Month]],'Data Prep'!$G4,Data[[Year]:[Year]],'Data Prep'!J$2))</f>
        <v>53726.850000000006</v>
      </c>
      <c r="K4" s="14" t="e">
        <f>IF(G4=CurMonth,J4,NA())</f>
        <v>#N/A</v>
      </c>
      <c r="M4" t="s">
        <v>56</v>
      </c>
      <c r="N4" s="14">
        <f>SUMIFS(Data[Revenue],Data[Store Name],M4,Data[Month],CurMonth,Data[Year],CurYear)</f>
        <v>15765.830000000002</v>
      </c>
      <c r="O4" s="14">
        <f>SUMIFS(Data[Revenue],Data[Store Name],M4,Data[Month],PrevMonth,Data[Year],PMYear)</f>
        <v>11411.519999999999</v>
      </c>
      <c r="P4" s="15">
        <f>N4/O4-1</f>
        <v>0.38157142957292312</v>
      </c>
      <c r="Q4">
        <f t="shared" ref="Q4:Q12" si="2">_xlfn.RANK.AVG(N4,$N$3:$N$12,1)</f>
        <v>4</v>
      </c>
      <c r="S4">
        <v>2</v>
      </c>
      <c r="T4" t="str">
        <f t="shared" ref="T4:W12" si="3">INDEX($M$3:$P$12,MATCH($S4,$Q$3:$Q$12,0),MATCH(T$2,$M$2:$P$2,0))</f>
        <v>Hollywood</v>
      </c>
      <c r="U4" t="str">
        <f>VLOOKUP(T4,Data[[Store Name]:[Region]],2,FALSE)</f>
        <v>Los Angeles</v>
      </c>
      <c r="V4" s="14">
        <f t="shared" si="3"/>
        <v>10103.540000000001</v>
      </c>
      <c r="W4" s="15">
        <f t="shared" si="3"/>
        <v>0.27268490293194403</v>
      </c>
      <c r="X4" s="14">
        <f>IF($U4=Region,V4,0)</f>
        <v>10103.540000000001</v>
      </c>
      <c r="Y4" s="15">
        <f>IF($U4=Region,W4,0)</f>
        <v>0.27268490293194403</v>
      </c>
      <c r="AA4" t="s">
        <v>24</v>
      </c>
      <c r="AB4" s="14">
        <f>SUMIFS(Data[Revenue],Data[Region],Region,Data[Month],CurMonth,Data[Year],CurYear,Data[Product Name],'Data Prep'!AA4)</f>
        <v>1675.71</v>
      </c>
      <c r="AC4" s="14">
        <f>SUMIFS(Data[Revenue],Data[Region],Region,Data[Month],PrevMonth,Data[Year],PMYear,Data[Product Name],'Data Prep'!AA4)</f>
        <v>2805.84</v>
      </c>
      <c r="AD4" s="2">
        <f t="shared" ref="AD4:AD36" si="4">AB4-AC4</f>
        <v>-1130.1300000000001</v>
      </c>
      <c r="AE4">
        <f t="shared" ref="AE4:AE36" si="5">_xlfn.RANK.AVG(AD4,$AD$3:$AD$36,0)</f>
        <v>32</v>
      </c>
      <c r="AF4">
        <f t="shared" ref="AF4:AF36" si="6">_xlfn.RANK.AVG(AD4,$AD$3:$AD$36,1)</f>
        <v>3</v>
      </c>
      <c r="AH4">
        <v>2</v>
      </c>
      <c r="AI4" t="str">
        <f t="shared" ref="AI4:AI8" si="7">INDEX($AA$3:$AD$36,MATCH($AH4,$AE$3:$AE$36,0),MATCH(AI$2,$AA$2:$AD$2,0))</f>
        <v>Toy Robot</v>
      </c>
      <c r="AJ4" s="14">
        <f t="shared" si="1"/>
        <v>1533.4099999999999</v>
      </c>
      <c r="AK4" s="14">
        <f t="shared" si="1"/>
        <v>1533.4099999999999</v>
      </c>
    </row>
    <row r="5" spans="1:37" x14ac:dyDescent="0.3">
      <c r="A5" t="s">
        <v>48</v>
      </c>
      <c r="D5" s="9" t="s">
        <v>87</v>
      </c>
      <c r="E5" s="17">
        <f>E2/E3-1</f>
        <v>0.26259169250890069</v>
      </c>
      <c r="G5" s="13">
        <v>3</v>
      </c>
      <c r="H5" s="13" t="s">
        <v>98</v>
      </c>
      <c r="I5" s="14">
        <f>SUMIFS(Data[[Revenue]:[Revenue]],Data[[Region]:[Region]],Region,Data[[Month]:[Month]],'Data Prep'!$G5,Data[[Year]:[Year]],'Data Prep'!I$2)</f>
        <v>38310.149999999987</v>
      </c>
      <c r="J5" s="14">
        <f>IF(G5&gt;CurMonth,NA(),SUMIFS(Data[[Revenue]:[Revenue]],Data[[Region]:[Region]],Region,Data[[Month]:[Month]],'Data Prep'!$G5,Data[[Year]:[Year]],'Data Prep'!J$2))</f>
        <v>53604.229999999989</v>
      </c>
      <c r="K5" s="14" t="e">
        <f>IF(G5=CurMonth,J5,NA())</f>
        <v>#N/A</v>
      </c>
      <c r="M5" t="s">
        <v>54</v>
      </c>
      <c r="N5" s="14">
        <f>SUMIFS(Data[Revenue],Data[Store Name],M5,Data[Month],CurMonth,Data[Year],CurYear)</f>
        <v>7721.8800000000019</v>
      </c>
      <c r="O5" s="14">
        <f>SUMIFS(Data[Revenue],Data[Store Name],M5,Data[Month],PrevMonth,Data[Year],PMYear)</f>
        <v>10132.16</v>
      </c>
      <c r="P5" s="15">
        <f>N5/O5-1</f>
        <v>-0.23788412342481746</v>
      </c>
      <c r="Q5">
        <f t="shared" si="2"/>
        <v>1</v>
      </c>
      <c r="S5">
        <v>3</v>
      </c>
      <c r="T5" t="str">
        <f t="shared" si="3"/>
        <v>JFK</v>
      </c>
      <c r="U5" t="str">
        <f>VLOOKUP(T5,Data[[Store Name]:[Region]],2,FALSE)</f>
        <v>New York</v>
      </c>
      <c r="V5" s="14">
        <f t="shared" si="3"/>
        <v>13879.13</v>
      </c>
      <c r="W5" s="15">
        <f t="shared" si="3"/>
        <v>5.7257752439920262E-2</v>
      </c>
      <c r="X5" s="14">
        <f>IF($U5=Region,V5,0)</f>
        <v>0</v>
      </c>
      <c r="Y5" s="15">
        <f>IF($U5=Region,W5,0)</f>
        <v>0</v>
      </c>
      <c r="AA5" t="s">
        <v>18</v>
      </c>
      <c r="AB5" s="14">
        <f>SUMIFS(Data[Revenue],Data[Region],Region,Data[Month],CurMonth,Data[Year],CurYear,Data[Product Name],'Data Prep'!AA5)</f>
        <v>233.82</v>
      </c>
      <c r="AC5" s="14">
        <f>SUMIFS(Data[Revenue],Data[Region],Region,Data[Month],PrevMonth,Data[Year],PMYear,Data[Product Name],'Data Prep'!AA5)</f>
        <v>0</v>
      </c>
      <c r="AD5" s="2">
        <f t="shared" si="4"/>
        <v>233.82</v>
      </c>
      <c r="AE5">
        <f t="shared" si="5"/>
        <v>10</v>
      </c>
      <c r="AF5">
        <f t="shared" si="6"/>
        <v>25</v>
      </c>
      <c r="AH5">
        <v>3</v>
      </c>
      <c r="AI5" t="str">
        <f t="shared" si="7"/>
        <v>Glass Marbles</v>
      </c>
      <c r="AJ5" s="14">
        <f t="shared" si="1"/>
        <v>1329.79</v>
      </c>
      <c r="AK5" s="14">
        <f t="shared" si="1"/>
        <v>615.44000000000005</v>
      </c>
    </row>
    <row r="6" spans="1:37" x14ac:dyDescent="0.3">
      <c r="D6" s="9" t="s">
        <v>88</v>
      </c>
      <c r="E6" s="17">
        <f>E2/E4-1</f>
        <v>6.7141698921594273E-2</v>
      </c>
      <c r="G6" s="13">
        <v>4</v>
      </c>
      <c r="H6" s="13" t="s">
        <v>93</v>
      </c>
      <c r="I6" s="14">
        <f>SUMIFS(Data[[Revenue]:[Revenue]],Data[[Region]:[Region]],Region,Data[[Month]:[Month]],'Data Prep'!$G6,Data[[Year]:[Year]],'Data Prep'!I$2)</f>
        <v>43124.819999999992</v>
      </c>
      <c r="J6" s="14">
        <f>IF(G6&gt;CurMonth,NA(),SUMIFS(Data[[Revenue]:[Revenue]],Data[[Region]:[Region]],Region,Data[[Month]:[Month]],'Data Prep'!$G6,Data[[Year]:[Year]],'Data Prep'!J$2))</f>
        <v>50597.080000000009</v>
      </c>
      <c r="K6" s="14" t="e">
        <f>IF(G6=CurMonth,J6,NA())</f>
        <v>#N/A</v>
      </c>
      <c r="M6" t="s">
        <v>55</v>
      </c>
      <c r="N6" s="14">
        <f>SUMIFS(Data[Revenue],Data[Store Name],M6,Data[Month],CurMonth,Data[Year],CurYear)</f>
        <v>18238.46</v>
      </c>
      <c r="O6" s="14">
        <f>SUMIFS(Data[Revenue],Data[Store Name],M6,Data[Month],PrevMonth,Data[Year],PMYear)</f>
        <v>15332.379999999996</v>
      </c>
      <c r="P6" s="15">
        <f>N6/O6-1</f>
        <v>0.18953874088693379</v>
      </c>
      <c r="Q6">
        <f t="shared" si="2"/>
        <v>9</v>
      </c>
      <c r="S6">
        <v>4</v>
      </c>
      <c r="T6" t="str">
        <f t="shared" si="3"/>
        <v>Beverly Hills</v>
      </c>
      <c r="U6" t="str">
        <f>VLOOKUP(T6,Data[[Store Name]:[Region]],2,FALSE)</f>
        <v>Los Angeles</v>
      </c>
      <c r="V6" s="14">
        <f t="shared" si="3"/>
        <v>15765.830000000002</v>
      </c>
      <c r="W6" s="15">
        <f t="shared" si="3"/>
        <v>0.38157142957292312</v>
      </c>
      <c r="X6" s="14">
        <f>IF($U6=Region,V6,0)</f>
        <v>15765.830000000002</v>
      </c>
      <c r="Y6" s="15">
        <f>IF($U6=Region,W6,0)</f>
        <v>0.38157142957292312</v>
      </c>
      <c r="AA6" t="s">
        <v>30</v>
      </c>
      <c r="AB6" s="14">
        <f>SUMIFS(Data[Revenue],Data[Region],Region,Data[Month],CurMonth,Data[Year],CurYear,Data[Product Name],'Data Prep'!AA6)</f>
        <v>249.75</v>
      </c>
      <c r="AC6" s="14">
        <f>SUMIFS(Data[Revenue],Data[Region],Region,Data[Month],PrevMonth,Data[Year],PMYear,Data[Product Name],'Data Prep'!AA6)</f>
        <v>0</v>
      </c>
      <c r="AD6" s="2">
        <f t="shared" si="4"/>
        <v>249.75</v>
      </c>
      <c r="AE6">
        <f t="shared" si="5"/>
        <v>9</v>
      </c>
      <c r="AF6">
        <f t="shared" si="6"/>
        <v>26</v>
      </c>
      <c r="AH6">
        <v>4</v>
      </c>
      <c r="AI6" t="str">
        <f t="shared" si="7"/>
        <v>Action Figure</v>
      </c>
      <c r="AJ6" s="14">
        <f t="shared" si="1"/>
        <v>1662.96</v>
      </c>
      <c r="AK6" s="14">
        <f t="shared" si="1"/>
        <v>575.63999999999987</v>
      </c>
    </row>
    <row r="7" spans="1:37" x14ac:dyDescent="0.3">
      <c r="A7" s="6" t="s">
        <v>77</v>
      </c>
      <c r="B7" s="6"/>
      <c r="G7" s="13">
        <v>5</v>
      </c>
      <c r="H7" s="13" t="s">
        <v>98</v>
      </c>
      <c r="I7" s="14">
        <f>SUMIFS(Data[[Revenue]:[Revenue]],Data[[Region]:[Region]],Region,Data[[Month]:[Month]],'Data Prep'!$G7,Data[[Year]:[Year]],'Data Prep'!I$2)</f>
        <v>48602.219999999994</v>
      </c>
      <c r="J7" s="14">
        <f>IF(G7&gt;CurMonth,NA(),SUMIFS(Data[[Revenue]:[Revenue]],Data[[Region]:[Region]],Region,Data[[Month]:[Month]],'Data Prep'!$G7,Data[[Year]:[Year]],'Data Prep'!J$2))</f>
        <v>66944.169999999984</v>
      </c>
      <c r="K7" s="14" t="e">
        <f>IF(G7=CurMonth,J7,NA())</f>
        <v>#N/A</v>
      </c>
      <c r="M7" t="s">
        <v>53</v>
      </c>
      <c r="N7" s="14">
        <f>SUMIFS(Data[Revenue],Data[Store Name],M7,Data[Month],CurMonth,Data[Year],CurYear)</f>
        <v>17505.330000000002</v>
      </c>
      <c r="O7" s="14">
        <f>SUMIFS(Data[Revenue],Data[Store Name],M7,Data[Month],PrevMonth,Data[Year],PMYear)</f>
        <v>17049.52</v>
      </c>
      <c r="P7" s="15">
        <f>N7/O7-1</f>
        <v>2.6734476982343214E-2</v>
      </c>
      <c r="Q7">
        <f t="shared" si="2"/>
        <v>6</v>
      </c>
      <c r="S7">
        <v>5</v>
      </c>
      <c r="T7" t="str">
        <f t="shared" si="3"/>
        <v>Fifth Avenue</v>
      </c>
      <c r="U7" t="str">
        <f>VLOOKUP(T7,Data[[Store Name]:[Region]],2,FALSE)</f>
        <v>New York</v>
      </c>
      <c r="V7" s="14">
        <f t="shared" si="3"/>
        <v>16255.230000000001</v>
      </c>
      <c r="W7" s="15">
        <f t="shared" si="3"/>
        <v>-0.13607835613264074</v>
      </c>
      <c r="X7" s="14">
        <f>IF($U7=Region,V7,0)</f>
        <v>0</v>
      </c>
      <c r="Y7" s="15">
        <f>IF($U7=Region,W7,0)</f>
        <v>0</v>
      </c>
      <c r="AA7" t="s">
        <v>20</v>
      </c>
      <c r="AB7" s="14">
        <f>SUMIFS(Data[Revenue],Data[Region],Region,Data[Month],CurMonth,Data[Year],CurYear,Data[Product Name],'Data Prep'!AA7)</f>
        <v>4467.0200000000004</v>
      </c>
      <c r="AC7" s="14">
        <f>SUMIFS(Data[Revenue],Data[Region],Region,Data[Month],PrevMonth,Data[Year],PMYear,Data[Product Name],'Data Prep'!AA7)</f>
        <v>4377.08</v>
      </c>
      <c r="AD7" s="2">
        <f t="shared" si="4"/>
        <v>89.940000000000509</v>
      </c>
      <c r="AE7">
        <f t="shared" si="5"/>
        <v>13</v>
      </c>
      <c r="AF7">
        <f t="shared" si="6"/>
        <v>22</v>
      </c>
      <c r="AH7">
        <v>5</v>
      </c>
      <c r="AI7" t="str">
        <f t="shared" si="7"/>
        <v>Splash Balls</v>
      </c>
      <c r="AJ7" s="14">
        <f t="shared" si="1"/>
        <v>836.07</v>
      </c>
      <c r="AK7" s="14">
        <f t="shared" si="1"/>
        <v>440.51000000000005</v>
      </c>
    </row>
    <row r="8" spans="1:37" x14ac:dyDescent="0.3">
      <c r="A8" s="9" t="s">
        <v>78</v>
      </c>
      <c r="B8" s="8">
        <f>MAX(Data[Year])</f>
        <v>2021</v>
      </c>
      <c r="G8" s="13">
        <v>6</v>
      </c>
      <c r="H8" s="13" t="s">
        <v>91</v>
      </c>
      <c r="I8" s="14">
        <f>SUMIFS(Data[[Revenue]:[Revenue]],Data[[Region]:[Region]],Region,Data[[Month]:[Month]],'Data Prep'!$G8,Data[[Year]:[Year]],'Data Prep'!I$2)</f>
        <v>42487.139999999992</v>
      </c>
      <c r="J8" s="14">
        <f>IF(G8&gt;CurMonth,NA(),SUMIFS(Data[[Revenue]:[Revenue]],Data[[Region]:[Region]],Region,Data[[Month]:[Month]],'Data Prep'!$G8,Data[[Year]:[Year]],'Data Prep'!J$2))</f>
        <v>46196.220000000008</v>
      </c>
      <c r="K8" s="14" t="e">
        <f>IF(G8=CurMonth,J8,NA())</f>
        <v>#N/A</v>
      </c>
      <c r="M8" t="s">
        <v>58</v>
      </c>
      <c r="N8" s="14">
        <f>SUMIFS(Data[Revenue],Data[Store Name],M8,Data[Month],CurMonth,Data[Year],CurYear)</f>
        <v>16255.230000000001</v>
      </c>
      <c r="O8" s="14">
        <f>SUMIFS(Data[Revenue],Data[Store Name],M8,Data[Month],PrevMonth,Data[Year],PMYear)</f>
        <v>18815.63</v>
      </c>
      <c r="P8" s="15">
        <f>N8/O8-1</f>
        <v>-0.13607835613264074</v>
      </c>
      <c r="Q8">
        <f t="shared" si="2"/>
        <v>5</v>
      </c>
      <c r="S8">
        <v>6</v>
      </c>
      <c r="T8" t="str">
        <f t="shared" si="3"/>
        <v>Lincoln Park</v>
      </c>
      <c r="U8" t="str">
        <f>VLOOKUP(T8,Data[[Store Name]:[Region]],2,FALSE)</f>
        <v>Chicago</v>
      </c>
      <c r="V8" s="14">
        <f t="shared" si="3"/>
        <v>17505.330000000002</v>
      </c>
      <c r="W8" s="15">
        <f t="shared" si="3"/>
        <v>2.6734476982343214E-2</v>
      </c>
      <c r="X8" s="14">
        <f>IF($U8=Region,V8,0)</f>
        <v>0</v>
      </c>
      <c r="Y8" s="15">
        <f>IF($U8=Region,W8,0)</f>
        <v>0</v>
      </c>
      <c r="AA8" t="s">
        <v>25</v>
      </c>
      <c r="AB8" s="14">
        <f>SUMIFS(Data[Revenue],Data[Region],Region,Data[Month],CurMonth,Data[Year],CurYear,Data[Product Name],'Data Prep'!AA8)</f>
        <v>575.64</v>
      </c>
      <c r="AC8" s="14">
        <f>SUMIFS(Data[Revenue],Data[Region],Region,Data[Month],PrevMonth,Data[Year],PMYear,Data[Product Name],'Data Prep'!AA8)</f>
        <v>1263.21</v>
      </c>
      <c r="AD8" s="2">
        <f t="shared" si="4"/>
        <v>-687.57</v>
      </c>
      <c r="AE8">
        <f t="shared" si="5"/>
        <v>31</v>
      </c>
      <c r="AF8">
        <f t="shared" si="6"/>
        <v>4</v>
      </c>
      <c r="AH8">
        <v>6</v>
      </c>
      <c r="AI8" t="str">
        <f t="shared" si="7"/>
        <v>PlayDoh Toolkit</v>
      </c>
      <c r="AJ8" s="14">
        <f t="shared" si="1"/>
        <v>469.06</v>
      </c>
      <c r="AK8" s="14">
        <f t="shared" si="1"/>
        <v>439.12</v>
      </c>
    </row>
    <row r="9" spans="1:37" x14ac:dyDescent="0.3">
      <c r="A9" s="9" t="s">
        <v>79</v>
      </c>
      <c r="B9" s="8">
        <f>_xlfn.MAXIFS(Data[Month],Data[Year],CurYear)</f>
        <v>9</v>
      </c>
      <c r="G9" s="13">
        <v>7</v>
      </c>
      <c r="H9" s="13" t="s">
        <v>91</v>
      </c>
      <c r="I9" s="14">
        <f>SUMIFS(Data[[Revenue]:[Revenue]],Data[[Region]:[Region]],Region,Data[[Month]:[Month]],'Data Prep'!$G9,Data[[Year]:[Year]],'Data Prep'!I$2)</f>
        <v>44643.76</v>
      </c>
      <c r="J9" s="14">
        <f>IF(G9&gt;CurMonth,NA(),SUMIFS(Data[[Revenue]:[Revenue]],Data[[Region]:[Region]],Region,Data[[Month]:[Month]],'Data Prep'!$G9,Data[[Year]:[Year]],'Data Prep'!J$2))</f>
        <v>59782.98000000001</v>
      </c>
      <c r="K9" s="14" t="e">
        <f>IF(G9=CurMonth,J9,NA())</f>
        <v>#N/A</v>
      </c>
      <c r="M9" t="s">
        <v>62</v>
      </c>
      <c r="N9" s="14">
        <f>SUMIFS(Data[Revenue],Data[Store Name],M9,Data[Month],CurMonth,Data[Year],CurYear)</f>
        <v>20484.010000000002</v>
      </c>
      <c r="O9" s="14">
        <f>SUMIFS(Data[Revenue],Data[Store Name],M9,Data[Month],PrevMonth,Data[Year],PMYear)</f>
        <v>17895.43</v>
      </c>
      <c r="P9" s="15">
        <f>N9/O9-1</f>
        <v>0.14465033810308014</v>
      </c>
      <c r="Q9">
        <f t="shared" si="2"/>
        <v>10</v>
      </c>
      <c r="S9">
        <v>7</v>
      </c>
      <c r="T9" t="str">
        <f t="shared" si="3"/>
        <v>LAX</v>
      </c>
      <c r="U9" t="str">
        <f>VLOOKUP(T9,Data[[Store Name]:[Region]],2,FALSE)</f>
        <v>Los Angeles</v>
      </c>
      <c r="V9" s="14">
        <f t="shared" si="3"/>
        <v>18171.759999999995</v>
      </c>
      <c r="W9" s="15">
        <f t="shared" si="3"/>
        <v>-0.17099256839675403</v>
      </c>
      <c r="X9" s="14">
        <f>IF($U9=Region,V9,0)</f>
        <v>18171.759999999995</v>
      </c>
      <c r="Y9" s="15">
        <f>IF($U9=Region,W9,0)</f>
        <v>-0.17099256839675403</v>
      </c>
      <c r="AA9" t="s">
        <v>8</v>
      </c>
      <c r="AB9" s="14">
        <f>SUMIFS(Data[Revenue],Data[Region],Region,Data[Month],CurMonth,Data[Year],CurYear,Data[Product Name],'Data Prep'!AA9)</f>
        <v>2334.66</v>
      </c>
      <c r="AC9" s="14">
        <f>SUMIFS(Data[Revenue],Data[Region],Region,Data[Month],PrevMonth,Data[Year],PMYear,Data[Product Name],'Data Prep'!AA9)</f>
        <v>2006.13</v>
      </c>
      <c r="AD9" s="2">
        <f t="shared" si="4"/>
        <v>328.52999999999975</v>
      </c>
      <c r="AE9">
        <f t="shared" si="5"/>
        <v>8</v>
      </c>
      <c r="AF9">
        <f t="shared" si="6"/>
        <v>27</v>
      </c>
    </row>
    <row r="10" spans="1:37" x14ac:dyDescent="0.3">
      <c r="A10" s="9" t="s">
        <v>80</v>
      </c>
      <c r="B10" s="8">
        <f>CurYear-1</f>
        <v>2020</v>
      </c>
      <c r="G10" s="13">
        <v>8</v>
      </c>
      <c r="H10" s="13" t="s">
        <v>93</v>
      </c>
      <c r="I10" s="14">
        <f>SUMIFS(Data[[Revenue]:[Revenue]],Data[[Region]:[Region]],Region,Data[[Month]:[Month]],'Data Prep'!$G10,Data[[Year]:[Year]],'Data Prep'!I$2)</f>
        <v>36202.770000000004</v>
      </c>
      <c r="J10" s="14">
        <f>IF(G10&gt;CurMonth,NA(),SUMIFS(Data[[Revenue]:[Revenue]],Data[[Region]:[Region]],Region,Data[[Month]:[Month]],'Data Prep'!$G10,Data[[Year]:[Year]],'Data Prep'!J$2))</f>
        <v>41270.179999999986</v>
      </c>
      <c r="K10" s="14" t="e">
        <f>IF(G10=CurMonth,J10,NA())</f>
        <v>#N/A</v>
      </c>
      <c r="M10" t="s">
        <v>60</v>
      </c>
      <c r="N10" s="14">
        <f>SUMIFS(Data[Revenue],Data[Store Name],M10,Data[Month],CurMonth,Data[Year],CurYear)</f>
        <v>13879.13</v>
      </c>
      <c r="O10" s="14">
        <f>SUMIFS(Data[Revenue],Data[Store Name],M10,Data[Month],PrevMonth,Data[Year],PMYear)</f>
        <v>13127.479999999996</v>
      </c>
      <c r="P10" s="15">
        <f>N10/O10-1</f>
        <v>5.7257752439920262E-2</v>
      </c>
      <c r="Q10">
        <f t="shared" si="2"/>
        <v>3</v>
      </c>
      <c r="S10">
        <v>8</v>
      </c>
      <c r="T10" t="str">
        <f t="shared" si="3"/>
        <v>O'Hare</v>
      </c>
      <c r="U10" t="str">
        <f>VLOOKUP(T10,Data[[Store Name]:[Region]],2,FALSE)</f>
        <v>Chicago</v>
      </c>
      <c r="V10" s="14">
        <f t="shared" si="3"/>
        <v>18237.980000000003</v>
      </c>
      <c r="W10" s="15">
        <f t="shared" si="3"/>
        <v>-0.3315731431233282</v>
      </c>
      <c r="X10" s="14">
        <f>IF($U10=Region,V10,0)</f>
        <v>0</v>
      </c>
      <c r="Y10" s="15">
        <f>IF($U10=Region,W10,0)</f>
        <v>0</v>
      </c>
      <c r="AA10" t="s">
        <v>17</v>
      </c>
      <c r="AB10" s="14">
        <f>SUMIFS(Data[Revenue],Data[Region],Region,Data[Month],CurMonth,Data[Year],CurYear,Data[Product Name],'Data Prep'!AA10)</f>
        <v>2659.58</v>
      </c>
      <c r="AC10" s="14">
        <f>SUMIFS(Data[Revenue],Data[Region],Region,Data[Month],PrevMonth,Data[Year],PMYear,Data[Product Name],'Data Prep'!AA10)</f>
        <v>3901.45</v>
      </c>
      <c r="AD10" s="2">
        <f t="shared" si="4"/>
        <v>-1241.8699999999999</v>
      </c>
      <c r="AE10">
        <f t="shared" si="5"/>
        <v>33</v>
      </c>
      <c r="AF10">
        <f t="shared" si="6"/>
        <v>2</v>
      </c>
      <c r="AH10" s="11" t="s">
        <v>111</v>
      </c>
      <c r="AI10" s="11"/>
      <c r="AJ10" s="11"/>
      <c r="AK10" s="11"/>
    </row>
    <row r="11" spans="1:37" x14ac:dyDescent="0.3">
      <c r="A11" s="9" t="s">
        <v>81</v>
      </c>
      <c r="B11" s="8">
        <f>IF(CurMonth=1,12,CurMonth-1)</f>
        <v>8</v>
      </c>
      <c r="G11" s="13">
        <v>9</v>
      </c>
      <c r="H11" s="13" t="s">
        <v>94</v>
      </c>
      <c r="I11" s="14">
        <f>SUMIFS(Data[[Revenue]:[Revenue]],Data[[Region]:[Region]],Region,Data[[Month]:[Month]],'Data Prep'!$G11,Data[[Year]:[Year]],'Data Prep'!I$2)</f>
        <v>34881.53</v>
      </c>
      <c r="J11" s="14">
        <f>IF(G11&gt;CurMonth,NA(),SUMIFS(Data[[Revenue]:[Revenue]],Data[[Region]:[Region]],Region,Data[[Month]:[Month]],'Data Prep'!$G11,Data[[Year]:[Year]],'Data Prep'!J$2))</f>
        <v>44041.12999999999</v>
      </c>
      <c r="K11" s="14">
        <f>IF(G11=CurMonth,J11,NA())</f>
        <v>44041.12999999999</v>
      </c>
      <c r="M11" t="s">
        <v>61</v>
      </c>
      <c r="N11" s="14">
        <f>SUMIFS(Data[Revenue],Data[Store Name],M11,Data[Month],CurMonth,Data[Year],CurYear)</f>
        <v>18171.759999999995</v>
      </c>
      <c r="O11" s="14">
        <f>SUMIFS(Data[Revenue],Data[Store Name],M11,Data[Month],PrevMonth,Data[Year],PMYear)</f>
        <v>21919.900000000005</v>
      </c>
      <c r="P11" s="15">
        <f>N11/O11-1</f>
        <v>-0.17099256839675403</v>
      </c>
      <c r="Q11">
        <f t="shared" si="2"/>
        <v>7</v>
      </c>
      <c r="S11">
        <v>9</v>
      </c>
      <c r="T11" t="str">
        <f t="shared" si="3"/>
        <v>Millenium</v>
      </c>
      <c r="U11" t="str">
        <f>VLOOKUP(T11,Data[[Store Name]:[Region]],2,FALSE)</f>
        <v>Chicago</v>
      </c>
      <c r="V11" s="14">
        <f t="shared" si="3"/>
        <v>18238.46</v>
      </c>
      <c r="W11" s="15">
        <f t="shared" si="3"/>
        <v>0.18953874088693379</v>
      </c>
      <c r="X11" s="14">
        <f>IF($U11=Region,V11,0)</f>
        <v>0</v>
      </c>
      <c r="Y11" s="15">
        <f>IF($U11=Region,W11,0)</f>
        <v>0</v>
      </c>
      <c r="AA11" t="s">
        <v>28</v>
      </c>
      <c r="AB11" s="14">
        <f>SUMIFS(Data[Revenue],Data[Region],Region,Data[Month],CurMonth,Data[Year],CurYear,Data[Product Name],'Data Prep'!AA11)</f>
        <v>1424.05</v>
      </c>
      <c r="AC11" s="14">
        <f>SUMIFS(Data[Revenue],Data[Region],Region,Data[Month],PrevMonth,Data[Year],PMYear,Data[Product Name],'Data Prep'!AA11)</f>
        <v>1469.02</v>
      </c>
      <c r="AD11" s="2">
        <f t="shared" si="4"/>
        <v>-44.970000000000027</v>
      </c>
      <c r="AE11">
        <f t="shared" si="5"/>
        <v>22</v>
      </c>
      <c r="AF11">
        <f t="shared" si="6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">
      <c r="A12" s="9" t="s">
        <v>86</v>
      </c>
      <c r="B12" s="8">
        <f>IF(CurMonth=1,PrevYear,CurYear)</f>
        <v>2021</v>
      </c>
      <c r="G12" s="13">
        <v>10</v>
      </c>
      <c r="H12" s="13" t="s">
        <v>95</v>
      </c>
      <c r="I12" s="14">
        <f>SUMIFS(Data[[Revenue]:[Revenue]],Data[[Region]:[Region]],Region,Data[[Month]:[Month]],'Data Prep'!$G12,Data[[Year]:[Year]],'Data Prep'!I$2)</f>
        <v>43505.939999999995</v>
      </c>
      <c r="J12" s="14" t="e">
        <f>IF(G12&gt;CurMonth,NA(),SUMIFS(Data[[Revenue]:[Revenue]],Data[[Region]:[Region]],Region,Data[[Month]:[Month]],'Data Prep'!$G12,Data[[Year]:[Year]],'Data Prep'!J$2))</f>
        <v>#N/A</v>
      </c>
      <c r="K12" s="14" t="e">
        <f>IF(G12=CurMonth,J12,NA())</f>
        <v>#N/A</v>
      </c>
      <c r="M12" t="s">
        <v>57</v>
      </c>
      <c r="N12" s="14">
        <f>SUMIFS(Data[Revenue],Data[Store Name],M12,Data[Month],CurMonth,Data[Year],CurYear)</f>
        <v>18237.980000000003</v>
      </c>
      <c r="O12" s="14">
        <f>SUMIFS(Data[Revenue],Data[Store Name],M12,Data[Month],PrevMonth,Data[Year],PMYear)</f>
        <v>27284.929999999993</v>
      </c>
      <c r="P12" s="15">
        <f>N12/O12-1</f>
        <v>-0.3315731431233282</v>
      </c>
      <c r="Q12">
        <f t="shared" si="2"/>
        <v>8</v>
      </c>
      <c r="S12">
        <v>10</v>
      </c>
      <c r="T12" t="str">
        <f t="shared" si="3"/>
        <v>Times Square</v>
      </c>
      <c r="U12" t="str">
        <f>VLOOKUP(T12,Data[[Store Name]:[Region]],2,FALSE)</f>
        <v>New York</v>
      </c>
      <c r="V12" s="14">
        <f t="shared" si="3"/>
        <v>20484.010000000002</v>
      </c>
      <c r="W12" s="15">
        <f t="shared" si="3"/>
        <v>0.14465033810308014</v>
      </c>
      <c r="X12" s="14">
        <f>IF($U12=Region,V12,0)</f>
        <v>0</v>
      </c>
      <c r="Y12" s="15">
        <f>IF($U12=Region,W12,0)</f>
        <v>0</v>
      </c>
      <c r="AA12" t="s">
        <v>32</v>
      </c>
      <c r="AB12" s="14">
        <f>SUMIFS(Data[Revenue],Data[Region],Region,Data[Month],CurMonth,Data[Year],CurYear,Data[Product Name],'Data Prep'!AA12)</f>
        <v>1329.79</v>
      </c>
      <c r="AC12" s="14">
        <f>SUMIFS(Data[Revenue],Data[Region],Region,Data[Month],PrevMonth,Data[Year],PMYear,Data[Product Name],'Data Prep'!AA12)</f>
        <v>714.34999999999991</v>
      </c>
      <c r="AD12" s="2">
        <f t="shared" si="4"/>
        <v>615.44000000000005</v>
      </c>
      <c r="AE12">
        <f t="shared" si="5"/>
        <v>3</v>
      </c>
      <c r="AF12">
        <f t="shared" si="6"/>
        <v>32</v>
      </c>
      <c r="AH12">
        <v>1</v>
      </c>
      <c r="AI12" t="str">
        <f>INDEX($AA$3:$AD$36,MATCH($AH12,$AF$3:$AF$36,0),MATCH(AI$11,$AA$2:$AD$2,0))</f>
        <v>Rubik's Cube</v>
      </c>
      <c r="AJ12" s="14">
        <f t="shared" ref="AJ12:AK12" si="8">INDEX($AA$3:$AD$36,MATCH($AH12,$AF$3:$AF$36,0),MATCH(AJ$11,$AA$2:$AD$2,0))</f>
        <v>1479.2599999999998</v>
      </c>
      <c r="AK12" s="14">
        <f t="shared" si="8"/>
        <v>-2598.6999999999998</v>
      </c>
    </row>
    <row r="13" spans="1:37" x14ac:dyDescent="0.3">
      <c r="A13" s="9" t="s">
        <v>114</v>
      </c>
      <c r="B13" t="str">
        <f>VLOOKUP(CurMonth,A16:B27,2,0)&amp;" "&amp;CurYear</f>
        <v>September 2021</v>
      </c>
      <c r="G13" s="13">
        <v>11</v>
      </c>
      <c r="H13" s="13" t="s">
        <v>96</v>
      </c>
      <c r="I13" s="14">
        <f>SUMIFS(Data[[Revenue]:[Revenue]],Data[[Region]:[Region]],Region,Data[[Month]:[Month]],'Data Prep'!$G13,Data[[Year]:[Year]],'Data Prep'!I$2)</f>
        <v>43677.41</v>
      </c>
      <c r="J13" s="14" t="e">
        <f>IF(G13&gt;CurMonth,NA(),SUMIFS(Data[[Revenue]:[Revenue]],Data[[Region]:[Region]],Region,Data[[Month]:[Month]],'Data Prep'!$G13,Data[[Year]:[Year]],'Data Prep'!J$2))</f>
        <v>#N/A</v>
      </c>
      <c r="K13" s="14" t="e">
        <f>IF(G13=CurMonth,J13,NA())</f>
        <v>#N/A</v>
      </c>
      <c r="AA13" t="s">
        <v>31</v>
      </c>
      <c r="AB13" s="14">
        <f>SUMIFS(Data[Revenue],Data[Region],Region,Data[Month],CurMonth,Data[Year],CurYear,Data[Product Name],'Data Prep'!AA13)</f>
        <v>1019.4899999999999</v>
      </c>
      <c r="AC13" s="14">
        <f>SUMIFS(Data[Revenue],Data[Region],Region,Data[Month],PrevMonth,Data[Year],PMYear,Data[Product Name],'Data Prep'!AA13)</f>
        <v>919.54</v>
      </c>
      <c r="AD13" s="2">
        <f t="shared" si="4"/>
        <v>99.949999999999932</v>
      </c>
      <c r="AE13">
        <f t="shared" si="5"/>
        <v>11</v>
      </c>
      <c r="AF13">
        <f t="shared" si="6"/>
        <v>24</v>
      </c>
      <c r="AH13">
        <v>2</v>
      </c>
      <c r="AI13" t="str">
        <f t="shared" ref="AI13:AK17" si="9">INDEX($AA$3:$AD$36,MATCH($AH13,$AF$3:$AF$36,0),MATCH(AI$11,$AA$2:$AD$2,0))</f>
        <v>Dino Egg</v>
      </c>
      <c r="AJ13" s="14">
        <f t="shared" si="9"/>
        <v>2659.58</v>
      </c>
      <c r="AK13" s="14">
        <f t="shared" si="9"/>
        <v>-1241.8699999999999</v>
      </c>
    </row>
    <row r="14" spans="1:37" x14ac:dyDescent="0.3">
      <c r="G14" s="13">
        <v>12</v>
      </c>
      <c r="H14" s="13" t="s">
        <v>97</v>
      </c>
      <c r="I14" s="14">
        <f>SUMIFS(Data[[Revenue]:[Revenue]],Data[[Region]:[Region]],Region,Data[[Month]:[Month]],'Data Prep'!$G14,Data[[Year]:[Year]],'Data Prep'!I$2)</f>
        <v>61614.720000000001</v>
      </c>
      <c r="J14" s="14" t="e">
        <f>IF(G14&gt;CurMonth,NA(),SUMIFS(Data[[Revenue]:[Revenue]],Data[[Region]:[Region]],Region,Data[[Month]:[Month]],'Data Prep'!$G14,Data[[Year]:[Year]],'Data Prep'!J$2))</f>
        <v>#N/A</v>
      </c>
      <c r="K14" s="14" t="e">
        <f>IF(G14=CurMonth,J14,NA())</f>
        <v>#N/A</v>
      </c>
      <c r="AA14" t="s">
        <v>15</v>
      </c>
      <c r="AB14" s="14">
        <f>SUMIFS(Data[Revenue],Data[Region],Region,Data[Month],CurMonth,Data[Year],CurYear,Data[Product Name],'Data Prep'!AA14)</f>
        <v>4918.7700000000004</v>
      </c>
      <c r="AC14" s="14">
        <f>SUMIFS(Data[Revenue],Data[Region],Region,Data[Month],PrevMonth,Data[Year],PMYear,Data[Product Name],'Data Prep'!AA14)</f>
        <v>4518.87</v>
      </c>
      <c r="AD14" s="2">
        <f t="shared" si="4"/>
        <v>399.90000000000055</v>
      </c>
      <c r="AE14">
        <f t="shared" si="5"/>
        <v>7</v>
      </c>
      <c r="AF14">
        <f t="shared" si="6"/>
        <v>28</v>
      </c>
      <c r="AH14">
        <v>3</v>
      </c>
      <c r="AI14" t="str">
        <f t="shared" si="9"/>
        <v>Animal Figures</v>
      </c>
      <c r="AJ14" s="14">
        <f t="shared" si="9"/>
        <v>1675.71</v>
      </c>
      <c r="AK14" s="14">
        <f t="shared" si="9"/>
        <v>-1130.1300000000001</v>
      </c>
    </row>
    <row r="15" spans="1:37" x14ac:dyDescent="0.3">
      <c r="A15" s="26" t="s">
        <v>90</v>
      </c>
      <c r="B15" s="27" t="s">
        <v>49</v>
      </c>
      <c r="AA15" t="s">
        <v>71</v>
      </c>
      <c r="AB15" s="14">
        <f>SUMIFS(Data[Revenue],Data[Region],Region,Data[Month],CurMonth,Data[Year],CurYear,Data[Product Name],'Data Prep'!AA15)</f>
        <v>0</v>
      </c>
      <c r="AC15" s="14">
        <f>SUMIFS(Data[Revenue],Data[Region],Region,Data[Month],PrevMonth,Data[Year],PMYear,Data[Product Name],'Data Prep'!AA15)</f>
        <v>0</v>
      </c>
      <c r="AD15" s="2">
        <f t="shared" si="4"/>
        <v>0</v>
      </c>
      <c r="AE15">
        <f t="shared" si="5"/>
        <v>18</v>
      </c>
      <c r="AF15">
        <f t="shared" si="6"/>
        <v>17</v>
      </c>
      <c r="AH15">
        <v>4</v>
      </c>
      <c r="AI15" t="str">
        <f t="shared" si="9"/>
        <v>Dart Gun</v>
      </c>
      <c r="AJ15" s="14">
        <f t="shared" si="9"/>
        <v>575.64</v>
      </c>
      <c r="AK15" s="14">
        <f t="shared" si="9"/>
        <v>-687.57</v>
      </c>
    </row>
    <row r="16" spans="1:37" x14ac:dyDescent="0.3">
      <c r="A16">
        <v>1</v>
      </c>
      <c r="B16" t="s">
        <v>115</v>
      </c>
      <c r="AA16" t="s">
        <v>19</v>
      </c>
      <c r="AB16" s="14">
        <f>SUMIFS(Data[Revenue],Data[Region],Region,Data[Month],CurMonth,Data[Year],CurYear,Data[Product Name],'Data Prep'!AA16)</f>
        <v>179.91</v>
      </c>
      <c r="AC16" s="14">
        <f>SUMIFS(Data[Revenue],Data[Region],Region,Data[Month],PrevMonth,Data[Year],PMYear,Data[Product Name],'Data Prep'!AA16)</f>
        <v>359.82</v>
      </c>
      <c r="AD16" s="2">
        <f t="shared" si="4"/>
        <v>-179.91</v>
      </c>
      <c r="AE16">
        <f t="shared" si="5"/>
        <v>25</v>
      </c>
      <c r="AF16">
        <f t="shared" si="6"/>
        <v>10</v>
      </c>
      <c r="AH16">
        <v>5</v>
      </c>
      <c r="AI16" t="str">
        <f t="shared" si="9"/>
        <v>Nerf Gun</v>
      </c>
      <c r="AJ16" s="14">
        <f t="shared" si="9"/>
        <v>2018.9899999999998</v>
      </c>
      <c r="AK16" s="14">
        <f t="shared" si="9"/>
        <v>-479.75999999999976</v>
      </c>
    </row>
    <row r="17" spans="1:37" x14ac:dyDescent="0.3">
      <c r="A17">
        <v>2</v>
      </c>
      <c r="B17" t="s">
        <v>116</v>
      </c>
      <c r="AA17" t="s">
        <v>27</v>
      </c>
      <c r="AB17" s="14">
        <f>SUMIFS(Data[Revenue],Data[Region],Region,Data[Month],CurMonth,Data[Year],CurYear,Data[Product Name],'Data Prep'!AA17)</f>
        <v>741.5200000000001</v>
      </c>
      <c r="AC17" s="14">
        <f>SUMIFS(Data[Revenue],Data[Region],Region,Data[Month],PrevMonth,Data[Year],PMYear,Data[Product Name],'Data Prep'!AA17)</f>
        <v>986.7</v>
      </c>
      <c r="AD17" s="2">
        <f t="shared" si="4"/>
        <v>-245.17999999999995</v>
      </c>
      <c r="AE17">
        <f t="shared" si="5"/>
        <v>26</v>
      </c>
      <c r="AF17">
        <f t="shared" si="6"/>
        <v>9</v>
      </c>
      <c r="AH17">
        <v>6</v>
      </c>
      <c r="AI17" t="str">
        <f t="shared" si="9"/>
        <v>Plush Pony</v>
      </c>
      <c r="AJ17" s="14">
        <f t="shared" si="9"/>
        <v>379.80999999999995</v>
      </c>
      <c r="AK17" s="14">
        <f t="shared" si="9"/>
        <v>-419.78999999999996</v>
      </c>
    </row>
    <row r="18" spans="1:37" x14ac:dyDescent="0.3">
      <c r="A18">
        <v>3</v>
      </c>
      <c r="B18" t="s">
        <v>117</v>
      </c>
      <c r="AA18" t="s">
        <v>11</v>
      </c>
      <c r="AB18" s="14">
        <f>SUMIFS(Data[Revenue],Data[Region],Region,Data[Month],CurMonth,Data[Year],CurYear,Data[Product Name],'Data Prep'!AA18)</f>
        <v>469.06</v>
      </c>
      <c r="AC18" s="14">
        <f>SUMIFS(Data[Revenue],Data[Region],Region,Data[Month],PrevMonth,Data[Year],PMYear,Data[Product Name],'Data Prep'!AA18)</f>
        <v>29.940000000000005</v>
      </c>
      <c r="AD18" s="2">
        <f t="shared" si="4"/>
        <v>439.12</v>
      </c>
      <c r="AE18">
        <f t="shared" si="5"/>
        <v>6</v>
      </c>
      <c r="AF18">
        <f t="shared" si="6"/>
        <v>29</v>
      </c>
    </row>
    <row r="19" spans="1:37" x14ac:dyDescent="0.3">
      <c r="A19">
        <v>4</v>
      </c>
      <c r="B19" t="s">
        <v>118</v>
      </c>
      <c r="AA19" t="s">
        <v>26</v>
      </c>
      <c r="AB19" s="14">
        <f>SUMIFS(Data[Revenue],Data[Region],Region,Data[Month],CurMonth,Data[Year],CurYear,Data[Product Name],'Data Prep'!AA19)</f>
        <v>1479.2599999999998</v>
      </c>
      <c r="AC19" s="14">
        <f>SUMIFS(Data[Revenue],Data[Region],Region,Data[Month],PrevMonth,Data[Year],PMYear,Data[Product Name],'Data Prep'!AA19)</f>
        <v>4077.9599999999996</v>
      </c>
      <c r="AD19" s="2">
        <f t="shared" si="4"/>
        <v>-2598.6999999999998</v>
      </c>
      <c r="AE19">
        <f t="shared" si="5"/>
        <v>34</v>
      </c>
      <c r="AF19">
        <f t="shared" si="6"/>
        <v>1</v>
      </c>
    </row>
    <row r="20" spans="1:37" x14ac:dyDescent="0.3">
      <c r="A20">
        <v>5</v>
      </c>
      <c r="B20" t="s">
        <v>119</v>
      </c>
      <c r="AA20" t="s">
        <v>6</v>
      </c>
      <c r="AB20" s="14">
        <f>SUMIFS(Data[Revenue],Data[Region],Region,Data[Month],CurMonth,Data[Year],CurYear,Data[Product Name],'Data Prep'!AA20)</f>
        <v>836.07</v>
      </c>
      <c r="AC20" s="14">
        <f>SUMIFS(Data[Revenue],Data[Region],Region,Data[Month],PrevMonth,Data[Year],PMYear,Data[Product Name],'Data Prep'!AA20)</f>
        <v>395.56</v>
      </c>
      <c r="AD20" s="2">
        <f t="shared" si="4"/>
        <v>440.51000000000005</v>
      </c>
      <c r="AE20">
        <f t="shared" si="5"/>
        <v>5</v>
      </c>
      <c r="AF20">
        <f t="shared" si="6"/>
        <v>30</v>
      </c>
    </row>
    <row r="21" spans="1:37" x14ac:dyDescent="0.3">
      <c r="A21">
        <v>6</v>
      </c>
      <c r="B21" t="s">
        <v>120</v>
      </c>
      <c r="AA21" t="s">
        <v>16</v>
      </c>
      <c r="AB21" s="14">
        <f>SUMIFS(Data[Revenue],Data[Region],Region,Data[Month],CurMonth,Data[Year],CurYear,Data[Product Name],'Data Prep'!AA21)</f>
        <v>194.85</v>
      </c>
      <c r="AC21" s="14">
        <f>SUMIFS(Data[Revenue],Data[Region],Region,Data[Month],PrevMonth,Data[Year],PMYear,Data[Product Name],'Data Prep'!AA21)</f>
        <v>142.88999999999999</v>
      </c>
      <c r="AD21" s="2">
        <f t="shared" si="4"/>
        <v>51.960000000000008</v>
      </c>
      <c r="AE21">
        <f t="shared" si="5"/>
        <v>14</v>
      </c>
      <c r="AF21">
        <f t="shared" si="6"/>
        <v>21</v>
      </c>
    </row>
    <row r="22" spans="1:37" x14ac:dyDescent="0.3">
      <c r="A22">
        <v>7</v>
      </c>
      <c r="B22" t="s">
        <v>121</v>
      </c>
      <c r="AA22" t="s">
        <v>23</v>
      </c>
      <c r="AB22" s="14">
        <f>SUMIFS(Data[Revenue],Data[Region],Region,Data[Month],CurMonth,Data[Year],CurYear,Data[Product Name],'Data Prep'!AA22)</f>
        <v>1533.4099999999999</v>
      </c>
      <c r="AC22" s="14">
        <f>SUMIFS(Data[Revenue],Data[Region],Region,Data[Month],PrevMonth,Data[Year],PMYear,Data[Product Name],'Data Prep'!AA22)</f>
        <v>0</v>
      </c>
      <c r="AD22" s="2">
        <f t="shared" si="4"/>
        <v>1533.4099999999999</v>
      </c>
      <c r="AE22">
        <f t="shared" si="5"/>
        <v>2</v>
      </c>
      <c r="AF22">
        <f t="shared" si="6"/>
        <v>33</v>
      </c>
    </row>
    <row r="23" spans="1:37" x14ac:dyDescent="0.3">
      <c r="A23">
        <v>8</v>
      </c>
      <c r="B23" t="s">
        <v>122</v>
      </c>
      <c r="AA23" t="s">
        <v>10</v>
      </c>
      <c r="AB23" s="14">
        <f>SUMIFS(Data[Revenue],Data[Region],Region,Data[Month],CurMonth,Data[Year],CurYear,Data[Product Name],'Data Prep'!AA23)</f>
        <v>2018.9899999999998</v>
      </c>
      <c r="AC23" s="14">
        <f>SUMIFS(Data[Revenue],Data[Region],Region,Data[Month],PrevMonth,Data[Year],PMYear,Data[Product Name],'Data Prep'!AA23)</f>
        <v>2498.7499999999995</v>
      </c>
      <c r="AD23" s="2">
        <f t="shared" si="4"/>
        <v>-479.75999999999976</v>
      </c>
      <c r="AE23">
        <f t="shared" si="5"/>
        <v>30</v>
      </c>
      <c r="AF23">
        <f t="shared" si="6"/>
        <v>5</v>
      </c>
    </row>
    <row r="24" spans="1:37" x14ac:dyDescent="0.3">
      <c r="A24">
        <v>9</v>
      </c>
      <c r="B24" t="s">
        <v>123</v>
      </c>
      <c r="AA24" t="s">
        <v>66</v>
      </c>
      <c r="AB24" s="14">
        <f>SUMIFS(Data[Revenue],Data[Region],Region,Data[Month],CurMonth,Data[Year],CurYear,Data[Product Name],'Data Prep'!AA24)</f>
        <v>0</v>
      </c>
      <c r="AC24" s="14">
        <f>SUMIFS(Data[Revenue],Data[Region],Region,Data[Month],PrevMonth,Data[Year],PMYear,Data[Product Name],'Data Prep'!AA24)</f>
        <v>0</v>
      </c>
      <c r="AD24" s="2">
        <f t="shared" si="4"/>
        <v>0</v>
      </c>
      <c r="AE24">
        <f t="shared" si="5"/>
        <v>18</v>
      </c>
      <c r="AF24">
        <f t="shared" si="6"/>
        <v>17</v>
      </c>
    </row>
    <row r="25" spans="1:37" x14ac:dyDescent="0.3">
      <c r="A25">
        <v>10</v>
      </c>
      <c r="B25" t="s">
        <v>124</v>
      </c>
      <c r="AA25" t="s">
        <v>29</v>
      </c>
      <c r="AB25" s="14">
        <f>SUMIFS(Data[Revenue],Data[Region],Region,Data[Month],CurMonth,Data[Year],CurYear,Data[Product Name],'Data Prep'!AA25)</f>
        <v>0</v>
      </c>
      <c r="AC25" s="14">
        <f>SUMIFS(Data[Revenue],Data[Region],Region,Data[Month],PrevMonth,Data[Year],PMYear,Data[Product Name],'Data Prep'!AA25)</f>
        <v>0</v>
      </c>
      <c r="AD25" s="2">
        <f t="shared" si="4"/>
        <v>0</v>
      </c>
      <c r="AE25">
        <f t="shared" si="5"/>
        <v>18</v>
      </c>
      <c r="AF25">
        <f t="shared" si="6"/>
        <v>17</v>
      </c>
    </row>
    <row r="26" spans="1:37" x14ac:dyDescent="0.3">
      <c r="A26">
        <v>11</v>
      </c>
      <c r="B26" t="s">
        <v>125</v>
      </c>
      <c r="AA26" t="s">
        <v>34</v>
      </c>
      <c r="AB26" s="14">
        <f>SUMIFS(Data[Revenue],Data[Region],Region,Data[Month],CurMonth,Data[Year],CurYear,Data[Product Name],'Data Prep'!AA26)</f>
        <v>1049.3700000000001</v>
      </c>
      <c r="AC26" s="14">
        <f>SUMIFS(Data[Revenue],Data[Region],Region,Data[Month],PrevMonth,Data[Year],PMYear,Data[Product Name],'Data Prep'!AA26)</f>
        <v>957.6</v>
      </c>
      <c r="AD26" s="2">
        <f t="shared" si="4"/>
        <v>91.770000000000095</v>
      </c>
      <c r="AE26">
        <f t="shared" si="5"/>
        <v>12</v>
      </c>
      <c r="AF26">
        <f t="shared" si="6"/>
        <v>23</v>
      </c>
    </row>
    <row r="27" spans="1:37" x14ac:dyDescent="0.3">
      <c r="A27">
        <v>12</v>
      </c>
      <c r="B27" t="s">
        <v>126</v>
      </c>
      <c r="AA27" t="s">
        <v>70</v>
      </c>
      <c r="AB27" s="14">
        <f>SUMIFS(Data[Revenue],Data[Region],Region,Data[Month],CurMonth,Data[Year],CurYear,Data[Product Name],'Data Prep'!AA27)</f>
        <v>0</v>
      </c>
      <c r="AC27" s="14">
        <f>SUMIFS(Data[Revenue],Data[Region],Region,Data[Month],PrevMonth,Data[Year],PMYear,Data[Product Name],'Data Prep'!AA27)</f>
        <v>0</v>
      </c>
      <c r="AD27" s="2">
        <f t="shared" si="4"/>
        <v>0</v>
      </c>
      <c r="AE27">
        <f t="shared" si="5"/>
        <v>18</v>
      </c>
      <c r="AF27">
        <f t="shared" si="6"/>
        <v>17</v>
      </c>
    </row>
    <row r="28" spans="1:37" x14ac:dyDescent="0.3">
      <c r="AA28" t="s">
        <v>67</v>
      </c>
      <c r="AB28" s="14">
        <f>SUMIFS(Data[Revenue],Data[Region],Region,Data[Month],CurMonth,Data[Year],CurYear,Data[Product Name],'Data Prep'!AA28)</f>
        <v>0</v>
      </c>
      <c r="AC28" s="14">
        <f>SUMIFS(Data[Revenue],Data[Region],Region,Data[Month],PrevMonth,Data[Year],PMYear,Data[Product Name],'Data Prep'!AA28)</f>
        <v>0</v>
      </c>
      <c r="AD28" s="2">
        <f t="shared" si="4"/>
        <v>0</v>
      </c>
      <c r="AE28">
        <f t="shared" si="5"/>
        <v>18</v>
      </c>
      <c r="AF28">
        <f t="shared" si="6"/>
        <v>17</v>
      </c>
    </row>
    <row r="29" spans="1:37" x14ac:dyDescent="0.3">
      <c r="AA29" t="s">
        <v>37</v>
      </c>
      <c r="AB29" s="14">
        <f>SUMIFS(Data[Revenue],Data[Region],Region,Data[Month],CurMonth,Data[Year],CurYear,Data[Product Name],'Data Prep'!AA29)</f>
        <v>174.92999999999998</v>
      </c>
      <c r="AC29" s="14">
        <f>SUMIFS(Data[Revenue],Data[Region],Region,Data[Month],PrevMonth,Data[Year],PMYear,Data[Product Name],'Data Prep'!AA29)</f>
        <v>574.77</v>
      </c>
      <c r="AD29" s="2">
        <f t="shared" si="4"/>
        <v>-399.84000000000003</v>
      </c>
      <c r="AE29">
        <f t="shared" si="5"/>
        <v>28</v>
      </c>
      <c r="AF29">
        <f t="shared" si="6"/>
        <v>7</v>
      </c>
    </row>
    <row r="30" spans="1:37" x14ac:dyDescent="0.3">
      <c r="AA30" t="s">
        <v>38</v>
      </c>
      <c r="AB30" s="14">
        <f>SUMIFS(Data[Revenue],Data[Region],Region,Data[Month],CurMonth,Data[Year],CurYear,Data[Product Name],'Data Prep'!AA30)</f>
        <v>0</v>
      </c>
      <c r="AC30" s="14">
        <f>SUMIFS(Data[Revenue],Data[Region],Region,Data[Month],PrevMonth,Data[Year],PMYear,Data[Product Name],'Data Prep'!AA30)</f>
        <v>179.82</v>
      </c>
      <c r="AD30" s="2">
        <f t="shared" si="4"/>
        <v>-179.82</v>
      </c>
      <c r="AE30">
        <f t="shared" si="5"/>
        <v>23.5</v>
      </c>
      <c r="AF30">
        <f t="shared" si="6"/>
        <v>11.5</v>
      </c>
    </row>
    <row r="31" spans="1:37" x14ac:dyDescent="0.3">
      <c r="AA31" t="s">
        <v>39</v>
      </c>
      <c r="AB31" s="14">
        <f>SUMIFS(Data[Revenue],Data[Region],Region,Data[Month],CurMonth,Data[Year],CurYear,Data[Product Name],'Data Prep'!AA31)</f>
        <v>379.80999999999995</v>
      </c>
      <c r="AC31" s="14">
        <f>SUMIFS(Data[Revenue],Data[Region],Region,Data[Month],PrevMonth,Data[Year],PMYear,Data[Product Name],'Data Prep'!AA31)</f>
        <v>799.59999999999991</v>
      </c>
      <c r="AD31" s="2">
        <f t="shared" si="4"/>
        <v>-419.78999999999996</v>
      </c>
      <c r="AE31">
        <f t="shared" si="5"/>
        <v>29</v>
      </c>
      <c r="AF31">
        <f t="shared" si="6"/>
        <v>6</v>
      </c>
    </row>
    <row r="32" spans="1:37" x14ac:dyDescent="0.3">
      <c r="AA32" t="s">
        <v>68</v>
      </c>
      <c r="AB32" s="14">
        <f>SUMIFS(Data[Revenue],Data[Region],Region,Data[Month],CurMonth,Data[Year],CurYear,Data[Product Name],'Data Prep'!AA32)</f>
        <v>0</v>
      </c>
      <c r="AC32" s="14">
        <f>SUMIFS(Data[Revenue],Data[Region],Region,Data[Month],PrevMonth,Data[Year],PMYear,Data[Product Name],'Data Prep'!AA32)</f>
        <v>0</v>
      </c>
      <c r="AD32" s="2">
        <f t="shared" si="4"/>
        <v>0</v>
      </c>
      <c r="AE32">
        <f t="shared" si="5"/>
        <v>18</v>
      </c>
      <c r="AF32">
        <f t="shared" si="6"/>
        <v>17</v>
      </c>
    </row>
    <row r="33" spans="27:32" x14ac:dyDescent="0.3">
      <c r="AA33" t="s">
        <v>42</v>
      </c>
      <c r="AB33" s="14">
        <f>SUMIFS(Data[Revenue],Data[Region],Region,Data[Month],CurMonth,Data[Year],CurYear,Data[Product Name],'Data Prep'!AA33)</f>
        <v>6523.92</v>
      </c>
      <c r="AC33" s="14">
        <f>SUMIFS(Data[Revenue],Data[Region],Region,Data[Month],PrevMonth,Data[Year],PMYear,Data[Product Name],'Data Prep'!AA33)</f>
        <v>3229.9799999999996</v>
      </c>
      <c r="AD33" s="2">
        <f t="shared" si="4"/>
        <v>3293.9400000000005</v>
      </c>
      <c r="AE33">
        <f t="shared" si="5"/>
        <v>1</v>
      </c>
      <c r="AF33">
        <f t="shared" si="6"/>
        <v>34</v>
      </c>
    </row>
    <row r="34" spans="27:32" x14ac:dyDescent="0.3">
      <c r="AA34" t="s">
        <v>41</v>
      </c>
      <c r="AB34" s="14">
        <f>SUMIFS(Data[Revenue],Data[Region],Region,Data[Month],CurMonth,Data[Year],CurYear,Data[Product Name],'Data Prep'!AA34)</f>
        <v>259.74</v>
      </c>
      <c r="AC34" s="14">
        <f>SUMIFS(Data[Revenue],Data[Region],Region,Data[Month],PrevMonth,Data[Year],PMYear,Data[Product Name],'Data Prep'!AA34)</f>
        <v>439.56</v>
      </c>
      <c r="AD34" s="2">
        <f t="shared" si="4"/>
        <v>-179.82</v>
      </c>
      <c r="AE34">
        <f t="shared" si="5"/>
        <v>23.5</v>
      </c>
      <c r="AF34">
        <f t="shared" si="6"/>
        <v>11.5</v>
      </c>
    </row>
    <row r="35" spans="27:32" x14ac:dyDescent="0.3">
      <c r="AA35" t="s">
        <v>43</v>
      </c>
      <c r="AB35" s="14">
        <f>SUMIFS(Data[Revenue],Data[Region],Region,Data[Month],CurMonth,Data[Year],CurYear,Data[Product Name],'Data Prep'!AA35)</f>
        <v>503.76</v>
      </c>
      <c r="AC35" s="14">
        <f>SUMIFS(Data[Revenue],Data[Region],Region,Data[Month],PrevMonth,Data[Year],PMYear,Data[Product Name],'Data Prep'!AA35)</f>
        <v>902.56999999999994</v>
      </c>
      <c r="AD35" s="2">
        <f t="shared" si="4"/>
        <v>-398.80999999999995</v>
      </c>
      <c r="AE35">
        <f t="shared" si="5"/>
        <v>27</v>
      </c>
      <c r="AF35">
        <f t="shared" si="6"/>
        <v>8</v>
      </c>
    </row>
    <row r="36" spans="27:32" x14ac:dyDescent="0.3">
      <c r="AA36" t="s">
        <v>69</v>
      </c>
      <c r="AB36" s="14">
        <f>SUMIFS(Data[Revenue],Data[Region],Region,Data[Month],CurMonth,Data[Year],CurYear,Data[Product Name],'Data Prep'!AA36)</f>
        <v>0</v>
      </c>
      <c r="AC36" s="14">
        <f>SUMIFS(Data[Revenue],Data[Region],Region,Data[Month],PrevMonth,Data[Year],PMYear,Data[Product Name],'Data Prep'!AA36)</f>
        <v>0</v>
      </c>
      <c r="AD36" s="2">
        <f t="shared" si="4"/>
        <v>0</v>
      </c>
      <c r="AE36">
        <f t="shared" si="5"/>
        <v>18</v>
      </c>
      <c r="AF36">
        <f t="shared" si="6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P3:P1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W3:W1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Y3:Y12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E0A7-4D80-4C8F-974B-B26D79123A5F}">
  <dimension ref="B5:T44"/>
  <sheetViews>
    <sheetView showGridLines="0" tabSelected="1" topLeftCell="A18" workbookViewId="0">
      <selection activeCell="I8" sqref="I8"/>
    </sheetView>
  </sheetViews>
  <sheetFormatPr defaultRowHeight="14.4" x14ac:dyDescent="0.3"/>
  <cols>
    <col min="1" max="1" width="3.33203125" customWidth="1"/>
    <col min="2" max="2" width="16.21875" bestFit="1" customWidth="1"/>
    <col min="3" max="3" width="22.6640625" customWidth="1"/>
    <col min="4" max="4" width="21" customWidth="1"/>
    <col min="5" max="5" width="12.77734375" customWidth="1"/>
    <col min="14" max="14" width="5.44140625" customWidth="1"/>
    <col min="15" max="15" width="1.33203125" customWidth="1"/>
    <col min="16" max="16" width="2.6640625" customWidth="1"/>
    <col min="17" max="17" width="21.44140625" customWidth="1"/>
    <col min="18" max="18" width="18.21875" customWidth="1"/>
    <col min="19" max="19" width="22.88671875" customWidth="1"/>
  </cols>
  <sheetData>
    <row r="5" spans="2:20" ht="13.2" customHeight="1" x14ac:dyDescent="0.3"/>
    <row r="6" spans="2:20" hidden="1" x14ac:dyDescent="0.3"/>
    <row r="7" spans="2:20" hidden="1" x14ac:dyDescent="0.3"/>
    <row r="8" spans="2:20" ht="31.2" x14ac:dyDescent="0.6">
      <c r="B8" s="25" t="s">
        <v>113</v>
      </c>
      <c r="C8" s="29" t="s">
        <v>4</v>
      </c>
      <c r="D8" s="16" t="s">
        <v>127</v>
      </c>
      <c r="E8" s="28" t="str">
        <f>'Data Prep'!B13&amp;"?"</f>
        <v>September 2021?</v>
      </c>
    </row>
    <row r="11" spans="2:20" ht="18" customHeight="1" x14ac:dyDescent="0.3"/>
    <row r="12" spans="2:20" ht="18" customHeight="1" x14ac:dyDescent="0.3"/>
    <row r="13" spans="2:20" ht="18" customHeight="1" x14ac:dyDescent="0.3">
      <c r="Q13" s="20" t="s">
        <v>105</v>
      </c>
      <c r="R13" s="21" t="s">
        <v>46</v>
      </c>
      <c r="S13" s="21" t="s">
        <v>112</v>
      </c>
      <c r="T13" s="18"/>
    </row>
    <row r="14" spans="2:20" ht="18" customHeight="1" x14ac:dyDescent="0.3">
      <c r="Q14" s="18" t="str">
        <f>'Data Prep'!AI3</f>
        <v>Magic Sand</v>
      </c>
      <c r="R14" s="19">
        <f>'Data Prep'!AJ3</f>
        <v>6523.92</v>
      </c>
      <c r="S14" s="19">
        <f>'Data Prep'!AK3</f>
        <v>3293.9400000000005</v>
      </c>
      <c r="T14" s="18"/>
    </row>
    <row r="15" spans="2:20" ht="18" customHeight="1" x14ac:dyDescent="0.3">
      <c r="Q15" s="18" t="str">
        <f>'Data Prep'!AI4</f>
        <v>Toy Robot</v>
      </c>
      <c r="R15" s="19">
        <f>'Data Prep'!AJ4</f>
        <v>1533.4099999999999</v>
      </c>
      <c r="S15" s="19">
        <f>'Data Prep'!AK4</f>
        <v>1533.4099999999999</v>
      </c>
      <c r="T15" s="18"/>
    </row>
    <row r="16" spans="2:20" ht="18" customHeight="1" x14ac:dyDescent="0.3">
      <c r="Q16" s="18" t="str">
        <f>'Data Prep'!AI5</f>
        <v>Glass Marbles</v>
      </c>
      <c r="R16" s="19">
        <f>'Data Prep'!AJ5</f>
        <v>1329.79</v>
      </c>
      <c r="S16" s="19">
        <f>'Data Prep'!AK5</f>
        <v>615.44000000000005</v>
      </c>
      <c r="T16" s="18"/>
    </row>
    <row r="17" spans="2:20" ht="18" customHeight="1" x14ac:dyDescent="0.3">
      <c r="Q17" s="18" t="str">
        <f>'Data Prep'!AI6</f>
        <v>Action Figure</v>
      </c>
      <c r="R17" s="19">
        <f>'Data Prep'!AJ6</f>
        <v>1662.96</v>
      </c>
      <c r="S17" s="19">
        <f>'Data Prep'!AK6</f>
        <v>575.63999999999987</v>
      </c>
      <c r="T17" s="18"/>
    </row>
    <row r="18" spans="2:20" ht="18" customHeight="1" x14ac:dyDescent="0.3">
      <c r="B18" s="32" t="str">
        <f>IF('Data Prep'!E6&gt;0,"↑","↓")</f>
        <v>↑</v>
      </c>
      <c r="C18" s="31" t="str">
        <f>IF('Data Prep'!E5&gt;0,"↑","↓")</f>
        <v>↑</v>
      </c>
      <c r="Q18" s="18" t="str">
        <f>'Data Prep'!AI7</f>
        <v>Splash Balls</v>
      </c>
      <c r="R18" s="19">
        <f>'Data Prep'!AJ7</f>
        <v>836.07</v>
      </c>
      <c r="S18" s="19">
        <f>'Data Prep'!AK7</f>
        <v>440.51000000000005</v>
      </c>
      <c r="T18" s="18"/>
    </row>
    <row r="19" spans="2:20" ht="18" customHeight="1" x14ac:dyDescent="0.3">
      <c r="B19" s="32"/>
      <c r="C19" s="31"/>
      <c r="Q19" s="18" t="str">
        <f>'Data Prep'!AI8</f>
        <v>PlayDoh Toolkit</v>
      </c>
      <c r="R19" s="19">
        <f>'Data Prep'!AJ8</f>
        <v>469.06</v>
      </c>
      <c r="S19" s="22">
        <f>'Data Prep'!AK8</f>
        <v>439.12</v>
      </c>
      <c r="T19" s="18"/>
    </row>
    <row r="20" spans="2:20" ht="18" customHeight="1" x14ac:dyDescent="0.65">
      <c r="C20" s="30"/>
      <c r="Q20" s="18"/>
      <c r="R20" s="18"/>
      <c r="S20" s="23">
        <f>SUM(S14:S19)</f>
        <v>6898.06</v>
      </c>
      <c r="T20" s="18"/>
    </row>
    <row r="21" spans="2:20" ht="18" customHeight="1" x14ac:dyDescent="0.3">
      <c r="Q21" s="18"/>
      <c r="R21" s="18"/>
      <c r="S21" s="18"/>
      <c r="T21" s="18"/>
    </row>
    <row r="22" spans="2:20" ht="18" customHeight="1" x14ac:dyDescent="0.3">
      <c r="Q22" s="18"/>
      <c r="R22" s="18"/>
      <c r="S22" s="18"/>
      <c r="T22" s="18"/>
    </row>
    <row r="23" spans="2:20" ht="18" customHeight="1" x14ac:dyDescent="0.3">
      <c r="Q23" s="18"/>
      <c r="R23" s="18"/>
      <c r="S23" s="18"/>
      <c r="T23" s="18"/>
    </row>
    <row r="24" spans="2:20" ht="18" customHeight="1" x14ac:dyDescent="0.3">
      <c r="Q24" s="18"/>
      <c r="R24" s="18"/>
      <c r="S24" s="18"/>
      <c r="T24" s="18"/>
    </row>
    <row r="25" spans="2:20" ht="18" customHeight="1" x14ac:dyDescent="0.3">
      <c r="Q25" s="18"/>
      <c r="R25" s="18"/>
      <c r="S25" s="18"/>
      <c r="T25" s="18"/>
    </row>
    <row r="26" spans="2:20" ht="18" customHeight="1" x14ac:dyDescent="0.3">
      <c r="Q26" s="18"/>
      <c r="R26" s="18"/>
      <c r="S26" s="18"/>
      <c r="T26" s="18"/>
    </row>
    <row r="27" spans="2:20" ht="18" customHeight="1" x14ac:dyDescent="0.3">
      <c r="Q27" s="20" t="s">
        <v>105</v>
      </c>
      <c r="R27" s="21" t="s">
        <v>46</v>
      </c>
      <c r="S27" s="21" t="s">
        <v>112</v>
      </c>
      <c r="T27" s="18"/>
    </row>
    <row r="28" spans="2:20" ht="18" customHeight="1" x14ac:dyDescent="0.3">
      <c r="Q28" s="18" t="str">
        <f>'Data Prep'!AI12</f>
        <v>Rubik's Cube</v>
      </c>
      <c r="R28" s="19">
        <f>'Data Prep'!AJ12</f>
        <v>1479.2599999999998</v>
      </c>
      <c r="S28" s="19">
        <f>'Data Prep'!AK12</f>
        <v>-2598.6999999999998</v>
      </c>
      <c r="T28" s="18"/>
    </row>
    <row r="29" spans="2:20" ht="18" customHeight="1" x14ac:dyDescent="0.3">
      <c r="Q29" s="18" t="str">
        <f>'Data Prep'!AI13</f>
        <v>Dino Egg</v>
      </c>
      <c r="R29" s="19">
        <f>'Data Prep'!AJ13</f>
        <v>2659.58</v>
      </c>
      <c r="S29" s="19">
        <f>'Data Prep'!AK13</f>
        <v>-1241.8699999999999</v>
      </c>
      <c r="T29" s="18"/>
    </row>
    <row r="30" spans="2:20" ht="18" customHeight="1" x14ac:dyDescent="0.3">
      <c r="Q30" s="18" t="str">
        <f>'Data Prep'!AI14</f>
        <v>Animal Figures</v>
      </c>
      <c r="R30" s="19">
        <f>'Data Prep'!AJ14</f>
        <v>1675.71</v>
      </c>
      <c r="S30" s="19">
        <f>'Data Prep'!AK14</f>
        <v>-1130.1300000000001</v>
      </c>
      <c r="T30" s="18"/>
    </row>
    <row r="31" spans="2:20" ht="18" customHeight="1" x14ac:dyDescent="0.3">
      <c r="Q31" s="18" t="str">
        <f>'Data Prep'!AI15</f>
        <v>Dart Gun</v>
      </c>
      <c r="R31" s="19">
        <f>'Data Prep'!AJ15</f>
        <v>575.64</v>
      </c>
      <c r="S31" s="19">
        <f>'Data Prep'!AK15</f>
        <v>-687.57</v>
      </c>
      <c r="T31" s="18"/>
    </row>
    <row r="32" spans="2:20" ht="18" customHeight="1" x14ac:dyDescent="0.3">
      <c r="Q32" s="18" t="str">
        <f>'Data Prep'!AI16</f>
        <v>Nerf Gun</v>
      </c>
      <c r="R32" s="19">
        <f>'Data Prep'!AJ16</f>
        <v>2018.9899999999998</v>
      </c>
      <c r="S32" s="19">
        <f>'Data Prep'!AK16</f>
        <v>-479.75999999999976</v>
      </c>
      <c r="T32" s="18"/>
    </row>
    <row r="33" spans="17:20" ht="18" customHeight="1" x14ac:dyDescent="0.3">
      <c r="Q33" s="18" t="str">
        <f>'Data Prep'!AI17</f>
        <v>Plush Pony</v>
      </c>
      <c r="R33" s="19">
        <f>'Data Prep'!AJ17</f>
        <v>379.80999999999995</v>
      </c>
      <c r="S33" s="22">
        <f>'Data Prep'!AK17</f>
        <v>-419.78999999999996</v>
      </c>
      <c r="T33" s="18"/>
    </row>
    <row r="34" spans="17:20" ht="18" customHeight="1" x14ac:dyDescent="0.3">
      <c r="Q34" s="18"/>
      <c r="R34" s="18"/>
      <c r="S34" s="24">
        <f>SUM(S28:S33)</f>
        <v>-6557.8199999999988</v>
      </c>
      <c r="T34" s="18"/>
    </row>
    <row r="35" spans="17:20" ht="18" customHeight="1" x14ac:dyDescent="0.3">
      <c r="Q35" s="18"/>
      <c r="R35" s="18"/>
      <c r="S35" s="18"/>
      <c r="T35" s="18"/>
    </row>
    <row r="36" spans="17:20" ht="18" customHeight="1" x14ac:dyDescent="0.3">
      <c r="Q36" s="18"/>
      <c r="R36" s="18"/>
      <c r="S36" s="18"/>
      <c r="T36" s="18"/>
    </row>
    <row r="37" spans="17:20" ht="18" customHeight="1" x14ac:dyDescent="0.3">
      <c r="Q37" s="18"/>
      <c r="R37" s="18"/>
      <c r="S37" s="18"/>
      <c r="T37" s="18"/>
    </row>
    <row r="38" spans="17:20" ht="18" customHeight="1" x14ac:dyDescent="0.3">
      <c r="Q38" s="18"/>
      <c r="R38" s="18"/>
      <c r="S38" s="18"/>
      <c r="T38" s="18"/>
    </row>
    <row r="39" spans="17:20" ht="18" customHeight="1" x14ac:dyDescent="0.3">
      <c r="Q39" s="18"/>
      <c r="R39" s="18"/>
      <c r="S39" s="18"/>
      <c r="T39" s="18"/>
    </row>
    <row r="40" spans="17:20" ht="18" customHeight="1" x14ac:dyDescent="0.3">
      <c r="Q40" s="18"/>
      <c r="R40" s="18"/>
      <c r="S40" s="18"/>
      <c r="T40" s="18"/>
    </row>
    <row r="41" spans="17:20" ht="15.6" x14ac:dyDescent="0.3">
      <c r="Q41" s="18"/>
      <c r="R41" s="18"/>
      <c r="S41" s="18"/>
      <c r="T41" s="18"/>
    </row>
    <row r="42" spans="17:20" ht="15.6" x14ac:dyDescent="0.3">
      <c r="Q42" s="18"/>
      <c r="R42" s="18"/>
      <c r="S42" s="18"/>
      <c r="T42" s="18"/>
    </row>
    <row r="43" spans="17:20" ht="15.6" x14ac:dyDescent="0.3">
      <c r="Q43" s="18"/>
      <c r="R43" s="18"/>
      <c r="S43" s="18"/>
      <c r="T43" s="18"/>
    </row>
    <row r="44" spans="17:20" ht="15.6" x14ac:dyDescent="0.3">
      <c r="Q44" s="18"/>
      <c r="R44" s="18"/>
      <c r="S44" s="18"/>
      <c r="T44" s="18"/>
    </row>
  </sheetData>
  <sheetProtection selectLockedCells="1"/>
  <mergeCells count="2">
    <mergeCell ref="B18:B19"/>
    <mergeCell ref="C18:C19"/>
  </mergeCells>
  <conditionalFormatting sqref="S14:S19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S28:S33">
    <cfRule type="colorScale" priority="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1CD485E-9922-4370-BCB4-AEE50ED4AE9F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CED93057-3316-42BF-87E5-D80A63294FDD}">
            <xm:f>'Data Prep'!$E$6&lt;0</xm:f>
            <x14:dxf>
              <font>
                <color rgb="FFFF0000"/>
              </font>
            </x14:dxf>
          </x14:cfRule>
          <xm:sqref>B18:B19</xm:sqref>
        </x14:conditionalFormatting>
        <x14:conditionalFormatting xmlns:xm="http://schemas.microsoft.com/office/excel/2006/main">
          <x14:cfRule type="expression" priority="2" id="{84200D39-CF2D-4D3A-A715-358A9599D997}">
            <xm:f>'Data Prep'!$E$5&gt;0</xm:f>
            <x14:dxf>
              <font>
                <b/>
                <i val="0"/>
                <color theme="9" tint="-0.24994659260841701"/>
              </font>
            </x14:dxf>
          </x14:cfRule>
          <x14:cfRule type="expression" priority="1" id="{093D5E85-3239-4A55-AAE6-775A4A078199}">
            <xm:f>'Data Prep'!$E$5&lt;0</xm:f>
            <x14:dxf>
              <font>
                <b/>
                <i val="0"/>
                <color rgb="FFFF0000"/>
              </font>
            </x14:dxf>
          </x14:cfRule>
          <xm:sqref>C18:C19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F977C-037F-4148-B95E-F0A2E84AA659}">
          <x14:formula1>
            <xm:f>'Data Prep'!$A$3:$A$5</xm:f>
          </x14:formula1>
          <xm:sqref>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31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22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Julie McDaniel</cp:lastModifiedBy>
  <dcterms:created xsi:type="dcterms:W3CDTF">2021-07-16T18:17:37Z</dcterms:created>
  <dcterms:modified xsi:type="dcterms:W3CDTF">2023-02-13T18:51:43Z</dcterms:modified>
</cp:coreProperties>
</file>