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\Desktop\"/>
    </mc:Choice>
  </mc:AlternateContent>
  <xr:revisionPtr revIDLastSave="0" documentId="13_ncr:1_{DAADE0A5-0EBF-435D-96DA-1D61AAC8E365}" xr6:coauthVersionLast="47" xr6:coauthVersionMax="47" xr10:uidLastSave="{00000000-0000-0000-0000-000000000000}"/>
  <bookViews>
    <workbookView xWindow="20370" yWindow="-2205" windowWidth="29040" windowHeight="15840" xr2:uid="{804FB9DE-0897-40DF-BBBD-E3E78383AFB8}"/>
  </bookViews>
  <sheets>
    <sheet name="Merma separada" sheetId="1" r:id="rId1"/>
    <sheet name="grafica" sheetId="3" r:id="rId2"/>
    <sheet name="LListat referències" sheetId="2" r:id="rId3"/>
    <sheet name="Merma Total" sheetId="4" r:id="rId4"/>
  </sheets>
  <definedNames>
    <definedName name="_xlnm._FilterDatabase" localSheetId="2" hidden="1">'LListat referències'!$A$1:$D$455</definedName>
  </definedNames>
  <calcPr calcId="191029"/>
  <pivotCaches>
    <pivotCache cacheId="4" r:id="rId5"/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82" i="1" l="1"/>
  <c r="E482" i="1"/>
  <c r="F482" i="1"/>
  <c r="P482" i="1"/>
  <c r="I482" i="1" s="1"/>
  <c r="R482" i="1"/>
  <c r="D470" i="1"/>
  <c r="E470" i="1"/>
  <c r="F470" i="1"/>
  <c r="P470" i="1"/>
  <c r="I470" i="1" s="1"/>
  <c r="R470" i="1"/>
  <c r="D472" i="1"/>
  <c r="E472" i="1"/>
  <c r="F472" i="1"/>
  <c r="P472" i="1"/>
  <c r="I472" i="1" s="1"/>
  <c r="R472" i="1"/>
  <c r="D473" i="1"/>
  <c r="E473" i="1"/>
  <c r="F473" i="1"/>
  <c r="P473" i="1"/>
  <c r="I473" i="1" s="1"/>
  <c r="R473" i="1"/>
  <c r="D474" i="1"/>
  <c r="E474" i="1"/>
  <c r="F474" i="1"/>
  <c r="P474" i="1"/>
  <c r="I474" i="1" s="1"/>
  <c r="R474" i="1"/>
  <c r="D475" i="1"/>
  <c r="E475" i="1"/>
  <c r="F475" i="1"/>
  <c r="P475" i="1"/>
  <c r="I475" i="1" s="1"/>
  <c r="R475" i="1"/>
  <c r="D476" i="1"/>
  <c r="E476" i="1"/>
  <c r="F476" i="1"/>
  <c r="P476" i="1"/>
  <c r="I476" i="1" s="1"/>
  <c r="R476" i="1"/>
  <c r="D477" i="1"/>
  <c r="E477" i="1"/>
  <c r="F477" i="1"/>
  <c r="P477" i="1"/>
  <c r="I477" i="1" s="1"/>
  <c r="R477" i="1"/>
  <c r="D478" i="1"/>
  <c r="E478" i="1"/>
  <c r="F478" i="1"/>
  <c r="P478" i="1"/>
  <c r="I478" i="1" s="1"/>
  <c r="R478" i="1"/>
  <c r="D471" i="1"/>
  <c r="E471" i="1"/>
  <c r="F471" i="1"/>
  <c r="P471" i="1"/>
  <c r="I471" i="1" s="1"/>
  <c r="R471" i="1"/>
  <c r="D479" i="1"/>
  <c r="E479" i="1"/>
  <c r="F479" i="1"/>
  <c r="P479" i="1"/>
  <c r="I479" i="1" s="1"/>
  <c r="R479" i="1"/>
  <c r="D480" i="1"/>
  <c r="E480" i="1"/>
  <c r="F480" i="1"/>
  <c r="P480" i="1"/>
  <c r="I480" i="1" s="1"/>
  <c r="R480" i="1"/>
  <c r="D465" i="1"/>
  <c r="E465" i="1"/>
  <c r="F465" i="1"/>
  <c r="P465" i="1"/>
  <c r="I465" i="1" s="1"/>
  <c r="R465" i="1"/>
  <c r="D466" i="1"/>
  <c r="E466" i="1"/>
  <c r="F466" i="1"/>
  <c r="P466" i="1"/>
  <c r="I466" i="1" s="1"/>
  <c r="R466" i="1"/>
  <c r="D467" i="1"/>
  <c r="E467" i="1"/>
  <c r="F467" i="1"/>
  <c r="P467" i="1"/>
  <c r="I467" i="1" s="1"/>
  <c r="R467" i="1"/>
  <c r="D464" i="1"/>
  <c r="E464" i="1"/>
  <c r="F464" i="1"/>
  <c r="P464" i="1"/>
  <c r="I464" i="1" s="1"/>
  <c r="R464" i="1"/>
  <c r="D468" i="1"/>
  <c r="E468" i="1"/>
  <c r="F468" i="1"/>
  <c r="P468" i="1"/>
  <c r="I468" i="1" s="1"/>
  <c r="R468" i="1"/>
  <c r="D463" i="1"/>
  <c r="E463" i="1"/>
  <c r="F463" i="1"/>
  <c r="P463" i="1"/>
  <c r="I463" i="1" s="1"/>
  <c r="R463" i="1"/>
  <c r="D469" i="1"/>
  <c r="E469" i="1"/>
  <c r="F469" i="1"/>
  <c r="P469" i="1"/>
  <c r="I469" i="1" s="1"/>
  <c r="R469" i="1"/>
  <c r="D481" i="1"/>
  <c r="E481" i="1"/>
  <c r="F481" i="1"/>
  <c r="P481" i="1"/>
  <c r="I481" i="1" s="1"/>
  <c r="R481" i="1"/>
  <c r="D458" i="1"/>
  <c r="E458" i="1"/>
  <c r="F458" i="1"/>
  <c r="P458" i="1"/>
  <c r="I458" i="1" s="1"/>
  <c r="R458" i="1"/>
  <c r="D459" i="1"/>
  <c r="E459" i="1"/>
  <c r="F459" i="1"/>
  <c r="P459" i="1"/>
  <c r="I459" i="1" s="1"/>
  <c r="R459" i="1"/>
  <c r="D460" i="1"/>
  <c r="E460" i="1"/>
  <c r="F460" i="1"/>
  <c r="P460" i="1"/>
  <c r="I460" i="1" s="1"/>
  <c r="R460" i="1"/>
  <c r="D452" i="1"/>
  <c r="E452" i="1"/>
  <c r="F452" i="1"/>
  <c r="P452" i="1"/>
  <c r="I452" i="1" s="1"/>
  <c r="R452" i="1"/>
  <c r="D453" i="1"/>
  <c r="E453" i="1"/>
  <c r="F453" i="1"/>
  <c r="P453" i="1"/>
  <c r="I453" i="1" s="1"/>
  <c r="R453" i="1"/>
  <c r="D454" i="1"/>
  <c r="E454" i="1"/>
  <c r="F454" i="1"/>
  <c r="P454" i="1"/>
  <c r="I454" i="1" s="1"/>
  <c r="R454" i="1"/>
  <c r="D455" i="1"/>
  <c r="E455" i="1"/>
  <c r="F455" i="1"/>
  <c r="P455" i="1"/>
  <c r="I455" i="1" s="1"/>
  <c r="R455" i="1"/>
  <c r="D456" i="1"/>
  <c r="E456" i="1"/>
  <c r="F456" i="1"/>
  <c r="P456" i="1"/>
  <c r="I456" i="1" s="1"/>
  <c r="R456" i="1"/>
  <c r="D457" i="1"/>
  <c r="E457" i="1"/>
  <c r="F457" i="1"/>
  <c r="P457" i="1"/>
  <c r="I457" i="1" s="1"/>
  <c r="R457" i="1"/>
  <c r="D444" i="1"/>
  <c r="E444" i="1"/>
  <c r="P444" i="1"/>
  <c r="I444" i="1" s="1"/>
  <c r="R444" i="1"/>
  <c r="D445" i="1"/>
  <c r="E445" i="1"/>
  <c r="P445" i="1"/>
  <c r="I445" i="1" s="1"/>
  <c r="R445" i="1"/>
  <c r="D446" i="1"/>
  <c r="E446" i="1"/>
  <c r="P446" i="1"/>
  <c r="I446" i="1" s="1"/>
  <c r="R446" i="1"/>
  <c r="D447" i="1"/>
  <c r="E447" i="1"/>
  <c r="P447" i="1"/>
  <c r="I447" i="1" s="1"/>
  <c r="R447" i="1"/>
  <c r="D448" i="1"/>
  <c r="E448" i="1"/>
  <c r="P448" i="1"/>
  <c r="I448" i="1" s="1"/>
  <c r="R448" i="1"/>
  <c r="D449" i="1"/>
  <c r="E449" i="1"/>
  <c r="P449" i="1"/>
  <c r="I449" i="1" s="1"/>
  <c r="R449" i="1"/>
  <c r="D450" i="1"/>
  <c r="E450" i="1"/>
  <c r="P450" i="1"/>
  <c r="I450" i="1" s="1"/>
  <c r="R450" i="1"/>
  <c r="F29" i="1"/>
  <c r="D439" i="1"/>
  <c r="E439" i="1"/>
  <c r="F439" i="1"/>
  <c r="P439" i="1"/>
  <c r="I439" i="1" s="1"/>
  <c r="R439" i="1"/>
  <c r="D440" i="1"/>
  <c r="E440" i="1"/>
  <c r="F440" i="1"/>
  <c r="P440" i="1"/>
  <c r="I440" i="1" s="1"/>
  <c r="R440" i="1"/>
  <c r="D441" i="1"/>
  <c r="E441" i="1"/>
  <c r="F441" i="1"/>
  <c r="P441" i="1"/>
  <c r="I441" i="1" s="1"/>
  <c r="R441" i="1"/>
  <c r="D442" i="1"/>
  <c r="E442" i="1"/>
  <c r="F442" i="1"/>
  <c r="P442" i="1"/>
  <c r="R442" i="1"/>
  <c r="D443" i="1"/>
  <c r="E443" i="1"/>
  <c r="P443" i="1"/>
  <c r="I443" i="1" s="1"/>
  <c r="R443" i="1"/>
  <c r="D435" i="1"/>
  <c r="E435" i="1"/>
  <c r="F435" i="1"/>
  <c r="P435" i="1"/>
  <c r="I435" i="1" s="1"/>
  <c r="R435" i="1"/>
  <c r="D436" i="1"/>
  <c r="E436" i="1"/>
  <c r="F436" i="1"/>
  <c r="P436" i="1"/>
  <c r="I436" i="1" s="1"/>
  <c r="R436" i="1"/>
  <c r="D437" i="1"/>
  <c r="E437" i="1"/>
  <c r="F437" i="1"/>
  <c r="P437" i="1"/>
  <c r="I437" i="1" s="1"/>
  <c r="R437" i="1"/>
  <c r="D451" i="1"/>
  <c r="E451" i="1"/>
  <c r="F451" i="1"/>
  <c r="P451" i="1"/>
  <c r="I451" i="1" s="1"/>
  <c r="R451" i="1"/>
  <c r="D438" i="1"/>
  <c r="E438" i="1"/>
  <c r="F438" i="1"/>
  <c r="P438" i="1"/>
  <c r="I438" i="1" s="1"/>
  <c r="R438" i="1"/>
  <c r="D461" i="1"/>
  <c r="E461" i="1"/>
  <c r="F461" i="1"/>
  <c r="P461" i="1"/>
  <c r="I461" i="1" s="1"/>
  <c r="R461" i="1"/>
  <c r="D427" i="1"/>
  <c r="E427" i="1"/>
  <c r="F427" i="1"/>
  <c r="P427" i="1"/>
  <c r="I427" i="1" s="1"/>
  <c r="R427" i="1"/>
  <c r="D428" i="1"/>
  <c r="E428" i="1"/>
  <c r="F428" i="1"/>
  <c r="P428" i="1"/>
  <c r="I428" i="1" s="1"/>
  <c r="R428" i="1"/>
  <c r="D425" i="1"/>
  <c r="E425" i="1"/>
  <c r="F425" i="1"/>
  <c r="P425" i="1"/>
  <c r="I425" i="1" s="1"/>
  <c r="R425" i="1"/>
  <c r="D429" i="1"/>
  <c r="E429" i="1"/>
  <c r="F429" i="1"/>
  <c r="P429" i="1"/>
  <c r="I429" i="1" s="1"/>
  <c r="R429" i="1"/>
  <c r="D430" i="1"/>
  <c r="E430" i="1"/>
  <c r="F430" i="1"/>
  <c r="P430" i="1"/>
  <c r="I430" i="1" s="1"/>
  <c r="R430" i="1"/>
  <c r="D431" i="1"/>
  <c r="E431" i="1"/>
  <c r="F431" i="1"/>
  <c r="P431" i="1"/>
  <c r="I431" i="1" s="1"/>
  <c r="R431" i="1"/>
  <c r="D432" i="1"/>
  <c r="E432" i="1"/>
  <c r="F432" i="1"/>
  <c r="P432" i="1"/>
  <c r="I432" i="1" s="1"/>
  <c r="R432" i="1"/>
  <c r="D433" i="1"/>
  <c r="E433" i="1"/>
  <c r="F433" i="1"/>
  <c r="P433" i="1"/>
  <c r="I433" i="1" s="1"/>
  <c r="R433" i="1"/>
  <c r="D421" i="1"/>
  <c r="E421" i="1"/>
  <c r="F421" i="1"/>
  <c r="P421" i="1"/>
  <c r="I421" i="1" s="1"/>
  <c r="R421" i="1"/>
  <c r="D422" i="1"/>
  <c r="E422" i="1"/>
  <c r="F422" i="1"/>
  <c r="P422" i="1"/>
  <c r="I422" i="1" s="1"/>
  <c r="R422" i="1"/>
  <c r="D423" i="1"/>
  <c r="E423" i="1"/>
  <c r="F423" i="1"/>
  <c r="P423" i="1"/>
  <c r="I423" i="1" s="1"/>
  <c r="R423" i="1"/>
  <c r="D424" i="1"/>
  <c r="E424" i="1"/>
  <c r="F424" i="1"/>
  <c r="P424" i="1"/>
  <c r="I424" i="1" s="1"/>
  <c r="R424" i="1"/>
  <c r="D426" i="1"/>
  <c r="E426" i="1"/>
  <c r="F426" i="1"/>
  <c r="P426" i="1"/>
  <c r="I426" i="1" s="1"/>
  <c r="R426" i="1"/>
  <c r="D420" i="1"/>
  <c r="E420" i="1"/>
  <c r="F420" i="1"/>
  <c r="P420" i="1"/>
  <c r="I420" i="1" s="1"/>
  <c r="R420" i="1"/>
  <c r="D434" i="1"/>
  <c r="E434" i="1"/>
  <c r="F434" i="1"/>
  <c r="P434" i="1"/>
  <c r="I434" i="1" s="1"/>
  <c r="R434" i="1"/>
  <c r="D414" i="1"/>
  <c r="E414" i="1"/>
  <c r="F414" i="1"/>
  <c r="P414" i="1"/>
  <c r="I414" i="1" s="1"/>
  <c r="R414" i="1"/>
  <c r="D415" i="1"/>
  <c r="E415" i="1"/>
  <c r="F415" i="1"/>
  <c r="P415" i="1"/>
  <c r="I415" i="1" s="1"/>
  <c r="R415" i="1"/>
  <c r="D418" i="1"/>
  <c r="E418" i="1"/>
  <c r="F418" i="1"/>
  <c r="P418" i="1"/>
  <c r="I418" i="1" s="1"/>
  <c r="R418" i="1"/>
  <c r="D97" i="1"/>
  <c r="D130" i="1"/>
  <c r="D146" i="1"/>
  <c r="D155" i="1"/>
  <c r="D162" i="1"/>
  <c r="D413" i="1"/>
  <c r="E413" i="1"/>
  <c r="F413" i="1"/>
  <c r="P413" i="1"/>
  <c r="I413" i="1" s="1"/>
  <c r="R413" i="1"/>
  <c r="D416" i="1"/>
  <c r="E416" i="1"/>
  <c r="F416" i="1"/>
  <c r="P416" i="1"/>
  <c r="I416" i="1" s="1"/>
  <c r="R416" i="1"/>
  <c r="D417" i="1"/>
  <c r="E417" i="1"/>
  <c r="F417" i="1"/>
  <c r="P417" i="1"/>
  <c r="I417" i="1" s="1"/>
  <c r="R417" i="1"/>
  <c r="D419" i="1"/>
  <c r="E419" i="1"/>
  <c r="F419" i="1"/>
  <c r="P419" i="1"/>
  <c r="I419" i="1" s="1"/>
  <c r="R419" i="1"/>
  <c r="D409" i="1"/>
  <c r="E409" i="1"/>
  <c r="P409" i="1"/>
  <c r="I409" i="1" s="1"/>
  <c r="R409" i="1"/>
  <c r="D406" i="1"/>
  <c r="E406" i="1"/>
  <c r="P406" i="1"/>
  <c r="I406" i="1" s="1"/>
  <c r="R406" i="1"/>
  <c r="S406" i="1" s="1"/>
  <c r="D407" i="1"/>
  <c r="E407" i="1"/>
  <c r="P407" i="1"/>
  <c r="I407" i="1" s="1"/>
  <c r="R407" i="1"/>
  <c r="D408" i="1"/>
  <c r="E408" i="1"/>
  <c r="P408" i="1"/>
  <c r="I408" i="1" s="1"/>
  <c r="R408" i="1"/>
  <c r="D410" i="1"/>
  <c r="E410" i="1"/>
  <c r="P410" i="1"/>
  <c r="I410" i="1" s="1"/>
  <c r="R410" i="1"/>
  <c r="D411" i="1"/>
  <c r="E411" i="1"/>
  <c r="P411" i="1"/>
  <c r="I411" i="1" s="1"/>
  <c r="R411" i="1"/>
  <c r="D412" i="1"/>
  <c r="E412" i="1"/>
  <c r="F412" i="1"/>
  <c r="P412" i="1"/>
  <c r="I412" i="1" s="1"/>
  <c r="R412" i="1"/>
  <c r="D400" i="1"/>
  <c r="E400" i="1"/>
  <c r="F400" i="1"/>
  <c r="P400" i="1"/>
  <c r="I400" i="1" s="1"/>
  <c r="R400" i="1"/>
  <c r="D401" i="1"/>
  <c r="E401" i="1"/>
  <c r="F401" i="1"/>
  <c r="P401" i="1"/>
  <c r="I401" i="1" s="1"/>
  <c r="R401" i="1"/>
  <c r="D399" i="1"/>
  <c r="E399" i="1"/>
  <c r="F399" i="1"/>
  <c r="P399" i="1"/>
  <c r="I399" i="1" s="1"/>
  <c r="R399" i="1"/>
  <c r="D402" i="1"/>
  <c r="E402" i="1"/>
  <c r="F402" i="1"/>
  <c r="P402" i="1"/>
  <c r="I402" i="1" s="1"/>
  <c r="R402" i="1"/>
  <c r="D403" i="1"/>
  <c r="E403" i="1"/>
  <c r="F403" i="1"/>
  <c r="P403" i="1"/>
  <c r="I403" i="1" s="1"/>
  <c r="R403" i="1"/>
  <c r="D404" i="1"/>
  <c r="E404" i="1"/>
  <c r="F404" i="1"/>
  <c r="P404" i="1"/>
  <c r="I404" i="1" s="1"/>
  <c r="R404" i="1"/>
  <c r="D398" i="1"/>
  <c r="E398" i="1"/>
  <c r="F398" i="1"/>
  <c r="P398" i="1"/>
  <c r="I398" i="1" s="1"/>
  <c r="R398" i="1"/>
  <c r="D405" i="1"/>
  <c r="E405" i="1"/>
  <c r="P405" i="1"/>
  <c r="I405" i="1" s="1"/>
  <c r="R405" i="1"/>
  <c r="D462" i="1"/>
  <c r="E462" i="1"/>
  <c r="F462" i="1"/>
  <c r="P462" i="1"/>
  <c r="I462" i="1" s="1"/>
  <c r="R462" i="1"/>
  <c r="D390" i="1"/>
  <c r="E390" i="1"/>
  <c r="F390" i="1"/>
  <c r="P390" i="1"/>
  <c r="I390" i="1" s="1"/>
  <c r="R390" i="1"/>
  <c r="D391" i="1"/>
  <c r="E391" i="1"/>
  <c r="F391" i="1"/>
  <c r="P391" i="1"/>
  <c r="I391" i="1" s="1"/>
  <c r="R391" i="1"/>
  <c r="D392" i="1"/>
  <c r="E392" i="1"/>
  <c r="F392" i="1"/>
  <c r="P392" i="1"/>
  <c r="I392" i="1" s="1"/>
  <c r="R392" i="1"/>
  <c r="D388" i="1"/>
  <c r="E388" i="1"/>
  <c r="F388" i="1"/>
  <c r="P388" i="1"/>
  <c r="I388" i="1" s="1"/>
  <c r="R388" i="1"/>
  <c r="D389" i="1"/>
  <c r="E389" i="1"/>
  <c r="F389" i="1"/>
  <c r="P389" i="1"/>
  <c r="I389" i="1" s="1"/>
  <c r="R389" i="1"/>
  <c r="D387" i="1"/>
  <c r="E387" i="1"/>
  <c r="F387" i="1"/>
  <c r="P387" i="1"/>
  <c r="I387" i="1" s="1"/>
  <c r="R387" i="1"/>
  <c r="D393" i="1"/>
  <c r="E393" i="1"/>
  <c r="F393" i="1"/>
  <c r="P393" i="1"/>
  <c r="I393" i="1" s="1"/>
  <c r="R393" i="1"/>
  <c r="D394" i="1"/>
  <c r="E394" i="1"/>
  <c r="F394" i="1"/>
  <c r="P394" i="1"/>
  <c r="I394" i="1" s="1"/>
  <c r="R394" i="1"/>
  <c r="D395" i="1"/>
  <c r="E395" i="1"/>
  <c r="F395" i="1"/>
  <c r="P395" i="1"/>
  <c r="I395" i="1" s="1"/>
  <c r="R395" i="1"/>
  <c r="D396" i="1"/>
  <c r="E396" i="1"/>
  <c r="F396" i="1"/>
  <c r="P396" i="1"/>
  <c r="I396" i="1" s="1"/>
  <c r="R396" i="1"/>
  <c r="Q483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30" i="1"/>
  <c r="R131" i="1"/>
  <c r="R132" i="1"/>
  <c r="R133" i="1"/>
  <c r="R134" i="1"/>
  <c r="R135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97" i="1"/>
  <c r="D378" i="1"/>
  <c r="E378" i="1"/>
  <c r="F378" i="1"/>
  <c r="P378" i="1"/>
  <c r="I378" i="1" s="1"/>
  <c r="D379" i="1"/>
  <c r="E379" i="1"/>
  <c r="F379" i="1"/>
  <c r="P379" i="1"/>
  <c r="I379" i="1" s="1"/>
  <c r="D380" i="1"/>
  <c r="E380" i="1"/>
  <c r="F380" i="1"/>
  <c r="P380" i="1"/>
  <c r="I380" i="1" s="1"/>
  <c r="D381" i="1"/>
  <c r="E381" i="1"/>
  <c r="F381" i="1"/>
  <c r="P381" i="1"/>
  <c r="I381" i="1" s="1"/>
  <c r="D377" i="1"/>
  <c r="E377" i="1"/>
  <c r="F377" i="1"/>
  <c r="P377" i="1"/>
  <c r="I377" i="1" s="1"/>
  <c r="D382" i="1"/>
  <c r="E382" i="1"/>
  <c r="F382" i="1"/>
  <c r="P382" i="1"/>
  <c r="I382" i="1" s="1"/>
  <c r="D383" i="1"/>
  <c r="E383" i="1"/>
  <c r="F383" i="1"/>
  <c r="P383" i="1"/>
  <c r="I383" i="1" s="1"/>
  <c r="D384" i="1"/>
  <c r="E384" i="1"/>
  <c r="F384" i="1"/>
  <c r="P384" i="1"/>
  <c r="I384" i="1" s="1"/>
  <c r="D385" i="1"/>
  <c r="E385" i="1"/>
  <c r="F385" i="1"/>
  <c r="P385" i="1"/>
  <c r="I385" i="1" s="1"/>
  <c r="D386" i="1"/>
  <c r="E386" i="1"/>
  <c r="F386" i="1"/>
  <c r="P386" i="1"/>
  <c r="I386" i="1" s="1"/>
  <c r="D371" i="1"/>
  <c r="E371" i="1"/>
  <c r="F371" i="1"/>
  <c r="I371" i="1"/>
  <c r="D372" i="1"/>
  <c r="E372" i="1"/>
  <c r="F372" i="1"/>
  <c r="I372" i="1"/>
  <c r="D373" i="1"/>
  <c r="E373" i="1"/>
  <c r="F373" i="1"/>
  <c r="I373" i="1"/>
  <c r="D370" i="1"/>
  <c r="E370" i="1"/>
  <c r="F370" i="1"/>
  <c r="I370" i="1"/>
  <c r="D374" i="1"/>
  <c r="E374" i="1"/>
  <c r="F374" i="1"/>
  <c r="I374" i="1"/>
  <c r="D375" i="1"/>
  <c r="E375" i="1"/>
  <c r="F375" i="1"/>
  <c r="I375" i="1"/>
  <c r="D369" i="1"/>
  <c r="E369" i="1"/>
  <c r="F369" i="1"/>
  <c r="I369" i="1"/>
  <c r="D376" i="1"/>
  <c r="E376" i="1"/>
  <c r="F376" i="1"/>
  <c r="P376" i="1"/>
  <c r="I376" i="1" s="1"/>
  <c r="P354" i="1"/>
  <c r="I354" i="1" s="1"/>
  <c r="F354" i="1"/>
  <c r="E354" i="1"/>
  <c r="D354" i="1"/>
  <c r="D358" i="1"/>
  <c r="E358" i="1"/>
  <c r="F358" i="1"/>
  <c r="P358" i="1"/>
  <c r="D356" i="1"/>
  <c r="E356" i="1"/>
  <c r="F356" i="1"/>
  <c r="P356" i="1"/>
  <c r="I356" i="1" s="1"/>
  <c r="D352" i="1"/>
  <c r="E352" i="1"/>
  <c r="F352" i="1"/>
  <c r="P352" i="1"/>
  <c r="I352" i="1" s="1"/>
  <c r="D353" i="1"/>
  <c r="E353" i="1"/>
  <c r="F353" i="1"/>
  <c r="P353" i="1"/>
  <c r="I353" i="1" s="1"/>
  <c r="D357" i="1"/>
  <c r="E357" i="1"/>
  <c r="F357" i="1"/>
  <c r="P357" i="1"/>
  <c r="I357" i="1" s="1"/>
  <c r="D359" i="1"/>
  <c r="E359" i="1"/>
  <c r="F359" i="1"/>
  <c r="P359" i="1"/>
  <c r="I359" i="1" s="1"/>
  <c r="D360" i="1"/>
  <c r="E360" i="1"/>
  <c r="F360" i="1"/>
  <c r="P360" i="1"/>
  <c r="I360" i="1" s="1"/>
  <c r="D361" i="1"/>
  <c r="E361" i="1"/>
  <c r="F361" i="1"/>
  <c r="P361" i="1"/>
  <c r="I361" i="1" s="1"/>
  <c r="D362" i="1"/>
  <c r="E362" i="1"/>
  <c r="F362" i="1"/>
  <c r="P362" i="1"/>
  <c r="I362" i="1" s="1"/>
  <c r="D363" i="1"/>
  <c r="E363" i="1"/>
  <c r="F363" i="1"/>
  <c r="P363" i="1"/>
  <c r="I363" i="1" s="1"/>
  <c r="I93" i="1"/>
  <c r="S482" i="1" l="1"/>
  <c r="S470" i="1"/>
  <c r="U470" i="1" s="1"/>
  <c r="S465" i="1"/>
  <c r="U465" i="1" s="1"/>
  <c r="U482" i="1"/>
  <c r="S466" i="1"/>
  <c r="S477" i="1"/>
  <c r="U477" i="1" s="1"/>
  <c r="S476" i="1"/>
  <c r="U476" i="1" s="1"/>
  <c r="S472" i="1"/>
  <c r="U472" i="1" s="1"/>
  <c r="S467" i="1"/>
  <c r="U467" i="1" s="1"/>
  <c r="S479" i="1"/>
  <c r="U479" i="1" s="1"/>
  <c r="S471" i="1"/>
  <c r="U471" i="1" s="1"/>
  <c r="S475" i="1"/>
  <c r="U475" i="1" s="1"/>
  <c r="S473" i="1"/>
  <c r="U473" i="1" s="1"/>
  <c r="S480" i="1"/>
  <c r="U480" i="1" s="1"/>
  <c r="S478" i="1"/>
  <c r="U478" i="1" s="1"/>
  <c r="S474" i="1"/>
  <c r="U474" i="1" s="1"/>
  <c r="S463" i="1"/>
  <c r="S468" i="1"/>
  <c r="U468" i="1" s="1"/>
  <c r="U466" i="1"/>
  <c r="S469" i="1"/>
  <c r="U469" i="1" s="1"/>
  <c r="U463" i="1"/>
  <c r="S464" i="1"/>
  <c r="U464" i="1" s="1"/>
  <c r="S481" i="1"/>
  <c r="U481" i="1" s="1"/>
  <c r="S459" i="1"/>
  <c r="S460" i="1"/>
  <c r="U460" i="1" s="1"/>
  <c r="S458" i="1"/>
  <c r="S454" i="1"/>
  <c r="U454" i="1" s="1"/>
  <c r="S453" i="1"/>
  <c r="U453" i="1" s="1"/>
  <c r="S452" i="1"/>
  <c r="U452" i="1" s="1"/>
  <c r="S456" i="1"/>
  <c r="U456" i="1" s="1"/>
  <c r="S449" i="1"/>
  <c r="S445" i="1"/>
  <c r="S448" i="1"/>
  <c r="U448" i="1" s="1"/>
  <c r="S444" i="1"/>
  <c r="S455" i="1"/>
  <c r="U455" i="1" s="1"/>
  <c r="S450" i="1"/>
  <c r="U450" i="1" s="1"/>
  <c r="S446" i="1"/>
  <c r="S447" i="1"/>
  <c r="U447" i="1" s="1"/>
  <c r="S443" i="1"/>
  <c r="S457" i="1"/>
  <c r="U457" i="1" s="1"/>
  <c r="S440" i="1"/>
  <c r="U440" i="1" s="1"/>
  <c r="S442" i="1"/>
  <c r="S441" i="1"/>
  <c r="S439" i="1"/>
  <c r="U439" i="1" s="1"/>
  <c r="S451" i="1"/>
  <c r="U451" i="1" s="1"/>
  <c r="S461" i="1"/>
  <c r="U461" i="1" s="1"/>
  <c r="S437" i="1"/>
  <c r="U437" i="1" s="1"/>
  <c r="S432" i="1"/>
  <c r="U432" i="1" s="1"/>
  <c r="S425" i="1"/>
  <c r="U425" i="1" s="1"/>
  <c r="S436" i="1"/>
  <c r="U436" i="1" s="1"/>
  <c r="S435" i="1"/>
  <c r="U435" i="1" s="1"/>
  <c r="S438" i="1"/>
  <c r="U438" i="1" s="1"/>
  <c r="S433" i="1"/>
  <c r="U433" i="1" s="1"/>
  <c r="S429" i="1"/>
  <c r="U429" i="1" s="1"/>
  <c r="S431" i="1"/>
  <c r="U431" i="1" s="1"/>
  <c r="S428" i="1"/>
  <c r="U428" i="1" s="1"/>
  <c r="S430" i="1"/>
  <c r="U430" i="1" s="1"/>
  <c r="S422" i="1"/>
  <c r="U422" i="1" s="1"/>
  <c r="S427" i="1"/>
  <c r="U427" i="1" s="1"/>
  <c r="S421" i="1"/>
  <c r="U421" i="1" s="1"/>
  <c r="S434" i="1"/>
  <c r="U434" i="1" s="1"/>
  <c r="S424" i="1"/>
  <c r="U424" i="1" s="1"/>
  <c r="S423" i="1"/>
  <c r="U423" i="1" s="1"/>
  <c r="S417" i="1"/>
  <c r="U417" i="1" s="1"/>
  <c r="S418" i="1"/>
  <c r="U418" i="1" s="1"/>
  <c r="S420" i="1"/>
  <c r="U420" i="1" s="1"/>
  <c r="S415" i="1"/>
  <c r="U415" i="1" s="1"/>
  <c r="S426" i="1"/>
  <c r="U426" i="1" s="1"/>
  <c r="S414" i="1"/>
  <c r="U414" i="1" s="1"/>
  <c r="S413" i="1"/>
  <c r="U413" i="1" s="1"/>
  <c r="S419" i="1"/>
  <c r="U419" i="1" s="1"/>
  <c r="S416" i="1"/>
  <c r="U416" i="1" s="1"/>
  <c r="S409" i="1"/>
  <c r="S411" i="1"/>
  <c r="U411" i="1" s="1"/>
  <c r="S412" i="1"/>
  <c r="S407" i="1"/>
  <c r="U407" i="1" s="1"/>
  <c r="U409" i="1"/>
  <c r="S408" i="1"/>
  <c r="U408" i="1" s="1"/>
  <c r="S410" i="1"/>
  <c r="U410" i="1" s="1"/>
  <c r="U406" i="1"/>
  <c r="S369" i="1"/>
  <c r="U369" i="1" s="1"/>
  <c r="S373" i="1"/>
  <c r="U373" i="1" s="1"/>
  <c r="S377" i="1"/>
  <c r="U377" i="1" s="1"/>
  <c r="S401" i="1"/>
  <c r="U401" i="1" s="1"/>
  <c r="S402" i="1"/>
  <c r="U402" i="1" s="1"/>
  <c r="S400" i="1"/>
  <c r="U400" i="1" s="1"/>
  <c r="S403" i="1"/>
  <c r="U403" i="1" s="1"/>
  <c r="S399" i="1"/>
  <c r="S462" i="1"/>
  <c r="U462" i="1" s="1"/>
  <c r="S404" i="1"/>
  <c r="U404" i="1" s="1"/>
  <c r="S392" i="1"/>
  <c r="U392" i="1" s="1"/>
  <c r="S405" i="1"/>
  <c r="U405" i="1" s="1"/>
  <c r="S391" i="1"/>
  <c r="U391" i="1" s="1"/>
  <c r="S398" i="1"/>
  <c r="U398" i="1" s="1"/>
  <c r="S390" i="1"/>
  <c r="U390" i="1" s="1"/>
  <c r="S388" i="1"/>
  <c r="S389" i="1"/>
  <c r="U389" i="1" s="1"/>
  <c r="S387" i="1"/>
  <c r="S394" i="1"/>
  <c r="U394" i="1" s="1"/>
  <c r="S396" i="1"/>
  <c r="U396" i="1" s="1"/>
  <c r="S395" i="1"/>
  <c r="U395" i="1" s="1"/>
  <c r="S393" i="1"/>
  <c r="U393" i="1" s="1"/>
  <c r="R483" i="1"/>
  <c r="S378" i="1"/>
  <c r="U378" i="1" s="1"/>
  <c r="S381" i="1"/>
  <c r="U381" i="1" s="1"/>
  <c r="S380" i="1"/>
  <c r="U380" i="1" s="1"/>
  <c r="S379" i="1"/>
  <c r="U379" i="1" s="1"/>
  <c r="S383" i="1"/>
  <c r="U383" i="1" s="1"/>
  <c r="S384" i="1"/>
  <c r="U384" i="1" s="1"/>
  <c r="S382" i="1"/>
  <c r="U382" i="1" s="1"/>
  <c r="S374" i="1"/>
  <c r="U374" i="1" s="1"/>
  <c r="S385" i="1"/>
  <c r="U385" i="1" s="1"/>
  <c r="S386" i="1"/>
  <c r="U386" i="1" s="1"/>
  <c r="S371" i="1"/>
  <c r="U371" i="1" s="1"/>
  <c r="S370" i="1"/>
  <c r="U370" i="1" s="1"/>
  <c r="S372" i="1"/>
  <c r="U372" i="1" s="1"/>
  <c r="S376" i="1"/>
  <c r="U376" i="1" s="1"/>
  <c r="S375" i="1"/>
  <c r="U375" i="1" s="1"/>
  <c r="S352" i="1"/>
  <c r="U352" i="1" s="1"/>
  <c r="S358" i="1"/>
  <c r="U358" i="1" s="1"/>
  <c r="S354" i="1"/>
  <c r="U354" i="1" s="1"/>
  <c r="S353" i="1"/>
  <c r="U353" i="1" s="1"/>
  <c r="S360" i="1"/>
  <c r="U360" i="1" s="1"/>
  <c r="S356" i="1"/>
  <c r="U356" i="1" s="1"/>
  <c r="I358" i="1"/>
  <c r="S357" i="1"/>
  <c r="U357" i="1" s="1"/>
  <c r="S362" i="1"/>
  <c r="U362" i="1" s="1"/>
  <c r="S359" i="1"/>
  <c r="U359" i="1" s="1"/>
  <c r="S361" i="1"/>
  <c r="U361" i="1" s="1"/>
  <c r="S363" i="1"/>
  <c r="U363" i="1" s="1"/>
  <c r="D365" i="1"/>
  <c r="E365" i="1"/>
  <c r="F365" i="1"/>
  <c r="P365" i="1"/>
  <c r="I365" i="1" s="1"/>
  <c r="D366" i="1"/>
  <c r="E366" i="1"/>
  <c r="F366" i="1"/>
  <c r="P366" i="1"/>
  <c r="I366" i="1" s="1"/>
  <c r="D367" i="1"/>
  <c r="E367" i="1"/>
  <c r="F367" i="1"/>
  <c r="P367" i="1"/>
  <c r="I367" i="1" s="1"/>
  <c r="D368" i="1"/>
  <c r="E368" i="1"/>
  <c r="F368" i="1"/>
  <c r="I368" i="1"/>
  <c r="D364" i="1"/>
  <c r="E364" i="1"/>
  <c r="F364" i="1"/>
  <c r="P364" i="1"/>
  <c r="I364" i="1" s="1"/>
  <c r="D355" i="1"/>
  <c r="E355" i="1"/>
  <c r="F355" i="1"/>
  <c r="P355" i="1"/>
  <c r="I355" i="1" s="1"/>
  <c r="D397" i="1"/>
  <c r="E397" i="1"/>
  <c r="F397" i="1"/>
  <c r="P397" i="1"/>
  <c r="I397" i="1" s="1"/>
  <c r="D351" i="1"/>
  <c r="E351" i="1"/>
  <c r="F351" i="1"/>
  <c r="P351" i="1"/>
  <c r="I351" i="1" s="1"/>
  <c r="R351" i="4"/>
  <c r="O351" i="4"/>
  <c r="P350" i="4"/>
  <c r="N350" i="4"/>
  <c r="F350" i="4"/>
  <c r="Q350" i="4" s="1"/>
  <c r="S350" i="4" s="1"/>
  <c r="E350" i="4"/>
  <c r="D350" i="4"/>
  <c r="P349" i="4"/>
  <c r="N349" i="4"/>
  <c r="F349" i="4"/>
  <c r="E349" i="4"/>
  <c r="D349" i="4"/>
  <c r="P348" i="4"/>
  <c r="N348" i="4"/>
  <c r="F348" i="4"/>
  <c r="Q348" i="4" s="1"/>
  <c r="S348" i="4" s="1"/>
  <c r="E348" i="4"/>
  <c r="D348" i="4"/>
  <c r="P347" i="4"/>
  <c r="N347" i="4"/>
  <c r="F347" i="4"/>
  <c r="E347" i="4"/>
  <c r="D347" i="4"/>
  <c r="P346" i="4"/>
  <c r="N346" i="4"/>
  <c r="F346" i="4"/>
  <c r="Q346" i="4" s="1"/>
  <c r="S346" i="4" s="1"/>
  <c r="E346" i="4"/>
  <c r="D346" i="4"/>
  <c r="P345" i="4"/>
  <c r="N345" i="4"/>
  <c r="F345" i="4"/>
  <c r="E345" i="4"/>
  <c r="D345" i="4"/>
  <c r="P344" i="4"/>
  <c r="N344" i="4"/>
  <c r="F344" i="4"/>
  <c r="Q344" i="4" s="1"/>
  <c r="S344" i="4" s="1"/>
  <c r="E344" i="4"/>
  <c r="D344" i="4"/>
  <c r="P343" i="4"/>
  <c r="N343" i="4"/>
  <c r="F343" i="4"/>
  <c r="Q343" i="4" s="1"/>
  <c r="S343" i="4" s="1"/>
  <c r="E343" i="4"/>
  <c r="D343" i="4"/>
  <c r="P342" i="4"/>
  <c r="N342" i="4"/>
  <c r="F342" i="4"/>
  <c r="Q342" i="4" s="1"/>
  <c r="S342" i="4" s="1"/>
  <c r="E342" i="4"/>
  <c r="D342" i="4"/>
  <c r="P341" i="4"/>
  <c r="N341" i="4"/>
  <c r="F341" i="4"/>
  <c r="E341" i="4"/>
  <c r="D341" i="4"/>
  <c r="P340" i="4"/>
  <c r="N340" i="4"/>
  <c r="F340" i="4"/>
  <c r="Q340" i="4" s="1"/>
  <c r="S340" i="4" s="1"/>
  <c r="E340" i="4"/>
  <c r="D340" i="4"/>
  <c r="P339" i="4"/>
  <c r="N339" i="4"/>
  <c r="F339" i="4"/>
  <c r="E339" i="4"/>
  <c r="D339" i="4"/>
  <c r="P338" i="4"/>
  <c r="N338" i="4"/>
  <c r="F338" i="4"/>
  <c r="Q338" i="4" s="1"/>
  <c r="S338" i="4" s="1"/>
  <c r="E338" i="4"/>
  <c r="D338" i="4"/>
  <c r="P337" i="4"/>
  <c r="N337" i="4"/>
  <c r="F337" i="4"/>
  <c r="E337" i="4"/>
  <c r="D337" i="4"/>
  <c r="P336" i="4"/>
  <c r="N336" i="4"/>
  <c r="F336" i="4"/>
  <c r="Q336" i="4" s="1"/>
  <c r="S336" i="4" s="1"/>
  <c r="E336" i="4"/>
  <c r="D336" i="4"/>
  <c r="P335" i="4"/>
  <c r="N335" i="4"/>
  <c r="F335" i="4"/>
  <c r="E335" i="4"/>
  <c r="D335" i="4"/>
  <c r="P334" i="4"/>
  <c r="N334" i="4"/>
  <c r="F334" i="4"/>
  <c r="Q334" i="4" s="1"/>
  <c r="S334" i="4" s="1"/>
  <c r="E334" i="4"/>
  <c r="D334" i="4"/>
  <c r="P333" i="4"/>
  <c r="N333" i="4"/>
  <c r="F333" i="4"/>
  <c r="E333" i="4"/>
  <c r="D333" i="4"/>
  <c r="P332" i="4"/>
  <c r="N332" i="4"/>
  <c r="F332" i="4"/>
  <c r="Q332" i="4" s="1"/>
  <c r="S332" i="4" s="1"/>
  <c r="E332" i="4"/>
  <c r="D332" i="4"/>
  <c r="P331" i="4"/>
  <c r="N331" i="4"/>
  <c r="F331" i="4"/>
  <c r="E331" i="4"/>
  <c r="D331" i="4"/>
  <c r="P330" i="4"/>
  <c r="N330" i="4"/>
  <c r="F330" i="4"/>
  <c r="Q330" i="4" s="1"/>
  <c r="S330" i="4" s="1"/>
  <c r="E330" i="4"/>
  <c r="D330" i="4"/>
  <c r="P329" i="4"/>
  <c r="N329" i="4"/>
  <c r="F329" i="4"/>
  <c r="E329" i="4"/>
  <c r="D329" i="4"/>
  <c r="P328" i="4"/>
  <c r="N328" i="4"/>
  <c r="F328" i="4"/>
  <c r="Q328" i="4" s="1"/>
  <c r="S328" i="4" s="1"/>
  <c r="E328" i="4"/>
  <c r="D328" i="4"/>
  <c r="P327" i="4"/>
  <c r="N327" i="4"/>
  <c r="F327" i="4"/>
  <c r="E327" i="4"/>
  <c r="D327" i="4"/>
  <c r="P326" i="4"/>
  <c r="N326" i="4"/>
  <c r="F326" i="4"/>
  <c r="Q326" i="4" s="1"/>
  <c r="S326" i="4" s="1"/>
  <c r="E326" i="4"/>
  <c r="D326" i="4"/>
  <c r="P325" i="4"/>
  <c r="N325" i="4"/>
  <c r="F325" i="4"/>
  <c r="E325" i="4"/>
  <c r="D325" i="4"/>
  <c r="P324" i="4"/>
  <c r="N324" i="4"/>
  <c r="F324" i="4"/>
  <c r="E324" i="4"/>
  <c r="D324" i="4"/>
  <c r="P323" i="4"/>
  <c r="N323" i="4"/>
  <c r="F323" i="4"/>
  <c r="Q323" i="4" s="1"/>
  <c r="S323" i="4" s="1"/>
  <c r="E323" i="4"/>
  <c r="D323" i="4"/>
  <c r="P322" i="4"/>
  <c r="N322" i="4"/>
  <c r="F322" i="4"/>
  <c r="E322" i="4"/>
  <c r="D322" i="4"/>
  <c r="P321" i="4"/>
  <c r="N321" i="4"/>
  <c r="F321" i="4"/>
  <c r="E321" i="4"/>
  <c r="D321" i="4"/>
  <c r="P320" i="4"/>
  <c r="N320" i="4"/>
  <c r="F320" i="4"/>
  <c r="E320" i="4"/>
  <c r="D320" i="4"/>
  <c r="P319" i="4"/>
  <c r="N319" i="4"/>
  <c r="F319" i="4"/>
  <c r="Q319" i="4" s="1"/>
  <c r="S319" i="4" s="1"/>
  <c r="E319" i="4"/>
  <c r="D319" i="4"/>
  <c r="P318" i="4"/>
  <c r="N318" i="4"/>
  <c r="F318" i="4"/>
  <c r="E318" i="4"/>
  <c r="D318" i="4"/>
  <c r="P317" i="4"/>
  <c r="N317" i="4"/>
  <c r="F317" i="4"/>
  <c r="Q317" i="4" s="1"/>
  <c r="S317" i="4" s="1"/>
  <c r="E317" i="4"/>
  <c r="D317" i="4"/>
  <c r="P316" i="4"/>
  <c r="N316" i="4"/>
  <c r="F316" i="4"/>
  <c r="E316" i="4"/>
  <c r="D316" i="4"/>
  <c r="P315" i="4"/>
  <c r="N315" i="4"/>
  <c r="F315" i="4"/>
  <c r="E315" i="4"/>
  <c r="D315" i="4"/>
  <c r="P314" i="4"/>
  <c r="N314" i="4"/>
  <c r="F314" i="4"/>
  <c r="E314" i="4"/>
  <c r="D314" i="4"/>
  <c r="P313" i="4"/>
  <c r="N313" i="4"/>
  <c r="F313" i="4"/>
  <c r="E313" i="4"/>
  <c r="D313" i="4"/>
  <c r="P312" i="4"/>
  <c r="N312" i="4"/>
  <c r="F312" i="4"/>
  <c r="Q312" i="4" s="1"/>
  <c r="S312" i="4" s="1"/>
  <c r="E312" i="4"/>
  <c r="D312" i="4"/>
  <c r="P311" i="4"/>
  <c r="N311" i="4"/>
  <c r="F311" i="4"/>
  <c r="E311" i="4"/>
  <c r="D311" i="4"/>
  <c r="P310" i="4"/>
  <c r="N310" i="4"/>
  <c r="F310" i="4"/>
  <c r="E310" i="4"/>
  <c r="D310" i="4"/>
  <c r="P309" i="4"/>
  <c r="N309" i="4"/>
  <c r="F309" i="4"/>
  <c r="E309" i="4"/>
  <c r="D309" i="4"/>
  <c r="P308" i="4"/>
  <c r="N308" i="4"/>
  <c r="F308" i="4"/>
  <c r="Q308" i="4" s="1"/>
  <c r="S308" i="4" s="1"/>
  <c r="E308" i="4"/>
  <c r="D308" i="4"/>
  <c r="P307" i="4"/>
  <c r="N307" i="4"/>
  <c r="F307" i="4"/>
  <c r="E307" i="4"/>
  <c r="D307" i="4"/>
  <c r="P306" i="4"/>
  <c r="N306" i="4"/>
  <c r="F306" i="4"/>
  <c r="Q306" i="4" s="1"/>
  <c r="E306" i="4"/>
  <c r="D306" i="4"/>
  <c r="P305" i="4"/>
  <c r="N305" i="4"/>
  <c r="F305" i="4"/>
  <c r="E305" i="4"/>
  <c r="D305" i="4"/>
  <c r="P304" i="4"/>
  <c r="N304" i="4"/>
  <c r="F304" i="4"/>
  <c r="Q304" i="4" s="1"/>
  <c r="S304" i="4" s="1"/>
  <c r="E304" i="4"/>
  <c r="D304" i="4"/>
  <c r="P303" i="4"/>
  <c r="N303" i="4"/>
  <c r="F303" i="4"/>
  <c r="E303" i="4"/>
  <c r="D303" i="4"/>
  <c r="P302" i="4"/>
  <c r="N302" i="4"/>
  <c r="F302" i="4"/>
  <c r="E302" i="4"/>
  <c r="D302" i="4"/>
  <c r="P301" i="4"/>
  <c r="N301" i="4"/>
  <c r="F301" i="4"/>
  <c r="E301" i="4"/>
  <c r="D301" i="4"/>
  <c r="P300" i="4"/>
  <c r="N300" i="4"/>
  <c r="F300" i="4"/>
  <c r="Q300" i="4" s="1"/>
  <c r="E300" i="4"/>
  <c r="D300" i="4"/>
  <c r="P299" i="4"/>
  <c r="N299" i="4"/>
  <c r="F299" i="4"/>
  <c r="Q299" i="4" s="1"/>
  <c r="S299" i="4" s="1"/>
  <c r="E299" i="4"/>
  <c r="D299" i="4"/>
  <c r="P298" i="4"/>
  <c r="N298" i="4"/>
  <c r="F298" i="4"/>
  <c r="Q298" i="4" s="1"/>
  <c r="S298" i="4" s="1"/>
  <c r="E298" i="4"/>
  <c r="D298" i="4"/>
  <c r="P297" i="4"/>
  <c r="N297" i="4"/>
  <c r="F297" i="4"/>
  <c r="E297" i="4"/>
  <c r="D297" i="4"/>
  <c r="P296" i="4"/>
  <c r="N296" i="4"/>
  <c r="F296" i="4"/>
  <c r="E296" i="4"/>
  <c r="D296" i="4"/>
  <c r="P295" i="4"/>
  <c r="N295" i="4"/>
  <c r="F295" i="4"/>
  <c r="Q295" i="4" s="1"/>
  <c r="S295" i="4" s="1"/>
  <c r="E295" i="4"/>
  <c r="D295" i="4"/>
  <c r="P294" i="4"/>
  <c r="N294" i="4"/>
  <c r="F294" i="4"/>
  <c r="E294" i="4"/>
  <c r="D294" i="4"/>
  <c r="P293" i="4"/>
  <c r="N293" i="4"/>
  <c r="F293" i="4"/>
  <c r="Q293" i="4" s="1"/>
  <c r="S293" i="4" s="1"/>
  <c r="E293" i="4"/>
  <c r="D293" i="4"/>
  <c r="P292" i="4"/>
  <c r="N292" i="4"/>
  <c r="F292" i="4"/>
  <c r="Q292" i="4" s="1"/>
  <c r="S292" i="4" s="1"/>
  <c r="E292" i="4"/>
  <c r="D292" i="4"/>
  <c r="P291" i="4"/>
  <c r="N291" i="4"/>
  <c r="F291" i="4"/>
  <c r="Q291" i="4" s="1"/>
  <c r="S291" i="4" s="1"/>
  <c r="E291" i="4"/>
  <c r="D291" i="4"/>
  <c r="Q290" i="4"/>
  <c r="P290" i="4"/>
  <c r="N290" i="4"/>
  <c r="E290" i="4"/>
  <c r="D290" i="4"/>
  <c r="P289" i="4"/>
  <c r="N289" i="4"/>
  <c r="F289" i="4"/>
  <c r="Q289" i="4" s="1"/>
  <c r="S289" i="4" s="1"/>
  <c r="E289" i="4"/>
  <c r="D289" i="4"/>
  <c r="P288" i="4"/>
  <c r="N288" i="4"/>
  <c r="F288" i="4"/>
  <c r="E288" i="4"/>
  <c r="D288" i="4"/>
  <c r="P287" i="4"/>
  <c r="N287" i="4"/>
  <c r="F287" i="4"/>
  <c r="Q287" i="4" s="1"/>
  <c r="S287" i="4" s="1"/>
  <c r="E287" i="4"/>
  <c r="D287" i="4"/>
  <c r="P286" i="4"/>
  <c r="N286" i="4"/>
  <c r="F286" i="4"/>
  <c r="E286" i="4"/>
  <c r="D286" i="4"/>
  <c r="P285" i="4"/>
  <c r="N285" i="4"/>
  <c r="F285" i="4"/>
  <c r="E285" i="4"/>
  <c r="D285" i="4"/>
  <c r="P284" i="4"/>
  <c r="N284" i="4"/>
  <c r="F284" i="4"/>
  <c r="Q284" i="4" s="1"/>
  <c r="S284" i="4" s="1"/>
  <c r="E284" i="4"/>
  <c r="D284" i="4"/>
  <c r="P283" i="4"/>
  <c r="N283" i="4"/>
  <c r="F283" i="4"/>
  <c r="Q283" i="4" s="1"/>
  <c r="S283" i="4" s="1"/>
  <c r="E283" i="4"/>
  <c r="D283" i="4"/>
  <c r="P282" i="4"/>
  <c r="N282" i="4"/>
  <c r="F282" i="4"/>
  <c r="Q282" i="4" s="1"/>
  <c r="S282" i="4" s="1"/>
  <c r="E282" i="4"/>
  <c r="D282" i="4"/>
  <c r="P281" i="4"/>
  <c r="N281" i="4"/>
  <c r="F281" i="4"/>
  <c r="Q281" i="4" s="1"/>
  <c r="E281" i="4"/>
  <c r="D281" i="4"/>
  <c r="S280" i="4"/>
  <c r="Q280" i="4"/>
  <c r="P280" i="4"/>
  <c r="N280" i="4"/>
  <c r="E280" i="4"/>
  <c r="D280" i="4"/>
  <c r="P279" i="4"/>
  <c r="N279" i="4"/>
  <c r="F279" i="4"/>
  <c r="E279" i="4"/>
  <c r="D279" i="4"/>
  <c r="P278" i="4"/>
  <c r="N278" i="4"/>
  <c r="F278" i="4"/>
  <c r="Q278" i="4" s="1"/>
  <c r="E278" i="4"/>
  <c r="D278" i="4"/>
  <c r="P277" i="4"/>
  <c r="N277" i="4"/>
  <c r="F277" i="4"/>
  <c r="E277" i="4"/>
  <c r="D277" i="4"/>
  <c r="P276" i="4"/>
  <c r="N276" i="4"/>
  <c r="F276" i="4"/>
  <c r="Q276" i="4" s="1"/>
  <c r="S276" i="4" s="1"/>
  <c r="E276" i="4"/>
  <c r="D276" i="4"/>
  <c r="P275" i="4"/>
  <c r="N275" i="4"/>
  <c r="F275" i="4"/>
  <c r="E275" i="4"/>
  <c r="D275" i="4"/>
  <c r="P274" i="4"/>
  <c r="N274" i="4"/>
  <c r="F274" i="4"/>
  <c r="Q274" i="4" s="1"/>
  <c r="S274" i="4" s="1"/>
  <c r="E274" i="4"/>
  <c r="D274" i="4"/>
  <c r="P273" i="4"/>
  <c r="N273" i="4"/>
  <c r="F273" i="4"/>
  <c r="Q273" i="4" s="1"/>
  <c r="S273" i="4" s="1"/>
  <c r="E273" i="4"/>
  <c r="D273" i="4"/>
  <c r="P272" i="4"/>
  <c r="N272" i="4"/>
  <c r="F272" i="4"/>
  <c r="E272" i="4"/>
  <c r="D272" i="4"/>
  <c r="Q271" i="4"/>
  <c r="P271" i="4"/>
  <c r="N271" i="4"/>
  <c r="S271" i="4" s="1"/>
  <c r="E271" i="4"/>
  <c r="D271" i="4"/>
  <c r="P270" i="4"/>
  <c r="N270" i="4"/>
  <c r="F270" i="4"/>
  <c r="Q270" i="4" s="1"/>
  <c r="S270" i="4" s="1"/>
  <c r="E270" i="4"/>
  <c r="D270" i="4"/>
  <c r="P269" i="4"/>
  <c r="N269" i="4"/>
  <c r="F269" i="4"/>
  <c r="E269" i="4"/>
  <c r="D269" i="4"/>
  <c r="P268" i="4"/>
  <c r="N268" i="4"/>
  <c r="F268" i="4"/>
  <c r="Q268" i="4" s="1"/>
  <c r="S268" i="4" s="1"/>
  <c r="E268" i="4"/>
  <c r="D268" i="4"/>
  <c r="P267" i="4"/>
  <c r="N267" i="4"/>
  <c r="F267" i="4"/>
  <c r="Q267" i="4" s="1"/>
  <c r="S267" i="4" s="1"/>
  <c r="E267" i="4"/>
  <c r="D267" i="4"/>
  <c r="P266" i="4"/>
  <c r="N266" i="4"/>
  <c r="F266" i="4"/>
  <c r="Q266" i="4" s="1"/>
  <c r="S266" i="4" s="1"/>
  <c r="E266" i="4"/>
  <c r="D266" i="4"/>
  <c r="P265" i="4"/>
  <c r="N265" i="4"/>
  <c r="F265" i="4"/>
  <c r="E265" i="4"/>
  <c r="D265" i="4"/>
  <c r="P264" i="4"/>
  <c r="N264" i="4"/>
  <c r="F264" i="4"/>
  <c r="Q264" i="4" s="1"/>
  <c r="E264" i="4"/>
  <c r="D264" i="4"/>
  <c r="P263" i="4"/>
  <c r="N263" i="4"/>
  <c r="F263" i="4"/>
  <c r="Q263" i="4" s="1"/>
  <c r="S263" i="4" s="1"/>
  <c r="E263" i="4"/>
  <c r="D263" i="4"/>
  <c r="P262" i="4"/>
  <c r="N262" i="4"/>
  <c r="F262" i="4"/>
  <c r="E262" i="4"/>
  <c r="D262" i="4"/>
  <c r="P261" i="4"/>
  <c r="N261" i="4"/>
  <c r="F261" i="4"/>
  <c r="Q261" i="4" s="1"/>
  <c r="E261" i="4"/>
  <c r="D261" i="4"/>
  <c r="P260" i="4"/>
  <c r="N260" i="4"/>
  <c r="F260" i="4"/>
  <c r="Q260" i="4" s="1"/>
  <c r="S260" i="4" s="1"/>
  <c r="E260" i="4"/>
  <c r="D260" i="4"/>
  <c r="P259" i="4"/>
  <c r="N259" i="4"/>
  <c r="F259" i="4"/>
  <c r="E259" i="4"/>
  <c r="D259" i="4"/>
  <c r="P258" i="4"/>
  <c r="N258" i="4"/>
  <c r="F258" i="4"/>
  <c r="E258" i="4"/>
  <c r="D258" i="4"/>
  <c r="P257" i="4"/>
  <c r="N257" i="4"/>
  <c r="F257" i="4"/>
  <c r="Q257" i="4" s="1"/>
  <c r="S257" i="4" s="1"/>
  <c r="E257" i="4"/>
  <c r="D257" i="4"/>
  <c r="P256" i="4"/>
  <c r="N256" i="4"/>
  <c r="F256" i="4"/>
  <c r="Q256" i="4" s="1"/>
  <c r="S256" i="4" s="1"/>
  <c r="E256" i="4"/>
  <c r="D256" i="4"/>
  <c r="P255" i="4"/>
  <c r="N255" i="4"/>
  <c r="F255" i="4"/>
  <c r="Q255" i="4" s="1"/>
  <c r="S255" i="4" s="1"/>
  <c r="E255" i="4"/>
  <c r="D255" i="4"/>
  <c r="P254" i="4"/>
  <c r="N254" i="4"/>
  <c r="F254" i="4"/>
  <c r="E254" i="4"/>
  <c r="D254" i="4"/>
  <c r="Q253" i="4"/>
  <c r="P253" i="4"/>
  <c r="N253" i="4"/>
  <c r="S253" i="4" s="1"/>
  <c r="E253" i="4"/>
  <c r="D253" i="4"/>
  <c r="P252" i="4"/>
  <c r="N252" i="4"/>
  <c r="F252" i="4"/>
  <c r="E252" i="4"/>
  <c r="D252" i="4"/>
  <c r="P251" i="4"/>
  <c r="N251" i="4"/>
  <c r="F251" i="4"/>
  <c r="Q251" i="4" s="1"/>
  <c r="S251" i="4" s="1"/>
  <c r="E251" i="4"/>
  <c r="D251" i="4"/>
  <c r="P250" i="4"/>
  <c r="N250" i="4"/>
  <c r="F250" i="4"/>
  <c r="Q250" i="4" s="1"/>
  <c r="E250" i="4"/>
  <c r="D250" i="4"/>
  <c r="P249" i="4"/>
  <c r="N249" i="4"/>
  <c r="F249" i="4"/>
  <c r="E249" i="4"/>
  <c r="D249" i="4"/>
  <c r="P248" i="4"/>
  <c r="N248" i="4"/>
  <c r="F248" i="4"/>
  <c r="E248" i="4"/>
  <c r="D248" i="4"/>
  <c r="P247" i="4"/>
  <c r="N247" i="4"/>
  <c r="F247" i="4"/>
  <c r="Q247" i="4" s="1"/>
  <c r="S247" i="4" s="1"/>
  <c r="E247" i="4"/>
  <c r="D247" i="4"/>
  <c r="P246" i="4"/>
  <c r="N246" i="4"/>
  <c r="F246" i="4"/>
  <c r="Q246" i="4" s="1"/>
  <c r="S246" i="4" s="1"/>
  <c r="E246" i="4"/>
  <c r="D246" i="4"/>
  <c r="P245" i="4"/>
  <c r="N245" i="4"/>
  <c r="F245" i="4"/>
  <c r="E245" i="4"/>
  <c r="D245" i="4"/>
  <c r="P244" i="4"/>
  <c r="N244" i="4"/>
  <c r="F244" i="4"/>
  <c r="Q244" i="4" s="1"/>
  <c r="S244" i="4" s="1"/>
  <c r="E244" i="4"/>
  <c r="D244" i="4"/>
  <c r="Q243" i="4"/>
  <c r="S243" i="4" s="1"/>
  <c r="P243" i="4"/>
  <c r="N243" i="4"/>
  <c r="E243" i="4"/>
  <c r="D243" i="4"/>
  <c r="P242" i="4"/>
  <c r="N242" i="4"/>
  <c r="F242" i="4"/>
  <c r="Q242" i="4" s="1"/>
  <c r="E242" i="4"/>
  <c r="D242" i="4"/>
  <c r="P241" i="4"/>
  <c r="N241" i="4"/>
  <c r="F241" i="4"/>
  <c r="Q241" i="4" s="1"/>
  <c r="S241" i="4" s="1"/>
  <c r="E241" i="4"/>
  <c r="D241" i="4"/>
  <c r="P240" i="4"/>
  <c r="N240" i="4"/>
  <c r="F240" i="4"/>
  <c r="E240" i="4"/>
  <c r="D240" i="4"/>
  <c r="P239" i="4"/>
  <c r="N239" i="4"/>
  <c r="F239" i="4"/>
  <c r="Q239" i="4" s="1"/>
  <c r="S239" i="4" s="1"/>
  <c r="E239" i="4"/>
  <c r="D239" i="4"/>
  <c r="P238" i="4"/>
  <c r="N238" i="4"/>
  <c r="F238" i="4"/>
  <c r="Q238" i="4" s="1"/>
  <c r="S238" i="4" s="1"/>
  <c r="E238" i="4"/>
  <c r="D238" i="4"/>
  <c r="P237" i="4"/>
  <c r="N237" i="4"/>
  <c r="F237" i="4"/>
  <c r="E237" i="4"/>
  <c r="D237" i="4"/>
  <c r="P236" i="4"/>
  <c r="N236" i="4"/>
  <c r="F236" i="4"/>
  <c r="E236" i="4"/>
  <c r="D236" i="4"/>
  <c r="S235" i="4"/>
  <c r="Q235" i="4"/>
  <c r="P235" i="4"/>
  <c r="N235" i="4"/>
  <c r="E235" i="4"/>
  <c r="D235" i="4"/>
  <c r="P234" i="4"/>
  <c r="N234" i="4"/>
  <c r="F234" i="4"/>
  <c r="E234" i="4"/>
  <c r="D234" i="4"/>
  <c r="P233" i="4"/>
  <c r="N233" i="4"/>
  <c r="F233" i="4"/>
  <c r="E233" i="4"/>
  <c r="D233" i="4"/>
  <c r="P232" i="4"/>
  <c r="N232" i="4"/>
  <c r="F232" i="4"/>
  <c r="Q232" i="4" s="1"/>
  <c r="S232" i="4" s="1"/>
  <c r="E232" i="4"/>
  <c r="D232" i="4"/>
  <c r="P231" i="4"/>
  <c r="N231" i="4"/>
  <c r="F231" i="4"/>
  <c r="Q231" i="4" s="1"/>
  <c r="S231" i="4" s="1"/>
  <c r="E231" i="4"/>
  <c r="D231" i="4"/>
  <c r="P230" i="4"/>
  <c r="N230" i="4"/>
  <c r="F230" i="4"/>
  <c r="E230" i="4"/>
  <c r="D230" i="4"/>
  <c r="P229" i="4"/>
  <c r="N229" i="4"/>
  <c r="F229" i="4"/>
  <c r="E229" i="4"/>
  <c r="D229" i="4"/>
  <c r="P228" i="4"/>
  <c r="N228" i="4"/>
  <c r="F228" i="4"/>
  <c r="E228" i="4"/>
  <c r="D228" i="4"/>
  <c r="P227" i="4"/>
  <c r="N227" i="4"/>
  <c r="F227" i="4"/>
  <c r="E227" i="4"/>
  <c r="D227" i="4"/>
  <c r="P226" i="4"/>
  <c r="N226" i="4"/>
  <c r="F226" i="4"/>
  <c r="Q226" i="4" s="1"/>
  <c r="S226" i="4" s="1"/>
  <c r="E226" i="4"/>
  <c r="D226" i="4"/>
  <c r="P225" i="4"/>
  <c r="N225" i="4"/>
  <c r="F225" i="4"/>
  <c r="Q225" i="4" s="1"/>
  <c r="S225" i="4" s="1"/>
  <c r="E225" i="4"/>
  <c r="D225" i="4"/>
  <c r="P224" i="4"/>
  <c r="N224" i="4"/>
  <c r="F224" i="4"/>
  <c r="E224" i="4"/>
  <c r="D224" i="4"/>
  <c r="P223" i="4"/>
  <c r="N223" i="4"/>
  <c r="F223" i="4"/>
  <c r="Q223" i="4" s="1"/>
  <c r="S223" i="4" s="1"/>
  <c r="E223" i="4"/>
  <c r="D223" i="4"/>
  <c r="P222" i="4"/>
  <c r="N222" i="4"/>
  <c r="F222" i="4"/>
  <c r="E222" i="4"/>
  <c r="D222" i="4"/>
  <c r="P221" i="4"/>
  <c r="N221" i="4"/>
  <c r="F221" i="4"/>
  <c r="E221" i="4"/>
  <c r="D221" i="4"/>
  <c r="P220" i="4"/>
  <c r="N220" i="4"/>
  <c r="F220" i="4"/>
  <c r="E220" i="4"/>
  <c r="D220" i="4"/>
  <c r="P219" i="4"/>
  <c r="N219" i="4"/>
  <c r="F219" i="4"/>
  <c r="Q219" i="4" s="1"/>
  <c r="S219" i="4" s="1"/>
  <c r="E219" i="4"/>
  <c r="D219" i="4"/>
  <c r="P218" i="4"/>
  <c r="N218" i="4"/>
  <c r="F218" i="4"/>
  <c r="E218" i="4"/>
  <c r="D218" i="4"/>
  <c r="P217" i="4"/>
  <c r="N217" i="4"/>
  <c r="F217" i="4"/>
  <c r="E217" i="4"/>
  <c r="D217" i="4"/>
  <c r="P216" i="4"/>
  <c r="N216" i="4"/>
  <c r="F216" i="4"/>
  <c r="E216" i="4"/>
  <c r="D216" i="4"/>
  <c r="Q215" i="4"/>
  <c r="S215" i="4" s="1"/>
  <c r="P215" i="4"/>
  <c r="N215" i="4"/>
  <c r="E215" i="4"/>
  <c r="D215" i="4"/>
  <c r="P214" i="4"/>
  <c r="N214" i="4"/>
  <c r="F214" i="4"/>
  <c r="E214" i="4"/>
  <c r="D214" i="4"/>
  <c r="P213" i="4"/>
  <c r="N213" i="4"/>
  <c r="F213" i="4"/>
  <c r="E213" i="4"/>
  <c r="D213" i="4"/>
  <c r="P212" i="4"/>
  <c r="N212" i="4"/>
  <c r="F212" i="4"/>
  <c r="Q212" i="4" s="1"/>
  <c r="S212" i="4" s="1"/>
  <c r="E212" i="4"/>
  <c r="D212" i="4"/>
  <c r="P211" i="4"/>
  <c r="N211" i="4"/>
  <c r="F211" i="4"/>
  <c r="E211" i="4"/>
  <c r="D211" i="4"/>
  <c r="P210" i="4"/>
  <c r="N210" i="4"/>
  <c r="F210" i="4"/>
  <c r="E210" i="4"/>
  <c r="D210" i="4"/>
  <c r="P209" i="4"/>
  <c r="N209" i="4"/>
  <c r="F209" i="4"/>
  <c r="E209" i="4"/>
  <c r="D209" i="4"/>
  <c r="P208" i="4"/>
  <c r="N208" i="4"/>
  <c r="F208" i="4"/>
  <c r="Q208" i="4" s="1"/>
  <c r="S208" i="4" s="1"/>
  <c r="E208" i="4"/>
  <c r="D208" i="4"/>
  <c r="P207" i="4"/>
  <c r="N207" i="4"/>
  <c r="F207" i="4"/>
  <c r="E207" i="4"/>
  <c r="D207" i="4"/>
  <c r="P206" i="4"/>
  <c r="N206" i="4"/>
  <c r="F206" i="4"/>
  <c r="E206" i="4"/>
  <c r="D206" i="4"/>
  <c r="P205" i="4"/>
  <c r="N205" i="4"/>
  <c r="F205" i="4"/>
  <c r="E205" i="4"/>
  <c r="D205" i="4"/>
  <c r="P204" i="4"/>
  <c r="N204" i="4"/>
  <c r="F204" i="4"/>
  <c r="Q204" i="4" s="1"/>
  <c r="S204" i="4" s="1"/>
  <c r="E204" i="4"/>
  <c r="D204" i="4"/>
  <c r="P203" i="4"/>
  <c r="N203" i="4"/>
  <c r="F203" i="4"/>
  <c r="E203" i="4"/>
  <c r="D203" i="4"/>
  <c r="P202" i="4"/>
  <c r="N202" i="4"/>
  <c r="F202" i="4"/>
  <c r="E202" i="4"/>
  <c r="D202" i="4"/>
  <c r="P201" i="4"/>
  <c r="N201" i="4"/>
  <c r="F201" i="4"/>
  <c r="E201" i="4"/>
  <c r="D201" i="4"/>
  <c r="P200" i="4"/>
  <c r="N200" i="4"/>
  <c r="F200" i="4"/>
  <c r="Q200" i="4" s="1"/>
  <c r="S200" i="4" s="1"/>
  <c r="E200" i="4"/>
  <c r="D200" i="4"/>
  <c r="P199" i="4"/>
  <c r="N199" i="4"/>
  <c r="F199" i="4"/>
  <c r="E199" i="4"/>
  <c r="D199" i="4"/>
  <c r="P198" i="4"/>
  <c r="N198" i="4"/>
  <c r="F198" i="4"/>
  <c r="E198" i="4"/>
  <c r="D198" i="4"/>
  <c r="P197" i="4"/>
  <c r="N197" i="4"/>
  <c r="F197" i="4"/>
  <c r="Q197" i="4" s="1"/>
  <c r="E197" i="4"/>
  <c r="D197" i="4"/>
  <c r="P196" i="4"/>
  <c r="N196" i="4"/>
  <c r="F196" i="4"/>
  <c r="E196" i="4"/>
  <c r="D196" i="4"/>
  <c r="P195" i="4"/>
  <c r="N195" i="4"/>
  <c r="F195" i="4"/>
  <c r="E195" i="4"/>
  <c r="D195" i="4"/>
  <c r="P194" i="4"/>
  <c r="N194" i="4"/>
  <c r="F194" i="4"/>
  <c r="E194" i="4"/>
  <c r="D194" i="4"/>
  <c r="P193" i="4"/>
  <c r="N193" i="4"/>
  <c r="F193" i="4"/>
  <c r="Q193" i="4" s="1"/>
  <c r="S193" i="4" s="1"/>
  <c r="E193" i="4"/>
  <c r="D193" i="4"/>
  <c r="P192" i="4"/>
  <c r="N192" i="4"/>
  <c r="F192" i="4"/>
  <c r="E192" i="4"/>
  <c r="D192" i="4"/>
  <c r="P191" i="4"/>
  <c r="N191" i="4"/>
  <c r="F191" i="4"/>
  <c r="E191" i="4"/>
  <c r="D191" i="4"/>
  <c r="P190" i="4"/>
  <c r="N190" i="4"/>
  <c r="F190" i="4"/>
  <c r="Q190" i="4" s="1"/>
  <c r="E190" i="4"/>
  <c r="D190" i="4"/>
  <c r="P189" i="4"/>
  <c r="N189" i="4"/>
  <c r="F189" i="4"/>
  <c r="Q189" i="4" s="1"/>
  <c r="S189" i="4" s="1"/>
  <c r="E189" i="4"/>
  <c r="D189" i="4"/>
  <c r="P188" i="4"/>
  <c r="N188" i="4"/>
  <c r="F188" i="4"/>
  <c r="E188" i="4"/>
  <c r="D188" i="4"/>
  <c r="P187" i="4"/>
  <c r="N187" i="4"/>
  <c r="F187" i="4"/>
  <c r="Q187" i="4" s="1"/>
  <c r="S187" i="4" s="1"/>
  <c r="E187" i="4"/>
  <c r="D187" i="4"/>
  <c r="P186" i="4"/>
  <c r="N186" i="4"/>
  <c r="F186" i="4"/>
  <c r="E186" i="4"/>
  <c r="D186" i="4"/>
  <c r="P185" i="4"/>
  <c r="N185" i="4"/>
  <c r="F185" i="4"/>
  <c r="E185" i="4"/>
  <c r="D185" i="4"/>
  <c r="P184" i="4"/>
  <c r="N184" i="4"/>
  <c r="F184" i="4"/>
  <c r="E184" i="4"/>
  <c r="D184" i="4"/>
  <c r="P183" i="4"/>
  <c r="N183" i="4"/>
  <c r="F183" i="4"/>
  <c r="E183" i="4"/>
  <c r="D183" i="4"/>
  <c r="P182" i="4"/>
  <c r="N182" i="4"/>
  <c r="F182" i="4"/>
  <c r="E182" i="4"/>
  <c r="D182" i="4"/>
  <c r="P181" i="4"/>
  <c r="N181" i="4"/>
  <c r="F181" i="4"/>
  <c r="E181" i="4"/>
  <c r="D181" i="4"/>
  <c r="P180" i="4"/>
  <c r="N180" i="4"/>
  <c r="F180" i="4"/>
  <c r="Q180" i="4" s="1"/>
  <c r="S180" i="4" s="1"/>
  <c r="E180" i="4"/>
  <c r="D180" i="4"/>
  <c r="P179" i="4"/>
  <c r="N179" i="4"/>
  <c r="F179" i="4"/>
  <c r="E179" i="4"/>
  <c r="D179" i="4"/>
  <c r="P178" i="4"/>
  <c r="N178" i="4"/>
  <c r="F178" i="4"/>
  <c r="E178" i="4"/>
  <c r="D178" i="4"/>
  <c r="P177" i="4"/>
  <c r="N177" i="4"/>
  <c r="F177" i="4"/>
  <c r="Q177" i="4" s="1"/>
  <c r="E177" i="4"/>
  <c r="D177" i="4"/>
  <c r="P176" i="4"/>
  <c r="N176" i="4"/>
  <c r="F176" i="4"/>
  <c r="E176" i="4"/>
  <c r="D176" i="4"/>
  <c r="P175" i="4"/>
  <c r="N175" i="4"/>
  <c r="F175" i="4"/>
  <c r="E175" i="4"/>
  <c r="D175" i="4"/>
  <c r="P174" i="4"/>
  <c r="N174" i="4"/>
  <c r="F174" i="4"/>
  <c r="E174" i="4"/>
  <c r="D174" i="4"/>
  <c r="P173" i="4"/>
  <c r="N173" i="4"/>
  <c r="F173" i="4"/>
  <c r="E173" i="4"/>
  <c r="D173" i="4"/>
  <c r="P172" i="4"/>
  <c r="N172" i="4"/>
  <c r="F172" i="4"/>
  <c r="Q172" i="4" s="1"/>
  <c r="S172" i="4" s="1"/>
  <c r="E172" i="4"/>
  <c r="D172" i="4"/>
  <c r="P171" i="4"/>
  <c r="N171" i="4"/>
  <c r="F171" i="4"/>
  <c r="E171" i="4"/>
  <c r="D171" i="4"/>
  <c r="P170" i="4"/>
  <c r="N170" i="4"/>
  <c r="F170" i="4"/>
  <c r="Q170" i="4" s="1"/>
  <c r="S170" i="4" s="1"/>
  <c r="E170" i="4"/>
  <c r="D170" i="4"/>
  <c r="P169" i="4"/>
  <c r="N169" i="4"/>
  <c r="F169" i="4"/>
  <c r="Q169" i="4" s="1"/>
  <c r="S169" i="4" s="1"/>
  <c r="E169" i="4"/>
  <c r="D169" i="4"/>
  <c r="P168" i="4"/>
  <c r="N168" i="4"/>
  <c r="F168" i="4"/>
  <c r="E168" i="4"/>
  <c r="D168" i="4"/>
  <c r="P167" i="4"/>
  <c r="N167" i="4"/>
  <c r="F167" i="4"/>
  <c r="E167" i="4"/>
  <c r="D167" i="4"/>
  <c r="P166" i="4"/>
  <c r="N166" i="4"/>
  <c r="F166" i="4"/>
  <c r="Q166" i="4" s="1"/>
  <c r="S166" i="4" s="1"/>
  <c r="E166" i="4"/>
  <c r="D166" i="4"/>
  <c r="P165" i="4"/>
  <c r="N165" i="4"/>
  <c r="F165" i="4"/>
  <c r="Q165" i="4" s="1"/>
  <c r="E165" i="4"/>
  <c r="D165" i="4"/>
  <c r="P164" i="4"/>
  <c r="N164" i="4"/>
  <c r="F164" i="4"/>
  <c r="E164" i="4"/>
  <c r="D164" i="4"/>
  <c r="P163" i="4"/>
  <c r="N163" i="4"/>
  <c r="F163" i="4"/>
  <c r="Q163" i="4" s="1"/>
  <c r="S163" i="4" s="1"/>
  <c r="E163" i="4"/>
  <c r="D163" i="4"/>
  <c r="Q162" i="4"/>
  <c r="S162" i="4" s="1"/>
  <c r="P162" i="4"/>
  <c r="N162" i="4"/>
  <c r="E162" i="4"/>
  <c r="D162" i="4"/>
  <c r="P161" i="4"/>
  <c r="N161" i="4"/>
  <c r="F161" i="4"/>
  <c r="E161" i="4"/>
  <c r="D161" i="4"/>
  <c r="P160" i="4"/>
  <c r="N160" i="4"/>
  <c r="F160" i="4"/>
  <c r="Q160" i="4" s="1"/>
  <c r="S160" i="4" s="1"/>
  <c r="E160" i="4"/>
  <c r="D160" i="4"/>
  <c r="P159" i="4"/>
  <c r="N159" i="4"/>
  <c r="F159" i="4"/>
  <c r="E159" i="4"/>
  <c r="D159" i="4"/>
  <c r="P158" i="4"/>
  <c r="N158" i="4"/>
  <c r="F158" i="4"/>
  <c r="E158" i="4"/>
  <c r="D158" i="4"/>
  <c r="P157" i="4"/>
  <c r="N157" i="4"/>
  <c r="F157" i="4"/>
  <c r="E157" i="4"/>
  <c r="D157" i="4"/>
  <c r="P156" i="4"/>
  <c r="Q156" i="4" s="1"/>
  <c r="S156" i="4" s="1"/>
  <c r="N156" i="4"/>
  <c r="E156" i="4"/>
  <c r="D156" i="4"/>
  <c r="S155" i="4"/>
  <c r="P155" i="4"/>
  <c r="Q155" i="4" s="1"/>
  <c r="N155" i="4"/>
  <c r="E155" i="4"/>
  <c r="D155" i="4"/>
  <c r="P154" i="4"/>
  <c r="N154" i="4"/>
  <c r="F154" i="4"/>
  <c r="E154" i="4"/>
  <c r="D154" i="4"/>
  <c r="P153" i="4"/>
  <c r="N153" i="4"/>
  <c r="F153" i="4"/>
  <c r="Q153" i="4" s="1"/>
  <c r="S153" i="4" s="1"/>
  <c r="E153" i="4"/>
  <c r="D153" i="4"/>
  <c r="P152" i="4"/>
  <c r="N152" i="4"/>
  <c r="F152" i="4"/>
  <c r="E152" i="4"/>
  <c r="D152" i="4"/>
  <c r="P151" i="4"/>
  <c r="N151" i="4"/>
  <c r="F151" i="4"/>
  <c r="E151" i="4"/>
  <c r="D151" i="4"/>
  <c r="P150" i="4"/>
  <c r="N150" i="4"/>
  <c r="F150" i="4"/>
  <c r="E150" i="4"/>
  <c r="D150" i="4"/>
  <c r="P149" i="4"/>
  <c r="N149" i="4"/>
  <c r="F149" i="4"/>
  <c r="Q149" i="4" s="1"/>
  <c r="E149" i="4"/>
  <c r="D149" i="4"/>
  <c r="P148" i="4"/>
  <c r="N148" i="4"/>
  <c r="F148" i="4"/>
  <c r="E148" i="4"/>
  <c r="D148" i="4"/>
  <c r="P147" i="4"/>
  <c r="Q147" i="4" s="1"/>
  <c r="S147" i="4" s="1"/>
  <c r="N147" i="4"/>
  <c r="E147" i="4"/>
  <c r="D147" i="4"/>
  <c r="S146" i="4"/>
  <c r="Q146" i="4"/>
  <c r="P146" i="4"/>
  <c r="N146" i="4"/>
  <c r="E146" i="4"/>
  <c r="D146" i="4"/>
  <c r="P145" i="4"/>
  <c r="N145" i="4"/>
  <c r="F145" i="4"/>
  <c r="E145" i="4"/>
  <c r="D145" i="4"/>
  <c r="P144" i="4"/>
  <c r="N144" i="4"/>
  <c r="F144" i="4"/>
  <c r="E144" i="4"/>
  <c r="D144" i="4"/>
  <c r="P143" i="4"/>
  <c r="N143" i="4"/>
  <c r="F143" i="4"/>
  <c r="E143" i="4"/>
  <c r="D143" i="4"/>
  <c r="P142" i="4"/>
  <c r="N142" i="4"/>
  <c r="F142" i="4"/>
  <c r="E142" i="4"/>
  <c r="D142" i="4"/>
  <c r="P141" i="4"/>
  <c r="N141" i="4"/>
  <c r="F141" i="4"/>
  <c r="E141" i="4"/>
  <c r="D141" i="4"/>
  <c r="P140" i="4"/>
  <c r="N140" i="4"/>
  <c r="F140" i="4"/>
  <c r="E140" i="4"/>
  <c r="D140" i="4"/>
  <c r="P139" i="4"/>
  <c r="N139" i="4"/>
  <c r="F139" i="4"/>
  <c r="E139" i="4"/>
  <c r="D139" i="4"/>
  <c r="P138" i="4"/>
  <c r="N138" i="4"/>
  <c r="F138" i="4"/>
  <c r="Q138" i="4" s="1"/>
  <c r="S138" i="4" s="1"/>
  <c r="E138" i="4"/>
  <c r="D138" i="4"/>
  <c r="P137" i="4"/>
  <c r="N137" i="4"/>
  <c r="F137" i="4"/>
  <c r="E137" i="4"/>
  <c r="D137" i="4"/>
  <c r="N136" i="4"/>
  <c r="F136" i="4"/>
  <c r="Q136" i="4" s="1"/>
  <c r="S136" i="4" s="1"/>
  <c r="E136" i="4"/>
  <c r="D136" i="4"/>
  <c r="P135" i="4"/>
  <c r="N135" i="4"/>
  <c r="F135" i="4"/>
  <c r="Q135" i="4" s="1"/>
  <c r="S135" i="4" s="1"/>
  <c r="E135" i="4"/>
  <c r="D135" i="4"/>
  <c r="P134" i="4"/>
  <c r="N134" i="4"/>
  <c r="F134" i="4"/>
  <c r="E134" i="4"/>
  <c r="D134" i="4"/>
  <c r="P133" i="4"/>
  <c r="N133" i="4"/>
  <c r="F133" i="4"/>
  <c r="Q133" i="4" s="1"/>
  <c r="S133" i="4" s="1"/>
  <c r="E133" i="4"/>
  <c r="D133" i="4"/>
  <c r="P132" i="4"/>
  <c r="N132" i="4"/>
  <c r="F132" i="4"/>
  <c r="E132" i="4"/>
  <c r="D132" i="4"/>
  <c r="S131" i="4"/>
  <c r="Q131" i="4"/>
  <c r="P131" i="4"/>
  <c r="N131" i="4"/>
  <c r="E131" i="4"/>
  <c r="D131" i="4"/>
  <c r="P130" i="4"/>
  <c r="Q130" i="4" s="1"/>
  <c r="N130" i="4"/>
  <c r="E130" i="4"/>
  <c r="D130" i="4"/>
  <c r="N129" i="4"/>
  <c r="F129" i="4"/>
  <c r="Q129" i="4" s="1"/>
  <c r="S129" i="4" s="1"/>
  <c r="E129" i="4"/>
  <c r="D129" i="4"/>
  <c r="P128" i="4"/>
  <c r="N128" i="4"/>
  <c r="F128" i="4"/>
  <c r="E128" i="4"/>
  <c r="D128" i="4"/>
  <c r="P127" i="4"/>
  <c r="N127" i="4"/>
  <c r="F127" i="4"/>
  <c r="Q127" i="4" s="1"/>
  <c r="S127" i="4" s="1"/>
  <c r="E127" i="4"/>
  <c r="D127" i="4"/>
  <c r="P126" i="4"/>
  <c r="N126" i="4"/>
  <c r="F126" i="4"/>
  <c r="E126" i="4"/>
  <c r="D126" i="4"/>
  <c r="P125" i="4"/>
  <c r="N125" i="4"/>
  <c r="F125" i="4"/>
  <c r="Q125" i="4" s="1"/>
  <c r="S125" i="4" s="1"/>
  <c r="E125" i="4"/>
  <c r="D125" i="4"/>
  <c r="P124" i="4"/>
  <c r="N124" i="4"/>
  <c r="F124" i="4"/>
  <c r="E124" i="4"/>
  <c r="D124" i="4"/>
  <c r="P123" i="4"/>
  <c r="N123" i="4"/>
  <c r="F123" i="4"/>
  <c r="Q123" i="4" s="1"/>
  <c r="S123" i="4" s="1"/>
  <c r="E123" i="4"/>
  <c r="D123" i="4"/>
  <c r="P122" i="4"/>
  <c r="N122" i="4"/>
  <c r="F122" i="4"/>
  <c r="Q122" i="4" s="1"/>
  <c r="S122" i="4" s="1"/>
  <c r="E122" i="4"/>
  <c r="D122" i="4"/>
  <c r="P121" i="4"/>
  <c r="N121" i="4"/>
  <c r="F121" i="4"/>
  <c r="E121" i="4"/>
  <c r="D121" i="4"/>
  <c r="P120" i="4"/>
  <c r="N120" i="4"/>
  <c r="F120" i="4"/>
  <c r="E120" i="4"/>
  <c r="D120" i="4"/>
  <c r="P119" i="4"/>
  <c r="N119" i="4"/>
  <c r="F119" i="4"/>
  <c r="Q119" i="4" s="1"/>
  <c r="S119" i="4" s="1"/>
  <c r="E119" i="4"/>
  <c r="D119" i="4"/>
  <c r="P118" i="4"/>
  <c r="N118" i="4"/>
  <c r="F118" i="4"/>
  <c r="E118" i="4"/>
  <c r="D118" i="4"/>
  <c r="P117" i="4"/>
  <c r="N117" i="4"/>
  <c r="F117" i="4"/>
  <c r="Q117" i="4" s="1"/>
  <c r="S117" i="4" s="1"/>
  <c r="E117" i="4"/>
  <c r="D117" i="4"/>
  <c r="P116" i="4"/>
  <c r="N116" i="4"/>
  <c r="F116" i="4"/>
  <c r="E116" i="4"/>
  <c r="D116" i="4"/>
  <c r="P115" i="4"/>
  <c r="N115" i="4"/>
  <c r="F115" i="4"/>
  <c r="Q115" i="4" s="1"/>
  <c r="S115" i="4" s="1"/>
  <c r="E115" i="4"/>
  <c r="D115" i="4"/>
  <c r="P114" i="4"/>
  <c r="N114" i="4"/>
  <c r="F114" i="4"/>
  <c r="Q114" i="4" s="1"/>
  <c r="S114" i="4" s="1"/>
  <c r="E114" i="4"/>
  <c r="D114" i="4"/>
  <c r="P113" i="4"/>
  <c r="N113" i="4"/>
  <c r="F113" i="4"/>
  <c r="E113" i="4"/>
  <c r="D113" i="4"/>
  <c r="P112" i="4"/>
  <c r="N112" i="4"/>
  <c r="F112" i="4"/>
  <c r="Q112" i="4" s="1"/>
  <c r="E112" i="4"/>
  <c r="D112" i="4"/>
  <c r="P111" i="4"/>
  <c r="N111" i="4"/>
  <c r="F111" i="4"/>
  <c r="E111" i="4"/>
  <c r="D111" i="4"/>
  <c r="P110" i="4"/>
  <c r="N110" i="4"/>
  <c r="F110" i="4"/>
  <c r="E110" i="4"/>
  <c r="D110" i="4"/>
  <c r="P109" i="4"/>
  <c r="N109" i="4"/>
  <c r="F109" i="4"/>
  <c r="Q109" i="4" s="1"/>
  <c r="E109" i="4"/>
  <c r="D109" i="4"/>
  <c r="P108" i="4"/>
  <c r="N108" i="4"/>
  <c r="F108" i="4"/>
  <c r="E108" i="4"/>
  <c r="D108" i="4"/>
  <c r="P107" i="4"/>
  <c r="N107" i="4"/>
  <c r="F107" i="4"/>
  <c r="Q107" i="4" s="1"/>
  <c r="S107" i="4" s="1"/>
  <c r="E107" i="4"/>
  <c r="D107" i="4"/>
  <c r="P106" i="4"/>
  <c r="N106" i="4"/>
  <c r="F106" i="4"/>
  <c r="E106" i="4"/>
  <c r="D106" i="4"/>
  <c r="P105" i="4"/>
  <c r="N105" i="4"/>
  <c r="F105" i="4"/>
  <c r="Q105" i="4" s="1"/>
  <c r="S105" i="4" s="1"/>
  <c r="E105" i="4"/>
  <c r="D105" i="4"/>
  <c r="P104" i="4"/>
  <c r="N104" i="4"/>
  <c r="F104" i="4"/>
  <c r="Q104" i="4" s="1"/>
  <c r="S104" i="4" s="1"/>
  <c r="E104" i="4"/>
  <c r="D104" i="4"/>
  <c r="P103" i="4"/>
  <c r="N103" i="4"/>
  <c r="F103" i="4"/>
  <c r="E103" i="4"/>
  <c r="D103" i="4"/>
  <c r="P102" i="4"/>
  <c r="N102" i="4"/>
  <c r="F102" i="4"/>
  <c r="E102" i="4"/>
  <c r="D102" i="4"/>
  <c r="P101" i="4"/>
  <c r="N101" i="4"/>
  <c r="F101" i="4"/>
  <c r="E101" i="4"/>
  <c r="D101" i="4"/>
  <c r="P100" i="4"/>
  <c r="N100" i="4"/>
  <c r="F100" i="4"/>
  <c r="E100" i="4"/>
  <c r="D100" i="4"/>
  <c r="P99" i="4"/>
  <c r="N99" i="4"/>
  <c r="F99" i="4"/>
  <c r="E99" i="4"/>
  <c r="D99" i="4"/>
  <c r="P98" i="4"/>
  <c r="N98" i="4"/>
  <c r="F98" i="4"/>
  <c r="E98" i="4"/>
  <c r="D98" i="4"/>
  <c r="Q97" i="4"/>
  <c r="S97" i="4" s="1"/>
  <c r="P97" i="4"/>
  <c r="N97" i="4"/>
  <c r="E97" i="4"/>
  <c r="D97" i="4"/>
  <c r="P96" i="4"/>
  <c r="N96" i="4"/>
  <c r="F96" i="4"/>
  <c r="Q96" i="4" s="1"/>
  <c r="E96" i="4"/>
  <c r="D96" i="4"/>
  <c r="P95" i="4"/>
  <c r="N95" i="4"/>
  <c r="F95" i="4"/>
  <c r="E95" i="4"/>
  <c r="D95" i="4"/>
  <c r="P94" i="4"/>
  <c r="N94" i="4"/>
  <c r="F94" i="4"/>
  <c r="E94" i="4"/>
  <c r="D94" i="4"/>
  <c r="P93" i="4"/>
  <c r="F93" i="4"/>
  <c r="E93" i="4"/>
  <c r="D93" i="4"/>
  <c r="P92" i="4"/>
  <c r="Q92" i="4" s="1"/>
  <c r="S92" i="4" s="1"/>
  <c r="N92" i="4"/>
  <c r="E92" i="4"/>
  <c r="D92" i="4"/>
  <c r="P91" i="4"/>
  <c r="N91" i="4"/>
  <c r="F91" i="4"/>
  <c r="E91" i="4"/>
  <c r="D91" i="4"/>
  <c r="P90" i="4"/>
  <c r="N90" i="4"/>
  <c r="F90" i="4"/>
  <c r="E90" i="4"/>
  <c r="D90" i="4"/>
  <c r="P89" i="4"/>
  <c r="N89" i="4"/>
  <c r="F89" i="4"/>
  <c r="E89" i="4"/>
  <c r="D89" i="4"/>
  <c r="P88" i="4"/>
  <c r="N88" i="4"/>
  <c r="F88" i="4"/>
  <c r="Q88" i="4" s="1"/>
  <c r="S88" i="4" s="1"/>
  <c r="E88" i="4"/>
  <c r="D88" i="4"/>
  <c r="P87" i="4"/>
  <c r="N87" i="4"/>
  <c r="F87" i="4"/>
  <c r="E87" i="4"/>
  <c r="D87" i="4"/>
  <c r="P86" i="4"/>
  <c r="N86" i="4"/>
  <c r="F86" i="4"/>
  <c r="E86" i="4"/>
  <c r="D86" i="4"/>
  <c r="P85" i="4"/>
  <c r="N85" i="4"/>
  <c r="F85" i="4"/>
  <c r="E85" i="4"/>
  <c r="D85" i="4"/>
  <c r="Q84" i="4"/>
  <c r="S84" i="4" s="1"/>
  <c r="P84" i="4"/>
  <c r="N84" i="4"/>
  <c r="E84" i="4"/>
  <c r="D84" i="4"/>
  <c r="P83" i="4"/>
  <c r="N83" i="4"/>
  <c r="F83" i="4"/>
  <c r="E83" i="4"/>
  <c r="D83" i="4"/>
  <c r="P82" i="4"/>
  <c r="N82" i="4"/>
  <c r="F82" i="4"/>
  <c r="E82" i="4"/>
  <c r="D82" i="4"/>
  <c r="P81" i="4"/>
  <c r="N81" i="4"/>
  <c r="F81" i="4"/>
  <c r="Q81" i="4" s="1"/>
  <c r="S81" i="4" s="1"/>
  <c r="E81" i="4"/>
  <c r="D81" i="4"/>
  <c r="P80" i="4"/>
  <c r="N80" i="4"/>
  <c r="F80" i="4"/>
  <c r="E80" i="4"/>
  <c r="D80" i="4"/>
  <c r="P79" i="4"/>
  <c r="N79" i="4"/>
  <c r="F79" i="4"/>
  <c r="E79" i="4"/>
  <c r="D79" i="4"/>
  <c r="P78" i="4"/>
  <c r="N78" i="4"/>
  <c r="F78" i="4"/>
  <c r="E78" i="4"/>
  <c r="D78" i="4"/>
  <c r="P77" i="4"/>
  <c r="N77" i="4"/>
  <c r="F77" i="4"/>
  <c r="Q77" i="4" s="1"/>
  <c r="S77" i="4" s="1"/>
  <c r="E77" i="4"/>
  <c r="D77" i="4"/>
  <c r="P76" i="4"/>
  <c r="N76" i="4"/>
  <c r="F76" i="4"/>
  <c r="E76" i="4"/>
  <c r="D76" i="4"/>
  <c r="P75" i="4"/>
  <c r="N75" i="4"/>
  <c r="F75" i="4"/>
  <c r="E75" i="4"/>
  <c r="D75" i="4"/>
  <c r="P74" i="4"/>
  <c r="N74" i="4"/>
  <c r="F74" i="4"/>
  <c r="E74" i="4"/>
  <c r="D74" i="4"/>
  <c r="Q73" i="4"/>
  <c r="S73" i="4" s="1"/>
  <c r="P73" i="4"/>
  <c r="N73" i="4"/>
  <c r="E73" i="4"/>
  <c r="D73" i="4"/>
  <c r="P72" i="4"/>
  <c r="N72" i="4"/>
  <c r="F72" i="4"/>
  <c r="E72" i="4"/>
  <c r="D72" i="4"/>
  <c r="P71" i="4"/>
  <c r="N71" i="4"/>
  <c r="F71" i="4"/>
  <c r="E71" i="4"/>
  <c r="D71" i="4"/>
  <c r="Q70" i="4"/>
  <c r="S70" i="4" s="1"/>
  <c r="P70" i="4"/>
  <c r="N70" i="4"/>
  <c r="E70" i="4"/>
  <c r="D70" i="4"/>
  <c r="P69" i="4"/>
  <c r="N69" i="4"/>
  <c r="F69" i="4"/>
  <c r="E69" i="4"/>
  <c r="D69" i="4"/>
  <c r="P68" i="4"/>
  <c r="Q68" i="4" s="1"/>
  <c r="S68" i="4" s="1"/>
  <c r="N68" i="4"/>
  <c r="E68" i="4"/>
  <c r="D68" i="4"/>
  <c r="P67" i="4"/>
  <c r="N67" i="4"/>
  <c r="F67" i="4"/>
  <c r="E67" i="4"/>
  <c r="D67" i="4"/>
  <c r="P66" i="4"/>
  <c r="N66" i="4"/>
  <c r="F66" i="4"/>
  <c r="E66" i="4"/>
  <c r="D66" i="4"/>
  <c r="P65" i="4"/>
  <c r="N65" i="4"/>
  <c r="F65" i="4"/>
  <c r="E65" i="4"/>
  <c r="D65" i="4"/>
  <c r="Q64" i="4"/>
  <c r="S64" i="4" s="1"/>
  <c r="P64" i="4"/>
  <c r="N64" i="4"/>
  <c r="E64" i="4"/>
  <c r="D64" i="4"/>
  <c r="P63" i="4"/>
  <c r="N63" i="4"/>
  <c r="F63" i="4"/>
  <c r="E63" i="4"/>
  <c r="D63" i="4"/>
  <c r="P62" i="4"/>
  <c r="Q62" i="4" s="1"/>
  <c r="S62" i="4" s="1"/>
  <c r="N62" i="4"/>
  <c r="E62" i="4"/>
  <c r="D62" i="4"/>
  <c r="P61" i="4"/>
  <c r="Q61" i="4" s="1"/>
  <c r="S61" i="4" s="1"/>
  <c r="N61" i="4"/>
  <c r="E61" i="4"/>
  <c r="D61" i="4"/>
  <c r="P60" i="4"/>
  <c r="N60" i="4"/>
  <c r="F60" i="4"/>
  <c r="E60" i="4"/>
  <c r="D60" i="4"/>
  <c r="P59" i="4"/>
  <c r="N59" i="4"/>
  <c r="F59" i="4"/>
  <c r="Q59" i="4" s="1"/>
  <c r="S59" i="4" s="1"/>
  <c r="E59" i="4"/>
  <c r="D59" i="4"/>
  <c r="P58" i="4"/>
  <c r="N58" i="4"/>
  <c r="F58" i="4"/>
  <c r="E58" i="4"/>
  <c r="D58" i="4"/>
  <c r="P57" i="4"/>
  <c r="N57" i="4"/>
  <c r="F57" i="4"/>
  <c r="E57" i="4"/>
  <c r="D57" i="4"/>
  <c r="S56" i="4"/>
  <c r="P56" i="4"/>
  <c r="Q56" i="4" s="1"/>
  <c r="N56" i="4"/>
  <c r="E56" i="4"/>
  <c r="D56" i="4"/>
  <c r="P55" i="4"/>
  <c r="Q55" i="4" s="1"/>
  <c r="S55" i="4" s="1"/>
  <c r="N55" i="4"/>
  <c r="E55" i="4"/>
  <c r="D55" i="4"/>
  <c r="P54" i="4"/>
  <c r="Q54" i="4" s="1"/>
  <c r="S54" i="4" s="1"/>
  <c r="N54" i="4"/>
  <c r="E54" i="4"/>
  <c r="D54" i="4"/>
  <c r="P53" i="4"/>
  <c r="Q53" i="4" s="1"/>
  <c r="S53" i="4" s="1"/>
  <c r="N53" i="4"/>
  <c r="E53" i="4"/>
  <c r="D53" i="4"/>
  <c r="P52" i="4"/>
  <c r="N52" i="4"/>
  <c r="F52" i="4"/>
  <c r="E52" i="4"/>
  <c r="D52" i="4"/>
  <c r="P51" i="4"/>
  <c r="N51" i="4"/>
  <c r="F51" i="4"/>
  <c r="Q51" i="4" s="1"/>
  <c r="S51" i="4" s="1"/>
  <c r="E51" i="4"/>
  <c r="D51" i="4"/>
  <c r="P50" i="4"/>
  <c r="N50" i="4"/>
  <c r="F50" i="4"/>
  <c r="Q50" i="4" s="1"/>
  <c r="S50" i="4" s="1"/>
  <c r="E50" i="4"/>
  <c r="D50" i="4"/>
  <c r="P49" i="4"/>
  <c r="Q49" i="4" s="1"/>
  <c r="S49" i="4" s="1"/>
  <c r="N49" i="4"/>
  <c r="E49" i="4"/>
  <c r="D49" i="4"/>
  <c r="Q48" i="4"/>
  <c r="S48" i="4" s="1"/>
  <c r="P48" i="4"/>
  <c r="N48" i="4"/>
  <c r="E48" i="4"/>
  <c r="D48" i="4"/>
  <c r="P47" i="4"/>
  <c r="N47" i="4"/>
  <c r="F47" i="4"/>
  <c r="E47" i="4"/>
  <c r="D47" i="4"/>
  <c r="P46" i="4"/>
  <c r="N46" i="4"/>
  <c r="F46" i="4"/>
  <c r="E46" i="4"/>
  <c r="D46" i="4"/>
  <c r="P45" i="4"/>
  <c r="N45" i="4"/>
  <c r="F45" i="4"/>
  <c r="Q45" i="4" s="1"/>
  <c r="S45" i="4" s="1"/>
  <c r="E45" i="4"/>
  <c r="D45" i="4"/>
  <c r="P44" i="4"/>
  <c r="Q44" i="4" s="1"/>
  <c r="S44" i="4" s="1"/>
  <c r="N44" i="4"/>
  <c r="E44" i="4"/>
  <c r="D44" i="4"/>
  <c r="P43" i="4"/>
  <c r="Q43" i="4" s="1"/>
  <c r="S43" i="4" s="1"/>
  <c r="N43" i="4"/>
  <c r="E43" i="4"/>
  <c r="D43" i="4"/>
  <c r="P42" i="4"/>
  <c r="N42" i="4"/>
  <c r="F42" i="4"/>
  <c r="E42" i="4"/>
  <c r="D42" i="4"/>
  <c r="P41" i="4"/>
  <c r="Q41" i="4" s="1"/>
  <c r="S41" i="4" s="1"/>
  <c r="N41" i="4"/>
  <c r="E41" i="4"/>
  <c r="D41" i="4"/>
  <c r="Q40" i="4"/>
  <c r="S40" i="4" s="1"/>
  <c r="P40" i="4"/>
  <c r="N40" i="4"/>
  <c r="E40" i="4"/>
  <c r="D40" i="4"/>
  <c r="P39" i="4"/>
  <c r="Q39" i="4" s="1"/>
  <c r="N39" i="4"/>
  <c r="E39" i="4"/>
  <c r="D39" i="4"/>
  <c r="P38" i="4"/>
  <c r="N38" i="4"/>
  <c r="F38" i="4"/>
  <c r="Q38" i="4" s="1"/>
  <c r="S38" i="4" s="1"/>
  <c r="E38" i="4"/>
  <c r="D38" i="4"/>
  <c r="P37" i="4"/>
  <c r="N37" i="4"/>
  <c r="F37" i="4"/>
  <c r="E37" i="4"/>
  <c r="D37" i="4"/>
  <c r="P36" i="4"/>
  <c r="Q36" i="4" s="1"/>
  <c r="S36" i="4" s="1"/>
  <c r="N36" i="4"/>
  <c r="E36" i="4"/>
  <c r="D36" i="4"/>
  <c r="Q35" i="4"/>
  <c r="S35" i="4" s="1"/>
  <c r="P35" i="4"/>
  <c r="N35" i="4"/>
  <c r="E35" i="4"/>
  <c r="D35" i="4"/>
  <c r="P34" i="4"/>
  <c r="Q34" i="4" s="1"/>
  <c r="S34" i="4" s="1"/>
  <c r="N34" i="4"/>
  <c r="E34" i="4"/>
  <c r="D34" i="4"/>
  <c r="Q33" i="4"/>
  <c r="S33" i="4" s="1"/>
  <c r="P33" i="4"/>
  <c r="N33" i="4"/>
  <c r="E33" i="4"/>
  <c r="D33" i="4"/>
  <c r="P32" i="4"/>
  <c r="N32" i="4"/>
  <c r="F32" i="4"/>
  <c r="E32" i="4"/>
  <c r="D32" i="4"/>
  <c r="P31" i="4"/>
  <c r="N31" i="4"/>
  <c r="F31" i="4"/>
  <c r="E31" i="4"/>
  <c r="D31" i="4"/>
  <c r="Q30" i="4"/>
  <c r="S30" i="4" s="1"/>
  <c r="P30" i="4"/>
  <c r="N30" i="4"/>
  <c r="E30" i="4"/>
  <c r="D30" i="4"/>
  <c r="P29" i="4"/>
  <c r="Q29" i="4" s="1"/>
  <c r="N29" i="4"/>
  <c r="E29" i="4"/>
  <c r="D29" i="4"/>
  <c r="P28" i="4"/>
  <c r="N28" i="4"/>
  <c r="F28" i="4"/>
  <c r="Q28" i="4" s="1"/>
  <c r="S28" i="4" s="1"/>
  <c r="E28" i="4"/>
  <c r="D28" i="4"/>
  <c r="P27" i="4"/>
  <c r="N27" i="4"/>
  <c r="F27" i="4"/>
  <c r="E27" i="4"/>
  <c r="D27" i="4"/>
  <c r="P26" i="4"/>
  <c r="N26" i="4"/>
  <c r="F26" i="4"/>
  <c r="E26" i="4"/>
  <c r="D26" i="4"/>
  <c r="P25" i="4"/>
  <c r="Q25" i="4" s="1"/>
  <c r="S25" i="4" s="1"/>
  <c r="N25" i="4"/>
  <c r="E25" i="4"/>
  <c r="D25" i="4"/>
  <c r="P24" i="4"/>
  <c r="N24" i="4"/>
  <c r="F24" i="4"/>
  <c r="E24" i="4"/>
  <c r="D24" i="4"/>
  <c r="P23" i="4"/>
  <c r="N23" i="4"/>
  <c r="F23" i="4"/>
  <c r="E23" i="4"/>
  <c r="D23" i="4"/>
  <c r="P22" i="4"/>
  <c r="N22" i="4"/>
  <c r="F22" i="4"/>
  <c r="E22" i="4"/>
  <c r="D22" i="4"/>
  <c r="P21" i="4"/>
  <c r="N21" i="4"/>
  <c r="F21" i="4"/>
  <c r="Q21" i="4" s="1"/>
  <c r="S21" i="4" s="1"/>
  <c r="E21" i="4"/>
  <c r="D21" i="4"/>
  <c r="P20" i="4"/>
  <c r="Q20" i="4" s="1"/>
  <c r="S20" i="4" s="1"/>
  <c r="N20" i="4"/>
  <c r="E20" i="4"/>
  <c r="D20" i="4"/>
  <c r="P19" i="4"/>
  <c r="N19" i="4"/>
  <c r="F19" i="4"/>
  <c r="E19" i="4"/>
  <c r="D19" i="4"/>
  <c r="P18" i="4"/>
  <c r="N18" i="4"/>
  <c r="F18" i="4"/>
  <c r="Q18" i="4" s="1"/>
  <c r="S18" i="4" s="1"/>
  <c r="E18" i="4"/>
  <c r="D18" i="4"/>
  <c r="Q17" i="4"/>
  <c r="S17" i="4" s="1"/>
  <c r="P17" i="4"/>
  <c r="N17" i="4"/>
  <c r="E17" i="4"/>
  <c r="D17" i="4"/>
  <c r="P16" i="4"/>
  <c r="N16" i="4"/>
  <c r="F16" i="4"/>
  <c r="E16" i="4"/>
  <c r="D16" i="4"/>
  <c r="P15" i="4"/>
  <c r="N15" i="4"/>
  <c r="F15" i="4"/>
  <c r="Q15" i="4" s="1"/>
  <c r="S15" i="4" s="1"/>
  <c r="E15" i="4"/>
  <c r="D15" i="4"/>
  <c r="P14" i="4"/>
  <c r="N14" i="4"/>
  <c r="F14" i="4"/>
  <c r="E14" i="4"/>
  <c r="D14" i="4"/>
  <c r="P13" i="4"/>
  <c r="N13" i="4"/>
  <c r="F13" i="4"/>
  <c r="E13" i="4"/>
  <c r="D13" i="4"/>
  <c r="P12" i="4"/>
  <c r="Q12" i="4" s="1"/>
  <c r="S12" i="4" s="1"/>
  <c r="N12" i="4"/>
  <c r="E12" i="4"/>
  <c r="D12" i="4"/>
  <c r="P11" i="4"/>
  <c r="N11" i="4"/>
  <c r="F11" i="4"/>
  <c r="Q11" i="4" s="1"/>
  <c r="S11" i="4" s="1"/>
  <c r="E11" i="4"/>
  <c r="D11" i="4"/>
  <c r="P10" i="4"/>
  <c r="N10" i="4"/>
  <c r="F10" i="4"/>
  <c r="E10" i="4"/>
  <c r="D10" i="4"/>
  <c r="P9" i="4"/>
  <c r="N9" i="4"/>
  <c r="F9" i="4"/>
  <c r="E9" i="4"/>
  <c r="D9" i="4"/>
  <c r="P8" i="4"/>
  <c r="Q8" i="4" s="1"/>
  <c r="S8" i="4" s="1"/>
  <c r="N8" i="4"/>
  <c r="E8" i="4"/>
  <c r="D8" i="4"/>
  <c r="P7" i="4"/>
  <c r="N7" i="4"/>
  <c r="F7" i="4"/>
  <c r="E7" i="4"/>
  <c r="D7" i="4"/>
  <c r="P6" i="4"/>
  <c r="Q6" i="4" s="1"/>
  <c r="N6" i="4"/>
  <c r="S6" i="4" s="1"/>
  <c r="E6" i="4"/>
  <c r="D6" i="4"/>
  <c r="P5" i="4"/>
  <c r="Q5" i="4" s="1"/>
  <c r="S5" i="4" s="1"/>
  <c r="N5" i="4"/>
  <c r="E5" i="4"/>
  <c r="D5" i="4"/>
  <c r="P4" i="4"/>
  <c r="N4" i="4"/>
  <c r="F4" i="4"/>
  <c r="E4" i="4"/>
  <c r="D4" i="4"/>
  <c r="P3" i="4"/>
  <c r="N3" i="4"/>
  <c r="F3" i="4"/>
  <c r="Q3" i="4" s="1"/>
  <c r="S3" i="4" s="1"/>
  <c r="E3" i="4"/>
  <c r="D3" i="4"/>
  <c r="P2" i="4"/>
  <c r="N2" i="4"/>
  <c r="E2" i="4"/>
  <c r="D2" i="4"/>
  <c r="D150" i="1"/>
  <c r="E150" i="1"/>
  <c r="F150" i="1"/>
  <c r="P150" i="1"/>
  <c r="I150" i="1" s="1"/>
  <c r="D261" i="1"/>
  <c r="D270" i="1"/>
  <c r="D332" i="1"/>
  <c r="D339" i="1"/>
  <c r="D334" i="1"/>
  <c r="E332" i="1"/>
  <c r="F332" i="1"/>
  <c r="P332" i="1"/>
  <c r="I332" i="1" s="1"/>
  <c r="E339" i="1"/>
  <c r="F339" i="1"/>
  <c r="P339" i="1"/>
  <c r="I339" i="1" s="1"/>
  <c r="E261" i="1"/>
  <c r="F261" i="1"/>
  <c r="P261" i="1"/>
  <c r="I261" i="1" s="1"/>
  <c r="E270" i="1"/>
  <c r="F270" i="1"/>
  <c r="P270" i="1"/>
  <c r="I270" i="1" s="1"/>
  <c r="E334" i="1"/>
  <c r="F334" i="1"/>
  <c r="P334" i="1"/>
  <c r="I334" i="1" s="1"/>
  <c r="D290" i="1"/>
  <c r="E290" i="1"/>
  <c r="P290" i="1"/>
  <c r="I290" i="1" s="1"/>
  <c r="D260" i="1"/>
  <c r="E260" i="1"/>
  <c r="F260" i="1"/>
  <c r="P260" i="1"/>
  <c r="I260" i="1" s="1"/>
  <c r="D251" i="1"/>
  <c r="E251" i="1"/>
  <c r="F251" i="1"/>
  <c r="P251" i="1"/>
  <c r="I251" i="1" s="1"/>
  <c r="D269" i="1"/>
  <c r="E269" i="1"/>
  <c r="F269" i="1"/>
  <c r="P269" i="1"/>
  <c r="I269" i="1" s="1"/>
  <c r="D279" i="1"/>
  <c r="E279" i="1"/>
  <c r="F279" i="1"/>
  <c r="P279" i="1"/>
  <c r="I279" i="1" s="1"/>
  <c r="D289" i="1"/>
  <c r="E289" i="1"/>
  <c r="F289" i="1"/>
  <c r="P289" i="1"/>
  <c r="I289" i="1" s="1"/>
  <c r="D299" i="1"/>
  <c r="E299" i="1"/>
  <c r="F299" i="1"/>
  <c r="P299" i="1"/>
  <c r="I299" i="1" s="1"/>
  <c r="D306" i="1"/>
  <c r="E306" i="1"/>
  <c r="F306" i="1"/>
  <c r="P306" i="1"/>
  <c r="I306" i="1" s="1"/>
  <c r="F343" i="1"/>
  <c r="F349" i="1"/>
  <c r="D268" i="1"/>
  <c r="E268" i="1"/>
  <c r="F268" i="1"/>
  <c r="P268" i="1"/>
  <c r="I268" i="1" s="1"/>
  <c r="D278" i="1"/>
  <c r="E278" i="1"/>
  <c r="F278" i="1"/>
  <c r="P278" i="1"/>
  <c r="I278" i="1" s="1"/>
  <c r="D288" i="1"/>
  <c r="E288" i="1"/>
  <c r="F288" i="1"/>
  <c r="P288" i="1"/>
  <c r="I288" i="1" s="1"/>
  <c r="D298" i="1"/>
  <c r="E298" i="1"/>
  <c r="F298" i="1"/>
  <c r="P298" i="1"/>
  <c r="I298" i="1" s="1"/>
  <c r="D343" i="1"/>
  <c r="E343" i="1"/>
  <c r="P343" i="1"/>
  <c r="I343" i="1" s="1"/>
  <c r="D349" i="1"/>
  <c r="E349" i="1"/>
  <c r="P349" i="1"/>
  <c r="I349" i="1" s="1"/>
  <c r="D241" i="1"/>
  <c r="E241" i="1"/>
  <c r="F241" i="1"/>
  <c r="P241" i="1"/>
  <c r="I241" i="1" s="1"/>
  <c r="D319" i="1"/>
  <c r="E319" i="1"/>
  <c r="F319" i="1"/>
  <c r="P319" i="1"/>
  <c r="I319" i="1" s="1"/>
  <c r="D326" i="1"/>
  <c r="E326" i="1"/>
  <c r="F326" i="1"/>
  <c r="P326" i="1"/>
  <c r="I326" i="1" s="1"/>
  <c r="D331" i="1"/>
  <c r="E331" i="1"/>
  <c r="F331" i="1"/>
  <c r="P331" i="1"/>
  <c r="I331" i="1" s="1"/>
  <c r="D338" i="1"/>
  <c r="E338" i="1"/>
  <c r="F338" i="1"/>
  <c r="P338" i="1"/>
  <c r="I338" i="1" s="1"/>
  <c r="D250" i="1"/>
  <c r="E250" i="1"/>
  <c r="F250" i="1"/>
  <c r="P250" i="1"/>
  <c r="I250" i="1" s="1"/>
  <c r="D311" i="1"/>
  <c r="E311" i="1"/>
  <c r="F311" i="1"/>
  <c r="P311" i="1"/>
  <c r="I311" i="1" s="1"/>
  <c r="D342" i="1"/>
  <c r="E342" i="1"/>
  <c r="F342" i="1"/>
  <c r="P342" i="1"/>
  <c r="I342" i="1" s="1"/>
  <c r="D348" i="1"/>
  <c r="E348" i="1"/>
  <c r="F348" i="1"/>
  <c r="P348" i="1"/>
  <c r="I348" i="1" s="1"/>
  <c r="D240" i="1"/>
  <c r="E240" i="1"/>
  <c r="F240" i="1"/>
  <c r="P240" i="1"/>
  <c r="I240" i="1" s="1"/>
  <c r="D312" i="1"/>
  <c r="E312" i="1"/>
  <c r="F312" i="1"/>
  <c r="P312" i="1"/>
  <c r="I312" i="1" s="1"/>
  <c r="D239" i="1"/>
  <c r="E239" i="1"/>
  <c r="F239" i="1"/>
  <c r="P239" i="1"/>
  <c r="I239" i="1" s="1"/>
  <c r="D287" i="1"/>
  <c r="E287" i="1"/>
  <c r="F287" i="1"/>
  <c r="P287" i="1"/>
  <c r="I287" i="1" s="1"/>
  <c r="D297" i="1"/>
  <c r="E297" i="1"/>
  <c r="F297" i="1"/>
  <c r="P297" i="1"/>
  <c r="I297" i="1" s="1"/>
  <c r="D305" i="1"/>
  <c r="E305" i="1"/>
  <c r="F305" i="1"/>
  <c r="P305" i="1"/>
  <c r="I305" i="1" s="1"/>
  <c r="D310" i="1"/>
  <c r="E310" i="1"/>
  <c r="F310" i="1"/>
  <c r="P310" i="1"/>
  <c r="I310" i="1" s="1"/>
  <c r="D318" i="1"/>
  <c r="E318" i="1"/>
  <c r="F318" i="1"/>
  <c r="P318" i="1"/>
  <c r="I318" i="1" s="1"/>
  <c r="D325" i="1"/>
  <c r="E325" i="1"/>
  <c r="F325" i="1"/>
  <c r="P325" i="1"/>
  <c r="I325" i="1" s="1"/>
  <c r="D330" i="1"/>
  <c r="E330" i="1"/>
  <c r="F330" i="1"/>
  <c r="P330" i="1"/>
  <c r="I330" i="1" s="1"/>
  <c r="D337" i="1"/>
  <c r="E337" i="1"/>
  <c r="F337" i="1"/>
  <c r="P337" i="1"/>
  <c r="I337" i="1" s="1"/>
  <c r="D259" i="1"/>
  <c r="E259" i="1"/>
  <c r="F259" i="1"/>
  <c r="P259" i="1"/>
  <c r="I259" i="1" s="1"/>
  <c r="D267" i="1"/>
  <c r="E267" i="1"/>
  <c r="F267" i="1"/>
  <c r="P267" i="1"/>
  <c r="I267" i="1" s="1"/>
  <c r="D277" i="1"/>
  <c r="E277" i="1"/>
  <c r="F277" i="1"/>
  <c r="P277" i="1"/>
  <c r="I277" i="1" s="1"/>
  <c r="D341" i="1"/>
  <c r="E341" i="1"/>
  <c r="F341" i="1"/>
  <c r="P341" i="1"/>
  <c r="I341" i="1" s="1"/>
  <c r="D347" i="1"/>
  <c r="E347" i="1"/>
  <c r="F347" i="1"/>
  <c r="P347" i="1"/>
  <c r="I347" i="1" s="1"/>
  <c r="D324" i="1"/>
  <c r="E324" i="1"/>
  <c r="F324" i="1"/>
  <c r="P324" i="1"/>
  <c r="I324" i="1" s="1"/>
  <c r="D296" i="1"/>
  <c r="E296" i="1"/>
  <c r="F296" i="1"/>
  <c r="P296" i="1"/>
  <c r="I296" i="1" s="1"/>
  <c r="D346" i="1"/>
  <c r="E346" i="1"/>
  <c r="F346" i="1"/>
  <c r="P346" i="1"/>
  <c r="I346" i="1" s="1"/>
  <c r="D286" i="1"/>
  <c r="E286" i="1"/>
  <c r="F286" i="1"/>
  <c r="P286" i="1"/>
  <c r="I286" i="1" s="1"/>
  <c r="D249" i="1"/>
  <c r="E249" i="1"/>
  <c r="F249" i="1"/>
  <c r="P249" i="1"/>
  <c r="I249" i="1" s="1"/>
  <c r="D329" i="1"/>
  <c r="E329" i="1"/>
  <c r="F329" i="1"/>
  <c r="P329" i="1"/>
  <c r="I329" i="1" s="1"/>
  <c r="D333" i="1"/>
  <c r="E333" i="1"/>
  <c r="F333" i="1"/>
  <c r="P333" i="1"/>
  <c r="I333" i="1" s="1"/>
  <c r="D335" i="1"/>
  <c r="E335" i="1"/>
  <c r="F335" i="1"/>
  <c r="P335" i="1"/>
  <c r="I335" i="1" s="1"/>
  <c r="D317" i="1"/>
  <c r="E317" i="1"/>
  <c r="F317" i="1"/>
  <c r="P317" i="1"/>
  <c r="I317" i="1" s="1"/>
  <c r="D323" i="1"/>
  <c r="E323" i="1"/>
  <c r="F323" i="1"/>
  <c r="P323" i="1"/>
  <c r="I323" i="1" s="1"/>
  <c r="D336" i="1"/>
  <c r="E336" i="1"/>
  <c r="F336" i="1"/>
  <c r="P336" i="1"/>
  <c r="I336" i="1" s="1"/>
  <c r="D304" i="1"/>
  <c r="E304" i="1"/>
  <c r="F304" i="1"/>
  <c r="P304" i="1"/>
  <c r="I304" i="1" s="1"/>
  <c r="D309" i="1"/>
  <c r="E309" i="1"/>
  <c r="F309" i="1"/>
  <c r="P309" i="1"/>
  <c r="I309" i="1" s="1"/>
  <c r="D248" i="1"/>
  <c r="E248" i="1"/>
  <c r="F248" i="1"/>
  <c r="P248" i="1"/>
  <c r="I248" i="1" s="1"/>
  <c r="D316" i="1"/>
  <c r="E316" i="1"/>
  <c r="F316" i="1"/>
  <c r="P316" i="1"/>
  <c r="I316" i="1" s="1"/>
  <c r="D340" i="1"/>
  <c r="E340" i="1"/>
  <c r="F340" i="1"/>
  <c r="P340" i="1"/>
  <c r="I340" i="1" s="1"/>
  <c r="D344" i="1"/>
  <c r="E344" i="1"/>
  <c r="F344" i="1"/>
  <c r="P344" i="1"/>
  <c r="I344" i="1" s="1"/>
  <c r="D258" i="1"/>
  <c r="E258" i="1"/>
  <c r="F258" i="1"/>
  <c r="P258" i="1"/>
  <c r="I258" i="1" s="1"/>
  <c r="D295" i="1"/>
  <c r="E295" i="1"/>
  <c r="F295" i="1"/>
  <c r="P295" i="1"/>
  <c r="I295" i="1" s="1"/>
  <c r="D345" i="1"/>
  <c r="E345" i="1"/>
  <c r="F345" i="1"/>
  <c r="P345" i="1"/>
  <c r="I345" i="1" s="1"/>
  <c r="D350" i="1"/>
  <c r="E350" i="1"/>
  <c r="F350" i="1"/>
  <c r="P350" i="1"/>
  <c r="I350" i="1" s="1"/>
  <c r="D320" i="1"/>
  <c r="D313" i="1"/>
  <c r="D307" i="1"/>
  <c r="D262" i="1"/>
  <c r="D252" i="1"/>
  <c r="D276" i="1"/>
  <c r="E276" i="1"/>
  <c r="F276" i="1"/>
  <c r="P276" i="1"/>
  <c r="I276" i="1" s="1"/>
  <c r="D266" i="1"/>
  <c r="E266" i="1"/>
  <c r="F266" i="1"/>
  <c r="P266" i="1"/>
  <c r="I266" i="1" s="1"/>
  <c r="D285" i="1"/>
  <c r="E285" i="1"/>
  <c r="F285" i="1"/>
  <c r="P285" i="1"/>
  <c r="I285" i="1" s="1"/>
  <c r="D294" i="1"/>
  <c r="E294" i="1"/>
  <c r="F294" i="1"/>
  <c r="P294" i="1"/>
  <c r="I294" i="1" s="1"/>
  <c r="D257" i="1"/>
  <c r="E257" i="1"/>
  <c r="F257" i="1"/>
  <c r="P257" i="1"/>
  <c r="I257" i="1" s="1"/>
  <c r="D303" i="1"/>
  <c r="E303" i="1"/>
  <c r="F303" i="1"/>
  <c r="P303" i="1"/>
  <c r="I303" i="1" s="1"/>
  <c r="D308" i="1"/>
  <c r="E308" i="1"/>
  <c r="F308" i="1"/>
  <c r="P308" i="1"/>
  <c r="I308" i="1" s="1"/>
  <c r="D247" i="1"/>
  <c r="E247" i="1"/>
  <c r="F247" i="1"/>
  <c r="P247" i="1"/>
  <c r="I247" i="1" s="1"/>
  <c r="D315" i="1"/>
  <c r="E315" i="1"/>
  <c r="F315" i="1"/>
  <c r="P315" i="1"/>
  <c r="I315" i="1" s="1"/>
  <c r="D322" i="1"/>
  <c r="E322" i="1"/>
  <c r="F322" i="1"/>
  <c r="P322" i="1"/>
  <c r="I322" i="1" s="1"/>
  <c r="D328" i="1"/>
  <c r="E328" i="1"/>
  <c r="F328" i="1"/>
  <c r="P328" i="1"/>
  <c r="I328" i="1" s="1"/>
  <c r="D275" i="1"/>
  <c r="E275" i="1"/>
  <c r="F275" i="1"/>
  <c r="P275" i="1"/>
  <c r="I275" i="1" s="1"/>
  <c r="D284" i="1"/>
  <c r="E284" i="1"/>
  <c r="F284" i="1"/>
  <c r="P284" i="1"/>
  <c r="I284" i="1" s="1"/>
  <c r="D293" i="1"/>
  <c r="E293" i="1"/>
  <c r="F293" i="1"/>
  <c r="P293" i="1"/>
  <c r="I293" i="1" s="1"/>
  <c r="D265" i="1"/>
  <c r="E265" i="1"/>
  <c r="F265" i="1"/>
  <c r="P265" i="1"/>
  <c r="I265" i="1" s="1"/>
  <c r="D302" i="1"/>
  <c r="E302" i="1"/>
  <c r="F302" i="1"/>
  <c r="P302" i="1"/>
  <c r="I302" i="1" s="1"/>
  <c r="D256" i="1"/>
  <c r="E256" i="1"/>
  <c r="F256" i="1"/>
  <c r="P256" i="1"/>
  <c r="I256" i="1" s="1"/>
  <c r="D314" i="1"/>
  <c r="E314" i="1"/>
  <c r="F314" i="1"/>
  <c r="P314" i="1"/>
  <c r="I314" i="1" s="1"/>
  <c r="D246" i="1"/>
  <c r="E246" i="1"/>
  <c r="F246" i="1"/>
  <c r="P246" i="1"/>
  <c r="I246" i="1" s="1"/>
  <c r="D327" i="1"/>
  <c r="E327" i="1"/>
  <c r="F327" i="1"/>
  <c r="P327" i="1"/>
  <c r="I327" i="1" s="1"/>
  <c r="D238" i="1"/>
  <c r="E238" i="1"/>
  <c r="F238" i="1"/>
  <c r="P238" i="1"/>
  <c r="I238" i="1" s="1"/>
  <c r="D264" i="1"/>
  <c r="E264" i="1"/>
  <c r="F264" i="1"/>
  <c r="P264" i="1"/>
  <c r="I264" i="1" s="1"/>
  <c r="D283" i="1"/>
  <c r="E283" i="1"/>
  <c r="F283" i="1"/>
  <c r="P283" i="1"/>
  <c r="I283" i="1" s="1"/>
  <c r="D255" i="1"/>
  <c r="E255" i="1"/>
  <c r="F255" i="1"/>
  <c r="P255" i="1"/>
  <c r="I255" i="1" s="1"/>
  <c r="D274" i="1"/>
  <c r="E274" i="1"/>
  <c r="F274" i="1"/>
  <c r="P274" i="1"/>
  <c r="I274" i="1" s="1"/>
  <c r="D292" i="1"/>
  <c r="E292" i="1"/>
  <c r="F292" i="1"/>
  <c r="P292" i="1"/>
  <c r="I292" i="1" s="1"/>
  <c r="D224" i="1"/>
  <c r="E224" i="1"/>
  <c r="F224" i="1"/>
  <c r="P224" i="1"/>
  <c r="I224" i="1" s="1"/>
  <c r="D245" i="1"/>
  <c r="E245" i="1"/>
  <c r="F245" i="1"/>
  <c r="P245" i="1"/>
  <c r="I245" i="1" s="1"/>
  <c r="D301" i="1"/>
  <c r="E301" i="1"/>
  <c r="F301" i="1"/>
  <c r="P301" i="1"/>
  <c r="I301" i="1" s="1"/>
  <c r="D237" i="1"/>
  <c r="E237" i="1"/>
  <c r="F237" i="1"/>
  <c r="P237" i="1"/>
  <c r="I237" i="1" s="1"/>
  <c r="D321" i="1"/>
  <c r="E321" i="1"/>
  <c r="F321" i="1"/>
  <c r="P321" i="1"/>
  <c r="I321" i="1" s="1"/>
  <c r="D282" i="1"/>
  <c r="E282" i="1"/>
  <c r="F282" i="1"/>
  <c r="P282" i="1"/>
  <c r="I282" i="1" s="1"/>
  <c r="D263" i="1"/>
  <c r="E263" i="1"/>
  <c r="F263" i="1"/>
  <c r="P263" i="1"/>
  <c r="I263" i="1" s="1"/>
  <c r="D254" i="1"/>
  <c r="E254" i="1"/>
  <c r="F254" i="1"/>
  <c r="P254" i="1"/>
  <c r="I254" i="1" s="1"/>
  <c r="D273" i="1"/>
  <c r="E273" i="1"/>
  <c r="F273" i="1"/>
  <c r="P273" i="1"/>
  <c r="I273" i="1" s="1"/>
  <c r="D291" i="1"/>
  <c r="E291" i="1"/>
  <c r="F291" i="1"/>
  <c r="P291" i="1"/>
  <c r="I291" i="1" s="1"/>
  <c r="E313" i="1"/>
  <c r="F313" i="1"/>
  <c r="P313" i="1"/>
  <c r="I313" i="1" s="1"/>
  <c r="E307" i="1"/>
  <c r="F307" i="1"/>
  <c r="P307" i="1"/>
  <c r="I307" i="1" s="1"/>
  <c r="D281" i="1"/>
  <c r="E281" i="1"/>
  <c r="F281" i="1"/>
  <c r="P281" i="1"/>
  <c r="I281" i="1" s="1"/>
  <c r="E320" i="1"/>
  <c r="F320" i="1"/>
  <c r="P320" i="1"/>
  <c r="I320" i="1" s="1"/>
  <c r="D244" i="1"/>
  <c r="E244" i="1"/>
  <c r="F244" i="1"/>
  <c r="P244" i="1"/>
  <c r="I244" i="1" s="1"/>
  <c r="D300" i="1"/>
  <c r="E300" i="1"/>
  <c r="F300" i="1"/>
  <c r="P300" i="1"/>
  <c r="I300" i="1" s="1"/>
  <c r="D271" i="1"/>
  <c r="E271" i="1"/>
  <c r="P271" i="1"/>
  <c r="I271" i="1" s="1"/>
  <c r="S271" i="1"/>
  <c r="D280" i="1"/>
  <c r="E280" i="1"/>
  <c r="P280" i="1"/>
  <c r="I280" i="1" s="1"/>
  <c r="D272" i="1"/>
  <c r="E272" i="1"/>
  <c r="F272" i="1"/>
  <c r="P272" i="1"/>
  <c r="I272" i="1" s="1"/>
  <c r="D214" i="1"/>
  <c r="E214" i="1"/>
  <c r="F214" i="1"/>
  <c r="P214" i="1"/>
  <c r="I214" i="1" s="1"/>
  <c r="D243" i="1"/>
  <c r="E243" i="1"/>
  <c r="P243" i="1"/>
  <c r="I243" i="1" s="1"/>
  <c r="S243" i="1"/>
  <c r="D253" i="1"/>
  <c r="E253" i="1"/>
  <c r="P253" i="1"/>
  <c r="I253" i="1" s="1"/>
  <c r="D236" i="1"/>
  <c r="E236" i="1"/>
  <c r="F236" i="1"/>
  <c r="P236" i="1"/>
  <c r="I236" i="1" s="1"/>
  <c r="D235" i="1"/>
  <c r="E235" i="1"/>
  <c r="P235" i="1"/>
  <c r="I235" i="1" s="1"/>
  <c r="Q80" i="4" l="1"/>
  <c r="S80" i="4" s="1"/>
  <c r="Q46" i="4"/>
  <c r="S46" i="4" s="1"/>
  <c r="Q58" i="4"/>
  <c r="S58" i="4" s="1"/>
  <c r="Q69" i="4"/>
  <c r="S69" i="4" s="1"/>
  <c r="Q89" i="4"/>
  <c r="S89" i="4" s="1"/>
  <c r="Q217" i="4"/>
  <c r="S217" i="4" s="1"/>
  <c r="Q297" i="4"/>
  <c r="S297" i="4" s="1"/>
  <c r="Q316" i="4"/>
  <c r="S316" i="4" s="1"/>
  <c r="Q47" i="4"/>
  <c r="Q126" i="4"/>
  <c r="S126" i="4" s="1"/>
  <c r="Q186" i="4"/>
  <c r="S186" i="4" s="1"/>
  <c r="Q202" i="4"/>
  <c r="S202" i="4" s="1"/>
  <c r="Q206" i="4"/>
  <c r="S206" i="4" s="1"/>
  <c r="Q210" i="4"/>
  <c r="S210" i="4" s="1"/>
  <c r="Q294" i="4"/>
  <c r="S294" i="4" s="1"/>
  <c r="Q309" i="4"/>
  <c r="S309" i="4" s="1"/>
  <c r="Q313" i="4"/>
  <c r="S313" i="4" s="1"/>
  <c r="Q331" i="4"/>
  <c r="S331" i="4" s="1"/>
  <c r="Q191" i="4"/>
  <c r="Q195" i="4"/>
  <c r="Q199" i="4"/>
  <c r="S199" i="4" s="1"/>
  <c r="Q230" i="4"/>
  <c r="Q288" i="4"/>
  <c r="S288" i="4" s="1"/>
  <c r="Q310" i="4"/>
  <c r="S310" i="4" s="1"/>
  <c r="Q347" i="4"/>
  <c r="S347" i="4" s="1"/>
  <c r="Q254" i="4"/>
  <c r="S254" i="4" s="1"/>
  <c r="Q303" i="4"/>
  <c r="S303" i="4" s="1"/>
  <c r="Q322" i="4"/>
  <c r="S322" i="4" s="1"/>
  <c r="Q42" i="4"/>
  <c r="S42" i="4" s="1"/>
  <c r="Q98" i="4"/>
  <c r="S98" i="4" s="1"/>
  <c r="Q102" i="4"/>
  <c r="Q106" i="4"/>
  <c r="Q178" i="4"/>
  <c r="Q182" i="4"/>
  <c r="Q192" i="4"/>
  <c r="S192" i="4" s="1"/>
  <c r="Q196" i="4"/>
  <c r="S196" i="4" s="1"/>
  <c r="Q203" i="4"/>
  <c r="S203" i="4" s="1"/>
  <c r="Q269" i="4"/>
  <c r="S269" i="4" s="1"/>
  <c r="Q272" i="4"/>
  <c r="Q279" i="4"/>
  <c r="S279" i="4" s="1"/>
  <c r="Q285" i="4"/>
  <c r="S285" i="4" s="1"/>
  <c r="Q307" i="4"/>
  <c r="S307" i="4" s="1"/>
  <c r="Q341" i="4"/>
  <c r="S341" i="4" s="1"/>
  <c r="Q26" i="4"/>
  <c r="S26" i="4" s="1"/>
  <c r="Q31" i="4"/>
  <c r="S31" i="4" s="1"/>
  <c r="Q37" i="4"/>
  <c r="S37" i="4" s="1"/>
  <c r="Q82" i="4"/>
  <c r="S82" i="4" s="1"/>
  <c r="Q86" i="4"/>
  <c r="S86" i="4" s="1"/>
  <c r="Q90" i="4"/>
  <c r="S90" i="4" s="1"/>
  <c r="Q99" i="4"/>
  <c r="Q103" i="4"/>
  <c r="S103" i="4" s="1"/>
  <c r="Q132" i="4"/>
  <c r="S132" i="4" s="1"/>
  <c r="Q142" i="4"/>
  <c r="S142" i="4" s="1"/>
  <c r="Q164" i="4"/>
  <c r="S164" i="4" s="1"/>
  <c r="Q175" i="4"/>
  <c r="Q179" i="4"/>
  <c r="S179" i="4" s="1"/>
  <c r="Q183" i="4"/>
  <c r="Q333" i="4"/>
  <c r="S333" i="4" s="1"/>
  <c r="Q345" i="4"/>
  <c r="S345" i="4" s="1"/>
  <c r="Q7" i="4"/>
  <c r="Q27" i="4"/>
  <c r="S27" i="4" s="1"/>
  <c r="Q57" i="4"/>
  <c r="S57" i="4" s="1"/>
  <c r="Q63" i="4"/>
  <c r="S63" i="4" s="1"/>
  <c r="Q72" i="4"/>
  <c r="S72" i="4" s="1"/>
  <c r="Q76" i="4"/>
  <c r="S76" i="4" s="1"/>
  <c r="Q79" i="4"/>
  <c r="S79" i="4" s="1"/>
  <c r="Q83" i="4"/>
  <c r="S83" i="4" s="1"/>
  <c r="Q108" i="4"/>
  <c r="S108" i="4" s="1"/>
  <c r="Q111" i="4"/>
  <c r="S111" i="4" s="1"/>
  <c r="Q143" i="4"/>
  <c r="S143" i="4" s="1"/>
  <c r="Q150" i="4"/>
  <c r="S150" i="4" s="1"/>
  <c r="Q158" i="4"/>
  <c r="S158" i="4" s="1"/>
  <c r="Q167" i="4"/>
  <c r="S167" i="4" s="1"/>
  <c r="Q176" i="4"/>
  <c r="S176" i="4" s="1"/>
  <c r="Q325" i="4"/>
  <c r="S325" i="4" s="1"/>
  <c r="Q339" i="4"/>
  <c r="S339" i="4" s="1"/>
  <c r="Q13" i="4"/>
  <c r="S13" i="4" s="1"/>
  <c r="Q19" i="4"/>
  <c r="S19" i="4" s="1"/>
  <c r="Q23" i="4"/>
  <c r="S23" i="4" s="1"/>
  <c r="Q32" i="4"/>
  <c r="S32" i="4" s="1"/>
  <c r="Q52" i="4"/>
  <c r="S52" i="4" s="1"/>
  <c r="Q74" i="4"/>
  <c r="S74" i="4" s="1"/>
  <c r="Q91" i="4"/>
  <c r="S91" i="4" s="1"/>
  <c r="Q93" i="4"/>
  <c r="Q100" i="4"/>
  <c r="S100" i="4" s="1"/>
  <c r="Q118" i="4"/>
  <c r="S118" i="4" s="1"/>
  <c r="Q121" i="4"/>
  <c r="S121" i="4" s="1"/>
  <c r="Q124" i="4"/>
  <c r="S124" i="4" s="1"/>
  <c r="Q137" i="4"/>
  <c r="S137" i="4" s="1"/>
  <c r="Q140" i="4"/>
  <c r="S140" i="4" s="1"/>
  <c r="Q144" i="4"/>
  <c r="Q148" i="4"/>
  <c r="S148" i="4" s="1"/>
  <c r="Q151" i="4"/>
  <c r="S151" i="4" s="1"/>
  <c r="Q159" i="4"/>
  <c r="S159" i="4" s="1"/>
  <c r="Q168" i="4"/>
  <c r="S168" i="4" s="1"/>
  <c r="Q207" i="4"/>
  <c r="S207" i="4" s="1"/>
  <c r="Q211" i="4"/>
  <c r="S211" i="4" s="1"/>
  <c r="Q214" i="4"/>
  <c r="S214" i="4" s="1"/>
  <c r="Q218" i="4"/>
  <c r="S218" i="4" s="1"/>
  <c r="Q221" i="4"/>
  <c r="S221" i="4" s="1"/>
  <c r="Q227" i="4"/>
  <c r="S227" i="4" s="1"/>
  <c r="Q233" i="4"/>
  <c r="S233" i="4" s="1"/>
  <c r="Q236" i="4"/>
  <c r="Q245" i="4"/>
  <c r="Q248" i="4"/>
  <c r="S248" i="4" s="1"/>
  <c r="Q258" i="4"/>
  <c r="S258" i="4" s="1"/>
  <c r="Q286" i="4"/>
  <c r="Q301" i="4"/>
  <c r="Q311" i="4"/>
  <c r="S311" i="4" s="1"/>
  <c r="Q314" i="4"/>
  <c r="S314" i="4" s="1"/>
  <c r="Q320" i="4"/>
  <c r="S320" i="4" s="1"/>
  <c r="Q329" i="4"/>
  <c r="S329" i="4" s="1"/>
  <c r="Q337" i="4"/>
  <c r="S337" i="4" s="1"/>
  <c r="Q10" i="4"/>
  <c r="S10" i="4" s="1"/>
  <c r="Q14" i="4"/>
  <c r="S14" i="4" s="1"/>
  <c r="Q24" i="4"/>
  <c r="S24" i="4" s="1"/>
  <c r="Q60" i="4"/>
  <c r="S60" i="4" s="1"/>
  <c r="Q66" i="4"/>
  <c r="S66" i="4" s="1"/>
  <c r="Q75" i="4"/>
  <c r="S75" i="4" s="1"/>
  <c r="Q94" i="4"/>
  <c r="Q101" i="4"/>
  <c r="S101" i="4" s="1"/>
  <c r="Q110" i="4"/>
  <c r="S110" i="4" s="1"/>
  <c r="Q113" i="4"/>
  <c r="Q116" i="4"/>
  <c r="S116" i="4" s="1"/>
  <c r="Q134" i="4"/>
  <c r="S134" i="4" s="1"/>
  <c r="Q152" i="4"/>
  <c r="S152" i="4" s="1"/>
  <c r="Q174" i="4"/>
  <c r="S174" i="4" s="1"/>
  <c r="Q181" i="4"/>
  <c r="S181" i="4" s="1"/>
  <c r="Q185" i="4"/>
  <c r="S185" i="4" s="1"/>
  <c r="Q194" i="4"/>
  <c r="S194" i="4" s="1"/>
  <c r="Q198" i="4"/>
  <c r="S198" i="4" s="1"/>
  <c r="Q222" i="4"/>
  <c r="S222" i="4" s="1"/>
  <c r="Q228" i="4"/>
  <c r="Q234" i="4"/>
  <c r="S234" i="4" s="1"/>
  <c r="Q237" i="4"/>
  <c r="S237" i="4" s="1"/>
  <c r="Q240" i="4"/>
  <c r="Q249" i="4"/>
  <c r="S249" i="4" s="1"/>
  <c r="Q252" i="4"/>
  <c r="Q259" i="4"/>
  <c r="S259" i="4" s="1"/>
  <c r="Q262" i="4"/>
  <c r="Q265" i="4"/>
  <c r="S265" i="4" s="1"/>
  <c r="Q275" i="4"/>
  <c r="S275" i="4" s="1"/>
  <c r="Q315" i="4"/>
  <c r="Q318" i="4"/>
  <c r="S318" i="4" s="1"/>
  <c r="Q321" i="4"/>
  <c r="S321" i="4" s="1"/>
  <c r="Q324" i="4"/>
  <c r="Q327" i="4"/>
  <c r="S327" i="4" s="1"/>
  <c r="Q335" i="4"/>
  <c r="S335" i="4" s="1"/>
  <c r="Q349" i="4"/>
  <c r="S349" i="4" s="1"/>
  <c r="S368" i="1"/>
  <c r="U368" i="1" s="1"/>
  <c r="S366" i="1"/>
  <c r="U366" i="1" s="1"/>
  <c r="S367" i="1"/>
  <c r="U367" i="1" s="1"/>
  <c r="S365" i="1"/>
  <c r="U365" i="1" s="1"/>
  <c r="S397" i="1"/>
  <c r="U397" i="1" s="1"/>
  <c r="S364" i="1"/>
  <c r="U364" i="1" s="1"/>
  <c r="S355" i="1"/>
  <c r="U355" i="1" s="1"/>
  <c r="S351" i="1"/>
  <c r="U351" i="1" s="1"/>
  <c r="S150" i="1"/>
  <c r="U150" i="1" s="1"/>
  <c r="Q305" i="4"/>
  <c r="S305" i="4" s="1"/>
  <c r="Q302" i="4"/>
  <c r="Q296" i="4"/>
  <c r="Q277" i="4"/>
  <c r="S277" i="4" s="1"/>
  <c r="Q229" i="4"/>
  <c r="S229" i="4" s="1"/>
  <c r="Q157" i="4"/>
  <c r="S39" i="4"/>
  <c r="S47" i="4"/>
  <c r="Q67" i="4"/>
  <c r="S67" i="4" s="1"/>
  <c r="Q95" i="4"/>
  <c r="S95" i="4" s="1"/>
  <c r="S130" i="4"/>
  <c r="S149" i="4"/>
  <c r="S106" i="4"/>
  <c r="Q9" i="4"/>
  <c r="S9" i="4" s="1"/>
  <c r="Q16" i="4"/>
  <c r="S16" i="4" s="1"/>
  <c r="Q22" i="4"/>
  <c r="S22" i="4" s="1"/>
  <c r="Q141" i="4"/>
  <c r="P351" i="4"/>
  <c r="Q2" i="4"/>
  <c r="Q4" i="4"/>
  <c r="S4" i="4" s="1"/>
  <c r="S7" i="4"/>
  <c r="S29" i="4"/>
  <c r="Q87" i="4"/>
  <c r="S87" i="4" s="1"/>
  <c r="S96" i="4"/>
  <c r="S113" i="4"/>
  <c r="Q173" i="4"/>
  <c r="Q78" i="4"/>
  <c r="S78" i="4" s="1"/>
  <c r="Q154" i="4"/>
  <c r="S154" i="4" s="1"/>
  <c r="Q65" i="4"/>
  <c r="S65" i="4" s="1"/>
  <c r="Q71" i="4"/>
  <c r="S71" i="4" s="1"/>
  <c r="Q85" i="4"/>
  <c r="S85" i="4" s="1"/>
  <c r="Q139" i="4"/>
  <c r="S139" i="4" s="1"/>
  <c r="Q145" i="4"/>
  <c r="N351" i="4"/>
  <c r="Q120" i="4"/>
  <c r="S120" i="4" s="1"/>
  <c r="Q128" i="4"/>
  <c r="Q161" i="4"/>
  <c r="S161" i="4" s="1"/>
  <c r="Q171" i="4"/>
  <c r="S171" i="4" s="1"/>
  <c r="S175" i="4"/>
  <c r="Q184" i="4"/>
  <c r="S184" i="4" s="1"/>
  <c r="Q188" i="4"/>
  <c r="Q201" i="4"/>
  <c r="S201" i="4" s="1"/>
  <c r="Q205" i="4"/>
  <c r="S205" i="4" s="1"/>
  <c r="Q209" i="4"/>
  <c r="S209" i="4" s="1"/>
  <c r="Q213" i="4"/>
  <c r="S213" i="4" s="1"/>
  <c r="S236" i="4"/>
  <c r="S178" i="4"/>
  <c r="S182" i="4"/>
  <c r="S191" i="4"/>
  <c r="S195" i="4"/>
  <c r="Q216" i="4"/>
  <c r="S216" i="4" s="1"/>
  <c r="Q220" i="4"/>
  <c r="S220" i="4" s="1"/>
  <c r="Q224" i="4"/>
  <c r="S261" i="4"/>
  <c r="S264" i="4"/>
  <c r="S278" i="4"/>
  <c r="S300" i="4"/>
  <c r="S306" i="4"/>
  <c r="S332" i="1"/>
  <c r="U332" i="1" s="1"/>
  <c r="S339" i="1"/>
  <c r="U339" i="1" s="1"/>
  <c r="S261" i="1"/>
  <c r="U261" i="1" s="1"/>
  <c r="S270" i="1"/>
  <c r="U270" i="1" s="1"/>
  <c r="S334" i="1"/>
  <c r="U334" i="1" s="1"/>
  <c r="S260" i="1"/>
  <c r="U260" i="1" s="1"/>
  <c r="S290" i="1"/>
  <c r="S269" i="1"/>
  <c r="U269" i="1" s="1"/>
  <c r="S251" i="1"/>
  <c r="U251" i="1" s="1"/>
  <c r="S289" i="1"/>
  <c r="U289" i="1" s="1"/>
  <c r="S268" i="1"/>
  <c r="U268" i="1" s="1"/>
  <c r="S279" i="1"/>
  <c r="U279" i="1" s="1"/>
  <c r="S299" i="1"/>
  <c r="U299" i="1" s="1"/>
  <c r="S306" i="1"/>
  <c r="U306" i="1" s="1"/>
  <c r="S278" i="1"/>
  <c r="U278" i="1" s="1"/>
  <c r="S288" i="1"/>
  <c r="U288" i="1" s="1"/>
  <c r="S298" i="1"/>
  <c r="U298" i="1" s="1"/>
  <c r="S343" i="1"/>
  <c r="U343" i="1" s="1"/>
  <c r="S349" i="1"/>
  <c r="U349" i="1" s="1"/>
  <c r="S241" i="1"/>
  <c r="U241" i="1" s="1"/>
  <c r="S319" i="1"/>
  <c r="U319" i="1" s="1"/>
  <c r="S326" i="1"/>
  <c r="U326" i="1" s="1"/>
  <c r="S331" i="1"/>
  <c r="U331" i="1" s="1"/>
  <c r="S338" i="1"/>
  <c r="U338" i="1" s="1"/>
  <c r="S250" i="1"/>
  <c r="S311" i="1"/>
  <c r="U311" i="1" s="1"/>
  <c r="S342" i="1"/>
  <c r="U342" i="1" s="1"/>
  <c r="S240" i="1"/>
  <c r="S348" i="1"/>
  <c r="U348" i="1" s="1"/>
  <c r="S312" i="1"/>
  <c r="U312" i="1" s="1"/>
  <c r="S239" i="1"/>
  <c r="U239" i="1" s="1"/>
  <c r="S287" i="1"/>
  <c r="U287" i="1" s="1"/>
  <c r="S297" i="1"/>
  <c r="U297" i="1" s="1"/>
  <c r="S305" i="1"/>
  <c r="U305" i="1" s="1"/>
  <c r="S310" i="1"/>
  <c r="U310" i="1" s="1"/>
  <c r="S318" i="1"/>
  <c r="U318" i="1" s="1"/>
  <c r="S325" i="1"/>
  <c r="U325" i="1" s="1"/>
  <c r="S330" i="1"/>
  <c r="U330" i="1" s="1"/>
  <c r="S337" i="1"/>
  <c r="U337" i="1" s="1"/>
  <c r="S259" i="1"/>
  <c r="U259" i="1" s="1"/>
  <c r="S267" i="1"/>
  <c r="U267" i="1" s="1"/>
  <c r="S277" i="1"/>
  <c r="U277" i="1" s="1"/>
  <c r="S341" i="1"/>
  <c r="U341" i="1" s="1"/>
  <c r="S347" i="1"/>
  <c r="U347" i="1" s="1"/>
  <c r="S324" i="1"/>
  <c r="S296" i="1"/>
  <c r="S346" i="1"/>
  <c r="U346" i="1" s="1"/>
  <c r="S286" i="1"/>
  <c r="S249" i="1"/>
  <c r="U249" i="1" s="1"/>
  <c r="S335" i="1"/>
  <c r="U335" i="1" s="1"/>
  <c r="S329" i="1"/>
  <c r="U329" i="1" s="1"/>
  <c r="S333" i="1"/>
  <c r="U333" i="1" s="1"/>
  <c r="S317" i="1"/>
  <c r="U317" i="1" s="1"/>
  <c r="S304" i="1"/>
  <c r="U304" i="1" s="1"/>
  <c r="S323" i="1"/>
  <c r="U323" i="1" s="1"/>
  <c r="S336" i="1"/>
  <c r="U336" i="1" s="1"/>
  <c r="S309" i="1"/>
  <c r="U309" i="1" s="1"/>
  <c r="S248" i="1"/>
  <c r="U248" i="1" s="1"/>
  <c r="S316" i="1"/>
  <c r="U316" i="1" s="1"/>
  <c r="S340" i="1"/>
  <c r="U340" i="1" s="1"/>
  <c r="S344" i="1"/>
  <c r="U344" i="1" s="1"/>
  <c r="S258" i="1"/>
  <c r="U258" i="1" s="1"/>
  <c r="S295" i="1"/>
  <c r="U295" i="1" s="1"/>
  <c r="S345" i="1"/>
  <c r="U345" i="1" s="1"/>
  <c r="S350" i="1"/>
  <c r="U350" i="1" s="1"/>
  <c r="S285" i="1"/>
  <c r="U285" i="1" s="1"/>
  <c r="S276" i="1"/>
  <c r="U276" i="1" s="1"/>
  <c r="S266" i="1"/>
  <c r="U266" i="1" s="1"/>
  <c r="S294" i="1"/>
  <c r="U294" i="1" s="1"/>
  <c r="S257" i="1"/>
  <c r="U257" i="1" s="1"/>
  <c r="S322" i="1"/>
  <c r="U322" i="1" s="1"/>
  <c r="S303" i="1"/>
  <c r="U303" i="1" s="1"/>
  <c r="S308" i="1"/>
  <c r="U308" i="1" s="1"/>
  <c r="S247" i="1"/>
  <c r="U247" i="1" s="1"/>
  <c r="S328" i="1"/>
  <c r="U328" i="1" s="1"/>
  <c r="S315" i="1"/>
  <c r="S275" i="1"/>
  <c r="U275" i="1" s="1"/>
  <c r="S284" i="1"/>
  <c r="U284" i="1" s="1"/>
  <c r="S293" i="1"/>
  <c r="U293" i="1" s="1"/>
  <c r="S265" i="1"/>
  <c r="U265" i="1" s="1"/>
  <c r="S302" i="1"/>
  <c r="S256" i="1"/>
  <c r="U256" i="1" s="1"/>
  <c r="S314" i="1"/>
  <c r="U314" i="1" s="1"/>
  <c r="S246" i="1"/>
  <c r="U246" i="1" s="1"/>
  <c r="S327" i="1"/>
  <c r="U327" i="1" s="1"/>
  <c r="S238" i="1"/>
  <c r="U238" i="1" s="1"/>
  <c r="S264" i="1"/>
  <c r="U264" i="1" s="1"/>
  <c r="S283" i="1"/>
  <c r="U283" i="1" s="1"/>
  <c r="S274" i="1"/>
  <c r="U274" i="1" s="1"/>
  <c r="S255" i="1"/>
  <c r="U255" i="1" s="1"/>
  <c r="S292" i="1"/>
  <c r="U292" i="1" s="1"/>
  <c r="S224" i="1"/>
  <c r="S245" i="1"/>
  <c r="S301" i="1"/>
  <c r="S237" i="1"/>
  <c r="U237" i="1" s="1"/>
  <c r="S321" i="1"/>
  <c r="U321" i="1" s="1"/>
  <c r="S263" i="1"/>
  <c r="U263" i="1" s="1"/>
  <c r="S291" i="1"/>
  <c r="U291" i="1" s="1"/>
  <c r="S282" i="1"/>
  <c r="U282" i="1" s="1"/>
  <c r="S254" i="1"/>
  <c r="U254" i="1" s="1"/>
  <c r="S273" i="1"/>
  <c r="U273" i="1" s="1"/>
  <c r="S313" i="1"/>
  <c r="U313" i="1" s="1"/>
  <c r="S307" i="1"/>
  <c r="U307" i="1" s="1"/>
  <c r="S281" i="1"/>
  <c r="S300" i="1"/>
  <c r="U300" i="1" s="1"/>
  <c r="S320" i="1"/>
  <c r="U320" i="1" s="1"/>
  <c r="U243" i="1"/>
  <c r="S244" i="1"/>
  <c r="U244" i="1" s="1"/>
  <c r="U271" i="1"/>
  <c r="S280" i="1"/>
  <c r="U280" i="1" s="1"/>
  <c r="S272" i="1"/>
  <c r="S214" i="1"/>
  <c r="U214" i="1" s="1"/>
  <c r="S253" i="1"/>
  <c r="U253" i="1" s="1"/>
  <c r="S236" i="1"/>
  <c r="U236" i="1" s="1"/>
  <c r="S235" i="1"/>
  <c r="U235" i="1" s="1"/>
  <c r="Q351" i="4" l="1"/>
  <c r="S2" i="4"/>
  <c r="S351" i="4" s="1"/>
  <c r="D242" i="1"/>
  <c r="E242" i="1"/>
  <c r="F242" i="1"/>
  <c r="P242" i="1"/>
  <c r="I242" i="1" s="1"/>
  <c r="E252" i="1"/>
  <c r="F252" i="1"/>
  <c r="P252" i="1"/>
  <c r="I252" i="1" s="1"/>
  <c r="E262" i="1"/>
  <c r="F262" i="1"/>
  <c r="P262" i="1"/>
  <c r="I262" i="1" s="1"/>
  <c r="S262" i="1" l="1"/>
  <c r="S242" i="1"/>
  <c r="S252" i="1"/>
  <c r="P188" i="1"/>
  <c r="I188" i="1" s="1"/>
  <c r="D188" i="1"/>
  <c r="E188" i="1"/>
  <c r="F188" i="1"/>
  <c r="D197" i="1"/>
  <c r="E197" i="1"/>
  <c r="F197" i="1"/>
  <c r="P197" i="1"/>
  <c r="I197" i="1" s="1"/>
  <c r="D233" i="1"/>
  <c r="E233" i="1"/>
  <c r="F233" i="1"/>
  <c r="P233" i="1"/>
  <c r="I233" i="1" s="1"/>
  <c r="D149" i="1"/>
  <c r="E149" i="1"/>
  <c r="F149" i="1"/>
  <c r="P149" i="1"/>
  <c r="I149" i="1" s="1"/>
  <c r="D159" i="1"/>
  <c r="E159" i="1"/>
  <c r="F159" i="1"/>
  <c r="P159" i="1"/>
  <c r="I159" i="1" s="1"/>
  <c r="D170" i="1"/>
  <c r="E170" i="1"/>
  <c r="F170" i="1"/>
  <c r="P170" i="1"/>
  <c r="I170" i="1" s="1"/>
  <c r="D179" i="1"/>
  <c r="E179" i="1"/>
  <c r="F179" i="1"/>
  <c r="P179" i="1"/>
  <c r="I179" i="1" s="1"/>
  <c r="D118" i="1"/>
  <c r="E118" i="1"/>
  <c r="F118" i="1"/>
  <c r="P118" i="1"/>
  <c r="I118" i="1" s="1"/>
  <c r="D134" i="1"/>
  <c r="E134" i="1"/>
  <c r="F134" i="1"/>
  <c r="P134" i="1"/>
  <c r="I134" i="1" s="1"/>
  <c r="D180" i="1"/>
  <c r="E180" i="1"/>
  <c r="F180" i="1"/>
  <c r="P180" i="1"/>
  <c r="I180" i="1" s="1"/>
  <c r="D108" i="1"/>
  <c r="E108" i="1"/>
  <c r="F108" i="1"/>
  <c r="P108" i="1"/>
  <c r="I108" i="1" s="1"/>
  <c r="D234" i="1"/>
  <c r="E234" i="1"/>
  <c r="F234" i="1"/>
  <c r="P234" i="1"/>
  <c r="I234" i="1" s="1"/>
  <c r="D95" i="1"/>
  <c r="E95" i="1"/>
  <c r="F95" i="1"/>
  <c r="P95" i="1"/>
  <c r="I95" i="1" s="1"/>
  <c r="D178" i="1"/>
  <c r="E178" i="1"/>
  <c r="F178" i="1"/>
  <c r="P178" i="1"/>
  <c r="I178" i="1" s="1"/>
  <c r="D169" i="1"/>
  <c r="E169" i="1"/>
  <c r="F169" i="1"/>
  <c r="P169" i="1"/>
  <c r="I169" i="1" s="1"/>
  <c r="D187" i="1"/>
  <c r="E187" i="1"/>
  <c r="F187" i="1"/>
  <c r="P187" i="1"/>
  <c r="I187" i="1" s="1"/>
  <c r="D168" i="1"/>
  <c r="E168" i="1"/>
  <c r="F168" i="1"/>
  <c r="P168" i="1"/>
  <c r="I168" i="1" s="1"/>
  <c r="D196" i="1"/>
  <c r="E196" i="1"/>
  <c r="F196" i="1"/>
  <c r="P196" i="1"/>
  <c r="I196" i="1" s="1"/>
  <c r="D148" i="1"/>
  <c r="E148" i="1"/>
  <c r="F148" i="1"/>
  <c r="P148" i="1"/>
  <c r="I148" i="1" s="1"/>
  <c r="D158" i="1"/>
  <c r="E158" i="1"/>
  <c r="F158" i="1"/>
  <c r="P158" i="1"/>
  <c r="I158" i="1" s="1"/>
  <c r="D232" i="1"/>
  <c r="E232" i="1"/>
  <c r="F232" i="1"/>
  <c r="P232" i="1"/>
  <c r="I232" i="1" s="1"/>
  <c r="D223" i="1"/>
  <c r="E223" i="1"/>
  <c r="F223" i="1"/>
  <c r="P223" i="1"/>
  <c r="I223" i="1" s="1"/>
  <c r="D231" i="1"/>
  <c r="E231" i="1"/>
  <c r="F231" i="1"/>
  <c r="P231" i="1"/>
  <c r="I231" i="1" s="1"/>
  <c r="D206" i="1"/>
  <c r="E206" i="1"/>
  <c r="F206" i="1"/>
  <c r="P206" i="1"/>
  <c r="I206" i="1" s="1"/>
  <c r="D213" i="1"/>
  <c r="E213" i="1"/>
  <c r="F213" i="1"/>
  <c r="P213" i="1"/>
  <c r="I213" i="1" s="1"/>
  <c r="D205" i="1"/>
  <c r="E205" i="1"/>
  <c r="F205" i="1"/>
  <c r="P205" i="1"/>
  <c r="I205" i="1" s="1"/>
  <c r="D133" i="1"/>
  <c r="E133" i="1"/>
  <c r="F133" i="1"/>
  <c r="P133" i="1"/>
  <c r="I133" i="1" s="1"/>
  <c r="D195" i="1"/>
  <c r="E195" i="1"/>
  <c r="F195" i="1"/>
  <c r="P195" i="1"/>
  <c r="I195" i="1" s="1"/>
  <c r="D204" i="1"/>
  <c r="E204" i="1"/>
  <c r="F204" i="1"/>
  <c r="P204" i="1"/>
  <c r="I204" i="1" s="1"/>
  <c r="D212" i="1"/>
  <c r="E212" i="1"/>
  <c r="F212" i="1"/>
  <c r="P212" i="1"/>
  <c r="I212" i="1" s="1"/>
  <c r="D222" i="1"/>
  <c r="E222" i="1"/>
  <c r="F222" i="1"/>
  <c r="P222" i="1"/>
  <c r="I222" i="1" s="1"/>
  <c r="D211" i="1"/>
  <c r="E211" i="1"/>
  <c r="F211" i="1"/>
  <c r="P211" i="1"/>
  <c r="I211" i="1" s="1"/>
  <c r="D221" i="1"/>
  <c r="E221" i="1"/>
  <c r="F221" i="1"/>
  <c r="P221" i="1"/>
  <c r="I221" i="1" s="1"/>
  <c r="D230" i="1"/>
  <c r="E230" i="1"/>
  <c r="F230" i="1"/>
  <c r="P230" i="1"/>
  <c r="D157" i="1"/>
  <c r="E157" i="1"/>
  <c r="F157" i="1"/>
  <c r="P157" i="1"/>
  <c r="D177" i="1"/>
  <c r="E177" i="1"/>
  <c r="F177" i="1"/>
  <c r="P177" i="1"/>
  <c r="D194" i="1"/>
  <c r="E194" i="1"/>
  <c r="F194" i="1"/>
  <c r="P194" i="1"/>
  <c r="I194" i="1" s="1"/>
  <c r="D203" i="1"/>
  <c r="E203" i="1"/>
  <c r="F203" i="1"/>
  <c r="P203" i="1"/>
  <c r="I203" i="1" s="1"/>
  <c r="D167" i="1"/>
  <c r="E167" i="1"/>
  <c r="F167" i="1"/>
  <c r="P167" i="1"/>
  <c r="I167" i="1" s="1"/>
  <c r="D186" i="1"/>
  <c r="E186" i="1"/>
  <c r="F186" i="1"/>
  <c r="P186" i="1"/>
  <c r="I186" i="1" s="1"/>
  <c r="D193" i="1"/>
  <c r="E193" i="1"/>
  <c r="F193" i="1"/>
  <c r="P193" i="1"/>
  <c r="I193" i="1" s="1"/>
  <c r="P175" i="1"/>
  <c r="I175" i="1" s="1"/>
  <c r="D210" i="1"/>
  <c r="E210" i="1"/>
  <c r="F210" i="1"/>
  <c r="P210" i="1"/>
  <c r="I210" i="1" s="1"/>
  <c r="D220" i="1"/>
  <c r="E220" i="1"/>
  <c r="F220" i="1"/>
  <c r="P220" i="1"/>
  <c r="I220" i="1" s="1"/>
  <c r="D229" i="1"/>
  <c r="E229" i="1"/>
  <c r="F229" i="1"/>
  <c r="P229" i="1"/>
  <c r="I229" i="1" s="1"/>
  <c r="D175" i="1"/>
  <c r="E175" i="1"/>
  <c r="F175" i="1"/>
  <c r="D185" i="1"/>
  <c r="E185" i="1"/>
  <c r="F185" i="1"/>
  <c r="P185" i="1"/>
  <c r="I185" i="1" s="1"/>
  <c r="D192" i="1"/>
  <c r="E192" i="1"/>
  <c r="F192" i="1"/>
  <c r="P192" i="1"/>
  <c r="I192" i="1" s="1"/>
  <c r="D202" i="1"/>
  <c r="E202" i="1"/>
  <c r="F202" i="1"/>
  <c r="P202" i="1"/>
  <c r="I202" i="1" s="1"/>
  <c r="D176" i="1"/>
  <c r="E176" i="1"/>
  <c r="F176" i="1"/>
  <c r="P176" i="1"/>
  <c r="I176" i="1" s="1"/>
  <c r="D228" i="1"/>
  <c r="E228" i="1"/>
  <c r="F228" i="1"/>
  <c r="P228" i="1"/>
  <c r="D166" i="1"/>
  <c r="E166" i="1"/>
  <c r="F166" i="1"/>
  <c r="P166" i="1"/>
  <c r="I166" i="1" s="1"/>
  <c r="D165" i="1"/>
  <c r="E165" i="1"/>
  <c r="F165" i="1"/>
  <c r="P165" i="1"/>
  <c r="D184" i="1"/>
  <c r="E184" i="1"/>
  <c r="F184" i="1"/>
  <c r="P184" i="1"/>
  <c r="I184" i="1" s="1"/>
  <c r="D191" i="1"/>
  <c r="E191" i="1"/>
  <c r="F191" i="1"/>
  <c r="P191" i="1"/>
  <c r="I191" i="1" s="1"/>
  <c r="D201" i="1"/>
  <c r="E201" i="1"/>
  <c r="F201" i="1"/>
  <c r="P201" i="1"/>
  <c r="I201" i="1" s="1"/>
  <c r="D209" i="1"/>
  <c r="E209" i="1"/>
  <c r="F209" i="1"/>
  <c r="P209" i="1"/>
  <c r="I209" i="1" s="1"/>
  <c r="D219" i="1"/>
  <c r="E219" i="1"/>
  <c r="F219" i="1"/>
  <c r="P219" i="1"/>
  <c r="I219" i="1" s="1"/>
  <c r="D227" i="1"/>
  <c r="E227" i="1"/>
  <c r="F227" i="1"/>
  <c r="P227" i="1"/>
  <c r="I227" i="1" s="1"/>
  <c r="D174" i="1"/>
  <c r="E174" i="1"/>
  <c r="F174" i="1"/>
  <c r="P174" i="1"/>
  <c r="I174" i="1" s="1"/>
  <c r="D164" i="1"/>
  <c r="E164" i="1"/>
  <c r="F164" i="1"/>
  <c r="P164" i="1"/>
  <c r="I164" i="1" s="1"/>
  <c r="D183" i="1"/>
  <c r="E183" i="1"/>
  <c r="F183" i="1"/>
  <c r="P183" i="1"/>
  <c r="D117" i="1"/>
  <c r="E117" i="1"/>
  <c r="F117" i="1"/>
  <c r="P117" i="1"/>
  <c r="I117" i="1" s="1"/>
  <c r="D173" i="1"/>
  <c r="E173" i="1"/>
  <c r="F173" i="1"/>
  <c r="P173" i="1"/>
  <c r="D200" i="1"/>
  <c r="E200" i="1"/>
  <c r="F200" i="1"/>
  <c r="P200" i="1"/>
  <c r="I200" i="1" s="1"/>
  <c r="D208" i="1"/>
  <c r="E208" i="1"/>
  <c r="F208" i="1"/>
  <c r="P208" i="1"/>
  <c r="I208" i="1" s="1"/>
  <c r="F163" i="1"/>
  <c r="D172" i="1"/>
  <c r="E172" i="1"/>
  <c r="F172" i="1"/>
  <c r="P172" i="1"/>
  <c r="I172" i="1" s="1"/>
  <c r="D182" i="1"/>
  <c r="E182" i="1"/>
  <c r="F182" i="1"/>
  <c r="P182" i="1"/>
  <c r="I182" i="1" s="1"/>
  <c r="D190" i="1"/>
  <c r="E190" i="1"/>
  <c r="F190" i="1"/>
  <c r="P190" i="1"/>
  <c r="D217" i="1"/>
  <c r="E217" i="1"/>
  <c r="F217" i="1"/>
  <c r="P217" i="1"/>
  <c r="I217" i="1" s="1"/>
  <c r="D226" i="1"/>
  <c r="E226" i="1"/>
  <c r="F226" i="1"/>
  <c r="P226" i="1"/>
  <c r="I226" i="1" s="1"/>
  <c r="D107" i="1"/>
  <c r="E107" i="1"/>
  <c r="F107" i="1"/>
  <c r="P107" i="1"/>
  <c r="I107" i="1" s="1"/>
  <c r="F171" i="1"/>
  <c r="D207" i="1"/>
  <c r="E207" i="1"/>
  <c r="F207" i="1"/>
  <c r="P207" i="1"/>
  <c r="I207" i="1" s="1"/>
  <c r="D216" i="1"/>
  <c r="E216" i="1"/>
  <c r="F216" i="1"/>
  <c r="P216" i="1"/>
  <c r="I216" i="1" s="1"/>
  <c r="D189" i="1"/>
  <c r="E189" i="1"/>
  <c r="F189" i="1"/>
  <c r="P189" i="1"/>
  <c r="I189" i="1" s="1"/>
  <c r="D171" i="1"/>
  <c r="E171" i="1"/>
  <c r="P171" i="1"/>
  <c r="I171" i="1" s="1"/>
  <c r="D181" i="1"/>
  <c r="E181" i="1"/>
  <c r="F181" i="1"/>
  <c r="P181" i="1"/>
  <c r="I181" i="1" s="1"/>
  <c r="D198" i="1"/>
  <c r="E198" i="1"/>
  <c r="F198" i="1"/>
  <c r="P198" i="1"/>
  <c r="I198" i="1" s="1"/>
  <c r="D225" i="1"/>
  <c r="E225" i="1"/>
  <c r="F225" i="1"/>
  <c r="P225" i="1"/>
  <c r="I225" i="1" s="1"/>
  <c r="D163" i="1"/>
  <c r="E163" i="1"/>
  <c r="P163" i="1"/>
  <c r="I163" i="1" s="1"/>
  <c r="D199" i="1"/>
  <c r="E199" i="1"/>
  <c r="F199" i="1"/>
  <c r="P199" i="1"/>
  <c r="I199" i="1" s="1"/>
  <c r="D218" i="1"/>
  <c r="E218" i="1"/>
  <c r="F218" i="1"/>
  <c r="P218" i="1"/>
  <c r="I218" i="1" s="1"/>
  <c r="D156" i="1"/>
  <c r="E156" i="1"/>
  <c r="P156" i="1"/>
  <c r="I156" i="1" s="1"/>
  <c r="S156" i="1"/>
  <c r="D215" i="1"/>
  <c r="E215" i="1"/>
  <c r="P215" i="1"/>
  <c r="I215" i="1" s="1"/>
  <c r="D147" i="1"/>
  <c r="E147" i="1"/>
  <c r="P147" i="1"/>
  <c r="I147" i="1" s="1"/>
  <c r="D106" i="1"/>
  <c r="E106" i="1"/>
  <c r="F106" i="1"/>
  <c r="P106" i="1"/>
  <c r="I106" i="1" s="1"/>
  <c r="D116" i="1"/>
  <c r="E116" i="1"/>
  <c r="F116" i="1"/>
  <c r="P116" i="1"/>
  <c r="I116" i="1" s="1"/>
  <c r="P162" i="1"/>
  <c r="I162" i="1" s="1"/>
  <c r="E162" i="1"/>
  <c r="S162" i="1"/>
  <c r="D131" i="1"/>
  <c r="E131" i="1"/>
  <c r="P131" i="1"/>
  <c r="I131" i="1" s="1"/>
  <c r="D132" i="1"/>
  <c r="E132" i="1"/>
  <c r="F132" i="1"/>
  <c r="P132" i="1"/>
  <c r="I132" i="1" s="1"/>
  <c r="E155" i="1"/>
  <c r="P155" i="1"/>
  <c r="I155" i="1" s="1"/>
  <c r="E146" i="1"/>
  <c r="P146" i="1"/>
  <c r="I146" i="1" s="1"/>
  <c r="E130" i="1"/>
  <c r="P130" i="1"/>
  <c r="I130" i="1" s="1"/>
  <c r="D145" i="1"/>
  <c r="E145" i="1"/>
  <c r="F145" i="1"/>
  <c r="P145" i="1"/>
  <c r="I145" i="1" s="1"/>
  <c r="D144" i="1"/>
  <c r="E144" i="1"/>
  <c r="F144" i="1"/>
  <c r="S144" i="1" s="1"/>
  <c r="P144" i="1"/>
  <c r="I144" i="1" s="1"/>
  <c r="D161" i="1"/>
  <c r="E161" i="1"/>
  <c r="F161" i="1"/>
  <c r="P161" i="1"/>
  <c r="I161" i="1" s="1"/>
  <c r="F153" i="1"/>
  <c r="F143" i="1"/>
  <c r="F154" i="1"/>
  <c r="D143" i="1"/>
  <c r="E143" i="1"/>
  <c r="P143" i="1"/>
  <c r="I143" i="1" s="1"/>
  <c r="D153" i="1"/>
  <c r="E153" i="1"/>
  <c r="P153" i="1"/>
  <c r="I153" i="1" s="1"/>
  <c r="D154" i="1"/>
  <c r="E154" i="1"/>
  <c r="P154" i="1"/>
  <c r="I154" i="1" s="1"/>
  <c r="F152" i="1"/>
  <c r="P129" i="1"/>
  <c r="I129" i="1" s="1"/>
  <c r="P160" i="1"/>
  <c r="I160" i="1" s="1"/>
  <c r="F160" i="1"/>
  <c r="E160" i="1"/>
  <c r="D160" i="1"/>
  <c r="P138" i="1"/>
  <c r="I138" i="1" s="1"/>
  <c r="F138" i="1"/>
  <c r="E138" i="1"/>
  <c r="D138" i="1"/>
  <c r="D142" i="1"/>
  <c r="E142" i="1"/>
  <c r="F142" i="1"/>
  <c r="P142" i="1"/>
  <c r="I142" i="1" s="1"/>
  <c r="D139" i="1"/>
  <c r="E139" i="1"/>
  <c r="F139" i="1"/>
  <c r="P139" i="1"/>
  <c r="I139" i="1" s="1"/>
  <c r="D151" i="1"/>
  <c r="E151" i="1"/>
  <c r="F151" i="1"/>
  <c r="P151" i="1"/>
  <c r="I151" i="1" s="1"/>
  <c r="D140" i="1"/>
  <c r="E140" i="1"/>
  <c r="F140" i="1"/>
  <c r="P140" i="1"/>
  <c r="I140" i="1" s="1"/>
  <c r="D129" i="1"/>
  <c r="E129" i="1"/>
  <c r="F129" i="1"/>
  <c r="S129" i="1" s="1"/>
  <c r="D127" i="1"/>
  <c r="E127" i="1"/>
  <c r="F127" i="1"/>
  <c r="P127" i="1"/>
  <c r="I127" i="1" s="1"/>
  <c r="D128" i="1"/>
  <c r="E128" i="1"/>
  <c r="F128" i="1"/>
  <c r="P128" i="1"/>
  <c r="I128" i="1" s="1"/>
  <c r="D136" i="1"/>
  <c r="E136" i="1"/>
  <c r="F136" i="1"/>
  <c r="P136" i="1"/>
  <c r="I136" i="1" s="1"/>
  <c r="D137" i="1"/>
  <c r="E137" i="1"/>
  <c r="F137" i="1"/>
  <c r="P137" i="1"/>
  <c r="I137" i="1" s="1"/>
  <c r="D135" i="1"/>
  <c r="E135" i="1"/>
  <c r="F135" i="1"/>
  <c r="P135" i="1"/>
  <c r="I135" i="1" s="1"/>
  <c r="D126" i="1"/>
  <c r="E126" i="1"/>
  <c r="F126" i="1"/>
  <c r="P126" i="1"/>
  <c r="I126" i="1" s="1"/>
  <c r="D141" i="1"/>
  <c r="E141" i="1"/>
  <c r="F141" i="1"/>
  <c r="P141" i="1"/>
  <c r="I141" i="1" s="1"/>
  <c r="D152" i="1"/>
  <c r="E152" i="1"/>
  <c r="P152" i="1"/>
  <c r="I152" i="1" s="1"/>
  <c r="U162" i="1" l="1"/>
  <c r="S188" i="1"/>
  <c r="S197" i="1"/>
  <c r="S233" i="1"/>
  <c r="U233" i="1" s="1"/>
  <c r="S149" i="1"/>
  <c r="U149" i="1" s="1"/>
  <c r="S159" i="1"/>
  <c r="U159" i="1" s="1"/>
  <c r="S118" i="1"/>
  <c r="U118" i="1" s="1"/>
  <c r="S170" i="1"/>
  <c r="U170" i="1" s="1"/>
  <c r="S179" i="1"/>
  <c r="U179" i="1" s="1"/>
  <c r="S134" i="1"/>
  <c r="U134" i="1" s="1"/>
  <c r="S180" i="1"/>
  <c r="U180" i="1" s="1"/>
  <c r="S108" i="1"/>
  <c r="U108" i="1" s="1"/>
  <c r="S234" i="1"/>
  <c r="U234" i="1" s="1"/>
  <c r="S95" i="1"/>
  <c r="U95" i="1" s="1"/>
  <c r="S169" i="1"/>
  <c r="U169" i="1" s="1"/>
  <c r="S178" i="1"/>
  <c r="U178" i="1" s="1"/>
  <c r="S187" i="1"/>
  <c r="U187" i="1" s="1"/>
  <c r="S168" i="1"/>
  <c r="U168" i="1" s="1"/>
  <c r="S196" i="1"/>
  <c r="U196" i="1" s="1"/>
  <c r="S148" i="1"/>
  <c r="U148" i="1" s="1"/>
  <c r="S158" i="1"/>
  <c r="U158" i="1" s="1"/>
  <c r="S133" i="1"/>
  <c r="U133" i="1" s="1"/>
  <c r="S232" i="1"/>
  <c r="U232" i="1" s="1"/>
  <c r="S223" i="1"/>
  <c r="U223" i="1" s="1"/>
  <c r="S231" i="1"/>
  <c r="U231" i="1" s="1"/>
  <c r="S206" i="1"/>
  <c r="U206" i="1" s="1"/>
  <c r="S213" i="1"/>
  <c r="U213" i="1" s="1"/>
  <c r="S205" i="1"/>
  <c r="U205" i="1" s="1"/>
  <c r="S195" i="1"/>
  <c r="U195" i="1" s="1"/>
  <c r="S204" i="1"/>
  <c r="U204" i="1" s="1"/>
  <c r="S212" i="1"/>
  <c r="U212" i="1" s="1"/>
  <c r="S222" i="1"/>
  <c r="U222" i="1" s="1"/>
  <c r="S177" i="1"/>
  <c r="S211" i="1"/>
  <c r="U211" i="1" s="1"/>
  <c r="S221" i="1"/>
  <c r="U221" i="1" s="1"/>
  <c r="S230" i="1"/>
  <c r="S157" i="1"/>
  <c r="S194" i="1"/>
  <c r="U194" i="1" s="1"/>
  <c r="S203" i="1"/>
  <c r="U203" i="1" s="1"/>
  <c r="S167" i="1"/>
  <c r="U167" i="1" s="1"/>
  <c r="S186" i="1"/>
  <c r="U186" i="1" s="1"/>
  <c r="S193" i="1"/>
  <c r="U193" i="1" s="1"/>
  <c r="S210" i="1"/>
  <c r="U210" i="1" s="1"/>
  <c r="S220" i="1"/>
  <c r="U220" i="1" s="1"/>
  <c r="S229" i="1"/>
  <c r="U229" i="1" s="1"/>
  <c r="S175" i="1"/>
  <c r="U175" i="1" s="1"/>
  <c r="S185" i="1"/>
  <c r="U185" i="1" s="1"/>
  <c r="S192" i="1"/>
  <c r="U192" i="1" s="1"/>
  <c r="S202" i="1"/>
  <c r="U202" i="1" s="1"/>
  <c r="S176" i="1"/>
  <c r="U176" i="1" s="1"/>
  <c r="S228" i="1"/>
  <c r="S166" i="1"/>
  <c r="U166" i="1" s="1"/>
  <c r="S165" i="1"/>
  <c r="S219" i="1"/>
  <c r="U219" i="1" s="1"/>
  <c r="S184" i="1"/>
  <c r="U184" i="1" s="1"/>
  <c r="S191" i="1"/>
  <c r="U191" i="1" s="1"/>
  <c r="S201" i="1"/>
  <c r="U201" i="1" s="1"/>
  <c r="S209" i="1"/>
  <c r="U209" i="1" s="1"/>
  <c r="S164" i="1"/>
  <c r="U164" i="1" s="1"/>
  <c r="S227" i="1"/>
  <c r="U227" i="1" s="1"/>
  <c r="S174" i="1"/>
  <c r="U174" i="1" s="1"/>
  <c r="S183" i="1"/>
  <c r="S117" i="1"/>
  <c r="U117" i="1" s="1"/>
  <c r="S173" i="1"/>
  <c r="S172" i="1"/>
  <c r="U172" i="1" s="1"/>
  <c r="S208" i="1"/>
  <c r="U208" i="1" s="1"/>
  <c r="S200" i="1"/>
  <c r="U200" i="1" s="1"/>
  <c r="S190" i="1"/>
  <c r="S182" i="1"/>
  <c r="U182" i="1" s="1"/>
  <c r="S217" i="1"/>
  <c r="U217" i="1" s="1"/>
  <c r="S226" i="1"/>
  <c r="U226" i="1" s="1"/>
  <c r="S107" i="1"/>
  <c r="U107" i="1" s="1"/>
  <c r="S189" i="1"/>
  <c r="U189" i="1" s="1"/>
  <c r="S207" i="1"/>
  <c r="U207" i="1" s="1"/>
  <c r="S216" i="1"/>
  <c r="U216" i="1" s="1"/>
  <c r="S171" i="1"/>
  <c r="U171" i="1" s="1"/>
  <c r="S181" i="1"/>
  <c r="U181" i="1" s="1"/>
  <c r="S198" i="1"/>
  <c r="U198" i="1" s="1"/>
  <c r="S225" i="1"/>
  <c r="U225" i="1" s="1"/>
  <c r="S199" i="1"/>
  <c r="U199" i="1" s="1"/>
  <c r="U156" i="1"/>
  <c r="S163" i="1"/>
  <c r="U163" i="1" s="1"/>
  <c r="S218" i="1"/>
  <c r="U218" i="1" s="1"/>
  <c r="S106" i="1"/>
  <c r="U106" i="1" s="1"/>
  <c r="S215" i="1"/>
  <c r="U215" i="1" s="1"/>
  <c r="S147" i="1"/>
  <c r="U147" i="1" s="1"/>
  <c r="S116" i="1"/>
  <c r="U116" i="1" s="1"/>
  <c r="S131" i="1"/>
  <c r="U131" i="1" s="1"/>
  <c r="S132" i="1"/>
  <c r="U132" i="1" s="1"/>
  <c r="S155" i="1"/>
  <c r="U155" i="1" s="1"/>
  <c r="S130" i="1"/>
  <c r="U130" i="1" s="1"/>
  <c r="S146" i="1"/>
  <c r="U146" i="1" s="1"/>
  <c r="S139" i="1"/>
  <c r="U139" i="1" s="1"/>
  <c r="S161" i="1"/>
  <c r="U161" i="1" s="1"/>
  <c r="S145" i="1"/>
  <c r="S153" i="1"/>
  <c r="U153" i="1" s="1"/>
  <c r="S154" i="1"/>
  <c r="U154" i="1" s="1"/>
  <c r="S143" i="1"/>
  <c r="U143" i="1" s="1"/>
  <c r="S141" i="1"/>
  <c r="S152" i="1"/>
  <c r="U152" i="1" s="1"/>
  <c r="S138" i="1"/>
  <c r="U138" i="1" s="1"/>
  <c r="S160" i="1"/>
  <c r="U160" i="1" s="1"/>
  <c r="S142" i="1"/>
  <c r="U142" i="1" s="1"/>
  <c r="S151" i="1"/>
  <c r="U151" i="1" s="1"/>
  <c r="S140" i="1"/>
  <c r="U140" i="1" s="1"/>
  <c r="U129" i="1"/>
  <c r="S127" i="1"/>
  <c r="U127" i="1" s="1"/>
  <c r="S128" i="1"/>
  <c r="S136" i="1"/>
  <c r="U136" i="1" s="1"/>
  <c r="S135" i="1"/>
  <c r="U135" i="1" s="1"/>
  <c r="S137" i="1"/>
  <c r="U137" i="1" s="1"/>
  <c r="S126" i="1"/>
  <c r="U126" i="1" s="1"/>
  <c r="D119" i="1"/>
  <c r="E119" i="1"/>
  <c r="F119" i="1"/>
  <c r="P119" i="1"/>
  <c r="I119" i="1" s="1"/>
  <c r="D124" i="1"/>
  <c r="E124" i="1"/>
  <c r="F124" i="1"/>
  <c r="P124" i="1"/>
  <c r="I124" i="1" s="1"/>
  <c r="D104" i="1"/>
  <c r="E104" i="1"/>
  <c r="F104" i="1"/>
  <c r="P104" i="1"/>
  <c r="I104" i="1" s="1"/>
  <c r="D105" i="1"/>
  <c r="E105" i="1"/>
  <c r="F105" i="1"/>
  <c r="P105" i="1"/>
  <c r="I105" i="1" s="1"/>
  <c r="D114" i="1"/>
  <c r="E114" i="1"/>
  <c r="F114" i="1"/>
  <c r="P114" i="1"/>
  <c r="I114" i="1" s="1"/>
  <c r="D123" i="1"/>
  <c r="E123" i="1"/>
  <c r="F123" i="1"/>
  <c r="P123" i="1"/>
  <c r="I123" i="1" s="1"/>
  <c r="D122" i="1"/>
  <c r="E122" i="1"/>
  <c r="F122" i="1"/>
  <c r="P122" i="1"/>
  <c r="I122" i="1" s="1"/>
  <c r="D103" i="1"/>
  <c r="E103" i="1"/>
  <c r="F103" i="1"/>
  <c r="P103" i="1"/>
  <c r="I103" i="1" s="1"/>
  <c r="D115" i="1"/>
  <c r="E115" i="1"/>
  <c r="F115" i="1"/>
  <c r="P115" i="1"/>
  <c r="I115" i="1" s="1"/>
  <c r="D121" i="1"/>
  <c r="E121" i="1"/>
  <c r="F121" i="1"/>
  <c r="P121" i="1"/>
  <c r="I121" i="1" s="1"/>
  <c r="D102" i="1"/>
  <c r="E102" i="1"/>
  <c r="F102" i="1"/>
  <c r="P102" i="1"/>
  <c r="I102" i="1" s="1"/>
  <c r="D112" i="1"/>
  <c r="E112" i="1"/>
  <c r="F112" i="1"/>
  <c r="P112" i="1"/>
  <c r="I112" i="1" s="1"/>
  <c r="T483" i="1"/>
  <c r="D110" i="1"/>
  <c r="E110" i="1"/>
  <c r="F110" i="1"/>
  <c r="P110" i="1"/>
  <c r="I110" i="1" s="1"/>
  <c r="D120" i="1"/>
  <c r="E120" i="1"/>
  <c r="F120" i="1"/>
  <c r="P120" i="1"/>
  <c r="I120" i="1" s="1"/>
  <c r="D101" i="1"/>
  <c r="E101" i="1"/>
  <c r="F101" i="1"/>
  <c r="P101" i="1"/>
  <c r="I101" i="1" s="1"/>
  <c r="D111" i="1"/>
  <c r="E111" i="1"/>
  <c r="F111" i="1"/>
  <c r="P111" i="1"/>
  <c r="I111" i="1" s="1"/>
  <c r="D100" i="1"/>
  <c r="E100" i="1"/>
  <c r="F100" i="1"/>
  <c r="P100" i="1"/>
  <c r="I100" i="1" s="1"/>
  <c r="D113" i="1"/>
  <c r="E113" i="1"/>
  <c r="F113" i="1"/>
  <c r="P113" i="1"/>
  <c r="I113" i="1" s="1"/>
  <c r="D94" i="1"/>
  <c r="E94" i="1"/>
  <c r="F94" i="1"/>
  <c r="P94" i="1"/>
  <c r="I94" i="1" s="1"/>
  <c r="D109" i="1"/>
  <c r="E109" i="1"/>
  <c r="F109" i="1"/>
  <c r="P109" i="1"/>
  <c r="I109" i="1" s="1"/>
  <c r="D99" i="1"/>
  <c r="E99" i="1"/>
  <c r="F99" i="1"/>
  <c r="P99" i="1"/>
  <c r="I99" i="1" s="1"/>
  <c r="D93" i="1"/>
  <c r="E93" i="1"/>
  <c r="F93" i="1"/>
  <c r="D125" i="1"/>
  <c r="E125" i="1"/>
  <c r="F125" i="1"/>
  <c r="P125" i="1"/>
  <c r="I125" i="1" s="1"/>
  <c r="S119" i="1" l="1"/>
  <c r="U119" i="1" s="1"/>
  <c r="S124" i="1"/>
  <c r="U124" i="1" s="1"/>
  <c r="S104" i="1"/>
  <c r="U104" i="1" s="1"/>
  <c r="S105" i="1"/>
  <c r="U105" i="1" s="1"/>
  <c r="S114" i="1"/>
  <c r="U114" i="1" s="1"/>
  <c r="S121" i="1"/>
  <c r="U121" i="1" s="1"/>
  <c r="S123" i="1"/>
  <c r="U123" i="1" s="1"/>
  <c r="S122" i="1"/>
  <c r="U122" i="1" s="1"/>
  <c r="S103" i="1"/>
  <c r="U103" i="1" s="1"/>
  <c r="S115" i="1"/>
  <c r="U115" i="1" s="1"/>
  <c r="S102" i="1"/>
  <c r="S112" i="1"/>
  <c r="S113" i="1"/>
  <c r="U113" i="1" s="1"/>
  <c r="S120" i="1"/>
  <c r="U120" i="1" s="1"/>
  <c r="S101" i="1"/>
  <c r="U101" i="1" s="1"/>
  <c r="S110" i="1"/>
  <c r="U110" i="1" s="1"/>
  <c r="S111" i="1"/>
  <c r="U111" i="1" s="1"/>
  <c r="S100" i="1"/>
  <c r="U100" i="1" s="1"/>
  <c r="S109" i="1"/>
  <c r="S94" i="1"/>
  <c r="S99" i="1"/>
  <c r="S93" i="1"/>
  <c r="S125" i="1"/>
  <c r="U125" i="1" s="1"/>
  <c r="F98" i="1"/>
  <c r="F31" i="1" l="1"/>
  <c r="D98" i="1"/>
  <c r="E98" i="1"/>
  <c r="P98" i="1"/>
  <c r="I98" i="1" s="1"/>
  <c r="D43" i="1"/>
  <c r="E43" i="1"/>
  <c r="P43" i="1"/>
  <c r="I43" i="1" s="1"/>
  <c r="S43" i="1"/>
  <c r="D53" i="1"/>
  <c r="E53" i="1"/>
  <c r="P53" i="1"/>
  <c r="I53" i="1" s="1"/>
  <c r="D54" i="1"/>
  <c r="E54" i="1"/>
  <c r="P54" i="1"/>
  <c r="D61" i="1"/>
  <c r="E61" i="1"/>
  <c r="P61" i="1"/>
  <c r="I61" i="1" s="1"/>
  <c r="D70" i="1"/>
  <c r="E70" i="1"/>
  <c r="P70" i="1"/>
  <c r="I70" i="1" s="1"/>
  <c r="S70" i="1"/>
  <c r="D35" i="1"/>
  <c r="E35" i="1"/>
  <c r="P35" i="1"/>
  <c r="I35" i="1" s="1"/>
  <c r="D92" i="1"/>
  <c r="E92" i="1"/>
  <c r="P92" i="1"/>
  <c r="D69" i="1"/>
  <c r="E69" i="1"/>
  <c r="F69" i="1"/>
  <c r="P69" i="1"/>
  <c r="I69" i="1" s="1"/>
  <c r="D81" i="1"/>
  <c r="E81" i="1"/>
  <c r="F81" i="1"/>
  <c r="P81" i="1"/>
  <c r="I81" i="1" s="1"/>
  <c r="D42" i="1"/>
  <c r="E42" i="1"/>
  <c r="F42" i="1"/>
  <c r="P42" i="1"/>
  <c r="I42" i="1" s="1"/>
  <c r="D52" i="1"/>
  <c r="E52" i="1"/>
  <c r="F52" i="1"/>
  <c r="P52" i="1"/>
  <c r="I52" i="1" s="1"/>
  <c r="D59" i="1"/>
  <c r="E59" i="1"/>
  <c r="F59" i="1"/>
  <c r="P59" i="1"/>
  <c r="I59" i="1" s="1"/>
  <c r="D91" i="1"/>
  <c r="E91" i="1"/>
  <c r="F91" i="1"/>
  <c r="P91" i="1"/>
  <c r="I91" i="1" s="1"/>
  <c r="D60" i="1"/>
  <c r="E60" i="1"/>
  <c r="F60" i="1"/>
  <c r="P60" i="1"/>
  <c r="I60" i="1" s="1"/>
  <c r="D34" i="1"/>
  <c r="E34" i="1"/>
  <c r="P34" i="1"/>
  <c r="I34" i="1" s="1"/>
  <c r="D33" i="1"/>
  <c r="E33" i="1"/>
  <c r="P33" i="1"/>
  <c r="I33" i="1" s="1"/>
  <c r="D40" i="1"/>
  <c r="E40" i="1"/>
  <c r="P40" i="1"/>
  <c r="I40" i="1" s="1"/>
  <c r="D50" i="1"/>
  <c r="E50" i="1"/>
  <c r="F50" i="1"/>
  <c r="P50" i="1"/>
  <c r="I50" i="1" s="1"/>
  <c r="D41" i="1"/>
  <c r="E41" i="1"/>
  <c r="P41" i="1"/>
  <c r="I41" i="1" s="1"/>
  <c r="D51" i="1"/>
  <c r="E51" i="1"/>
  <c r="F51" i="1"/>
  <c r="P51" i="1"/>
  <c r="E97" i="1"/>
  <c r="P97" i="1"/>
  <c r="I97" i="1" s="1"/>
  <c r="D49" i="1"/>
  <c r="E49" i="1"/>
  <c r="P49" i="1"/>
  <c r="S49" i="1"/>
  <c r="D96" i="1"/>
  <c r="E96" i="1"/>
  <c r="F96" i="1"/>
  <c r="P96" i="1"/>
  <c r="I96" i="1" s="1"/>
  <c r="D90" i="1"/>
  <c r="E90" i="1"/>
  <c r="F90" i="1"/>
  <c r="P90" i="1"/>
  <c r="I90" i="1" s="1"/>
  <c r="D87" i="1"/>
  <c r="E87" i="1"/>
  <c r="F87" i="1"/>
  <c r="P87" i="1"/>
  <c r="I87" i="1" s="1"/>
  <c r="D78" i="1"/>
  <c r="E78" i="1"/>
  <c r="F78" i="1"/>
  <c r="P78" i="1"/>
  <c r="I78" i="1" s="1"/>
  <c r="D86" i="1"/>
  <c r="E86" i="1"/>
  <c r="F86" i="1"/>
  <c r="P86" i="1"/>
  <c r="I86" i="1" s="1"/>
  <c r="D79" i="1"/>
  <c r="E79" i="1"/>
  <c r="F79" i="1"/>
  <c r="P79" i="1"/>
  <c r="I79" i="1" s="1"/>
  <c r="D88" i="1"/>
  <c r="E88" i="1"/>
  <c r="F88" i="1"/>
  <c r="P88" i="1"/>
  <c r="I88" i="1" s="1"/>
  <c r="D80" i="1"/>
  <c r="E80" i="1"/>
  <c r="F80" i="1"/>
  <c r="P80" i="1"/>
  <c r="I80" i="1" s="1"/>
  <c r="D73" i="1"/>
  <c r="E73" i="1"/>
  <c r="P73" i="1"/>
  <c r="I73" i="1" s="1"/>
  <c r="D74" i="1"/>
  <c r="E74" i="1"/>
  <c r="F74" i="1"/>
  <c r="P74" i="1"/>
  <c r="I74" i="1" s="1"/>
  <c r="D75" i="1"/>
  <c r="E75" i="1"/>
  <c r="F75" i="1"/>
  <c r="P75" i="1"/>
  <c r="I75" i="1" s="1"/>
  <c r="D76" i="1"/>
  <c r="E76" i="1"/>
  <c r="F76" i="1"/>
  <c r="P76" i="1"/>
  <c r="I76" i="1" s="1"/>
  <c r="D77" i="1"/>
  <c r="E77" i="1"/>
  <c r="F77" i="1"/>
  <c r="P77" i="1"/>
  <c r="I77" i="1" s="1"/>
  <c r="D84" i="1"/>
  <c r="E84" i="1"/>
  <c r="P84" i="1"/>
  <c r="I84" i="1" s="1"/>
  <c r="D85" i="1"/>
  <c r="E85" i="1"/>
  <c r="F85" i="1"/>
  <c r="P85" i="1"/>
  <c r="I85" i="1" s="1"/>
  <c r="D89" i="1"/>
  <c r="E89" i="1"/>
  <c r="F89" i="1"/>
  <c r="P89" i="1"/>
  <c r="I89" i="1" s="1"/>
  <c r="D83" i="1"/>
  <c r="E83" i="1"/>
  <c r="F83" i="1"/>
  <c r="P83" i="1"/>
  <c r="I83" i="1" s="1"/>
  <c r="D72" i="1"/>
  <c r="E72" i="1"/>
  <c r="F72" i="1"/>
  <c r="P72" i="1"/>
  <c r="I72" i="1" s="1"/>
  <c r="D82" i="1"/>
  <c r="E82" i="1"/>
  <c r="F82" i="1"/>
  <c r="P82" i="1"/>
  <c r="I82" i="1" s="1"/>
  <c r="D71" i="1"/>
  <c r="E71" i="1"/>
  <c r="F71" i="1"/>
  <c r="P71" i="1"/>
  <c r="I71" i="1" s="1"/>
  <c r="S98" i="1" l="1"/>
  <c r="U98" i="1" s="1"/>
  <c r="U70" i="1"/>
  <c r="U43" i="1"/>
  <c r="S53" i="1"/>
  <c r="U53" i="1" s="1"/>
  <c r="S54" i="1"/>
  <c r="U54" i="1" s="1"/>
  <c r="S61" i="1"/>
  <c r="U61" i="1" s="1"/>
  <c r="S35" i="1"/>
  <c r="U35" i="1" s="1"/>
  <c r="S81" i="1"/>
  <c r="U81" i="1" s="1"/>
  <c r="S69" i="1"/>
  <c r="U69" i="1" s="1"/>
  <c r="S92" i="1"/>
  <c r="U92" i="1" s="1"/>
  <c r="S42" i="1"/>
  <c r="U42" i="1" s="1"/>
  <c r="S52" i="1"/>
  <c r="U52" i="1" s="1"/>
  <c r="S59" i="1"/>
  <c r="U59" i="1" s="1"/>
  <c r="S91" i="1"/>
  <c r="U91" i="1" s="1"/>
  <c r="S60" i="1"/>
  <c r="U60" i="1" s="1"/>
  <c r="S34" i="1"/>
  <c r="U34" i="1" s="1"/>
  <c r="S33" i="1"/>
  <c r="U33" i="1" s="1"/>
  <c r="S40" i="1"/>
  <c r="U40" i="1" s="1"/>
  <c r="S50" i="1"/>
  <c r="U50" i="1" s="1"/>
  <c r="S41" i="1"/>
  <c r="U41" i="1" s="1"/>
  <c r="S51" i="1"/>
  <c r="U51" i="1" s="1"/>
  <c r="S97" i="1"/>
  <c r="U97" i="1" s="1"/>
  <c r="U49" i="1"/>
  <c r="S96" i="1"/>
  <c r="U96" i="1" s="1"/>
  <c r="S86" i="1"/>
  <c r="U86" i="1" s="1"/>
  <c r="S90" i="1"/>
  <c r="U90" i="1" s="1"/>
  <c r="S78" i="1"/>
  <c r="U78" i="1" s="1"/>
  <c r="S87" i="1"/>
  <c r="U87" i="1" s="1"/>
  <c r="S88" i="1"/>
  <c r="U88" i="1" s="1"/>
  <c r="S79" i="1"/>
  <c r="U79" i="1" s="1"/>
  <c r="S74" i="1"/>
  <c r="U74" i="1" s="1"/>
  <c r="S80" i="1"/>
  <c r="U80" i="1" s="1"/>
  <c r="S73" i="1"/>
  <c r="U73" i="1" s="1"/>
  <c r="S75" i="1"/>
  <c r="U75" i="1" s="1"/>
  <c r="S76" i="1"/>
  <c r="U76" i="1" s="1"/>
  <c r="S77" i="1"/>
  <c r="U77" i="1" s="1"/>
  <c r="S84" i="1"/>
  <c r="U84" i="1" s="1"/>
  <c r="S85" i="1"/>
  <c r="U85" i="1" s="1"/>
  <c r="S89" i="1"/>
  <c r="U89" i="1" s="1"/>
  <c r="S83" i="1"/>
  <c r="U83" i="1" s="1"/>
  <c r="S72" i="1"/>
  <c r="U72" i="1" s="1"/>
  <c r="S71" i="1"/>
  <c r="U71" i="1" s="1"/>
  <c r="S82" i="1"/>
  <c r="U82" i="1" s="1"/>
  <c r="P3" i="1" l="1"/>
  <c r="I3" i="1" s="1"/>
  <c r="P7" i="1"/>
  <c r="I7" i="1" s="1"/>
  <c r="P14" i="1"/>
  <c r="I14" i="1" s="1"/>
  <c r="P22" i="1"/>
  <c r="I22" i="1" s="1"/>
  <c r="P4" i="1"/>
  <c r="I4" i="1" s="1"/>
  <c r="P5" i="1"/>
  <c r="I5" i="1" s="1"/>
  <c r="P6" i="1"/>
  <c r="I6" i="1" s="1"/>
  <c r="P8" i="1"/>
  <c r="I8" i="1" s="1"/>
  <c r="P9" i="1"/>
  <c r="I9" i="1" s="1"/>
  <c r="P10" i="1"/>
  <c r="I10" i="1" s="1"/>
  <c r="P11" i="1"/>
  <c r="I11" i="1" s="1"/>
  <c r="P12" i="1"/>
  <c r="I12" i="1" s="1"/>
  <c r="P13" i="1"/>
  <c r="I13" i="1" s="1"/>
  <c r="P15" i="1"/>
  <c r="I15" i="1" s="1"/>
  <c r="P16" i="1"/>
  <c r="I16" i="1" s="1"/>
  <c r="P17" i="1"/>
  <c r="I17" i="1" s="1"/>
  <c r="P18" i="1"/>
  <c r="I18" i="1" s="1"/>
  <c r="P19" i="1"/>
  <c r="I19" i="1" s="1"/>
  <c r="P20" i="1"/>
  <c r="I20" i="1" s="1"/>
  <c r="P21" i="1"/>
  <c r="I21" i="1" s="1"/>
  <c r="P23" i="1"/>
  <c r="I23" i="1" s="1"/>
  <c r="P24" i="1"/>
  <c r="I24" i="1" s="1"/>
  <c r="P25" i="1"/>
  <c r="I25" i="1" s="1"/>
  <c r="P26" i="1"/>
  <c r="I26" i="1" s="1"/>
  <c r="P27" i="1"/>
  <c r="I27" i="1" s="1"/>
  <c r="P29" i="1"/>
  <c r="I29" i="1" s="1"/>
  <c r="P30" i="1"/>
  <c r="I30" i="1" s="1"/>
  <c r="P31" i="1"/>
  <c r="I31" i="1" s="1"/>
  <c r="P32" i="1"/>
  <c r="I32" i="1" s="1"/>
  <c r="P36" i="1"/>
  <c r="I36" i="1" s="1"/>
  <c r="P37" i="1"/>
  <c r="I37" i="1" s="1"/>
  <c r="P38" i="1"/>
  <c r="I38" i="1" s="1"/>
  <c r="P39" i="1"/>
  <c r="I39" i="1" s="1"/>
  <c r="P44" i="1"/>
  <c r="I44" i="1" s="1"/>
  <c r="P45" i="1"/>
  <c r="I45" i="1" s="1"/>
  <c r="P46" i="1"/>
  <c r="I46" i="1" s="1"/>
  <c r="P47" i="1"/>
  <c r="I47" i="1" s="1"/>
  <c r="P28" i="1"/>
  <c r="I28" i="1" s="1"/>
  <c r="P48" i="1"/>
  <c r="I48" i="1" s="1"/>
  <c r="P55" i="1"/>
  <c r="I55" i="1" s="1"/>
  <c r="P56" i="1"/>
  <c r="I56" i="1" s="1"/>
  <c r="P57" i="1"/>
  <c r="I57" i="1" s="1"/>
  <c r="P58" i="1"/>
  <c r="I58" i="1" s="1"/>
  <c r="P62" i="1"/>
  <c r="I62" i="1" s="1"/>
  <c r="P63" i="1"/>
  <c r="I63" i="1" s="1"/>
  <c r="P64" i="1"/>
  <c r="I64" i="1" s="1"/>
  <c r="P65" i="1"/>
  <c r="I65" i="1" s="1"/>
  <c r="P66" i="1"/>
  <c r="I66" i="1" s="1"/>
  <c r="P67" i="1"/>
  <c r="I67" i="1" s="1"/>
  <c r="P68" i="1"/>
  <c r="I68" i="1" s="1"/>
  <c r="P2" i="1"/>
  <c r="I2" i="1" s="1"/>
  <c r="D65" i="1"/>
  <c r="E65" i="1"/>
  <c r="F65" i="1"/>
  <c r="D66" i="1"/>
  <c r="E66" i="1"/>
  <c r="F66" i="1"/>
  <c r="D67" i="1"/>
  <c r="E67" i="1"/>
  <c r="F67" i="1"/>
  <c r="D68" i="1"/>
  <c r="E68" i="1"/>
  <c r="S68" i="1"/>
  <c r="D56" i="1"/>
  <c r="E56" i="1"/>
  <c r="D57" i="1"/>
  <c r="E57" i="1"/>
  <c r="F57" i="1"/>
  <c r="D58" i="1"/>
  <c r="E58" i="1"/>
  <c r="F58" i="1"/>
  <c r="D62" i="1"/>
  <c r="E62" i="1"/>
  <c r="D63" i="1"/>
  <c r="E63" i="1"/>
  <c r="F63" i="1"/>
  <c r="D64" i="1"/>
  <c r="E64" i="1"/>
  <c r="D44" i="1"/>
  <c r="E44" i="1"/>
  <c r="D45" i="1"/>
  <c r="E45" i="1"/>
  <c r="F45" i="1"/>
  <c r="D46" i="1"/>
  <c r="E46" i="1"/>
  <c r="F46" i="1"/>
  <c r="D39" i="1"/>
  <c r="E39" i="1"/>
  <c r="D38" i="1"/>
  <c r="E38" i="1"/>
  <c r="F38" i="1"/>
  <c r="D37" i="1"/>
  <c r="E37" i="1"/>
  <c r="F37" i="1"/>
  <c r="D47" i="1"/>
  <c r="E47" i="1"/>
  <c r="F47" i="1"/>
  <c r="D28" i="1"/>
  <c r="E28" i="1"/>
  <c r="F28" i="1"/>
  <c r="D48" i="1"/>
  <c r="E48" i="1"/>
  <c r="D19" i="1"/>
  <c r="E19" i="1"/>
  <c r="F19" i="1"/>
  <c r="D20" i="1"/>
  <c r="E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D26" i="1"/>
  <c r="E26" i="1"/>
  <c r="F26" i="1"/>
  <c r="D27" i="1"/>
  <c r="E27" i="1"/>
  <c r="F27" i="1"/>
  <c r="D29" i="1"/>
  <c r="E29" i="1"/>
  <c r="D30" i="1"/>
  <c r="E30" i="1"/>
  <c r="D31" i="1"/>
  <c r="E31" i="1"/>
  <c r="D32" i="1"/>
  <c r="E32" i="1"/>
  <c r="F32" i="1"/>
  <c r="D36" i="1"/>
  <c r="E36" i="1"/>
  <c r="D55" i="1"/>
  <c r="E55" i="1"/>
  <c r="D11" i="1"/>
  <c r="E11" i="1"/>
  <c r="F11" i="1"/>
  <c r="D12" i="1"/>
  <c r="E12" i="1"/>
  <c r="D13" i="1"/>
  <c r="E13" i="1"/>
  <c r="F13" i="1"/>
  <c r="D14" i="1"/>
  <c r="E14" i="1"/>
  <c r="F14" i="1"/>
  <c r="D15" i="1"/>
  <c r="E15" i="1"/>
  <c r="F15" i="1"/>
  <c r="D16" i="1"/>
  <c r="E16" i="1"/>
  <c r="F16" i="1"/>
  <c r="D10" i="1"/>
  <c r="E10" i="1"/>
  <c r="F10" i="1"/>
  <c r="D8" i="1"/>
  <c r="E8" i="1"/>
  <c r="D9" i="1"/>
  <c r="E9" i="1"/>
  <c r="F9" i="1"/>
  <c r="D17" i="1"/>
  <c r="E17" i="1"/>
  <c r="D7" i="1"/>
  <c r="E7" i="1"/>
  <c r="F7" i="1"/>
  <c r="D18" i="1"/>
  <c r="E18" i="1"/>
  <c r="F18" i="1"/>
  <c r="F3" i="1"/>
  <c r="F4" i="1"/>
  <c r="D2" i="1"/>
  <c r="E2" i="1"/>
  <c r="D3" i="1"/>
  <c r="E3" i="1"/>
  <c r="D4" i="1"/>
  <c r="E4" i="1"/>
  <c r="D5" i="1"/>
  <c r="E5" i="1"/>
  <c r="D6" i="1"/>
  <c r="E6" i="1"/>
  <c r="I483" i="1" l="1"/>
  <c r="U68" i="1"/>
  <c r="S26" i="1"/>
  <c r="U26" i="1" s="1"/>
  <c r="S65" i="1"/>
  <c r="U65" i="1" s="1"/>
  <c r="S66" i="1"/>
  <c r="U66" i="1" s="1"/>
  <c r="S67" i="1"/>
  <c r="U67" i="1" s="1"/>
  <c r="S56" i="1"/>
  <c r="U56" i="1" s="1"/>
  <c r="S57" i="1"/>
  <c r="U57" i="1" s="1"/>
  <c r="S58" i="1"/>
  <c r="U58" i="1" s="1"/>
  <c r="S62" i="1"/>
  <c r="U62" i="1" s="1"/>
  <c r="S63" i="1"/>
  <c r="U63" i="1" s="1"/>
  <c r="S64" i="1"/>
  <c r="U64" i="1" s="1"/>
  <c r="S44" i="1"/>
  <c r="U44" i="1" s="1"/>
  <c r="S45" i="1"/>
  <c r="U45" i="1" s="1"/>
  <c r="S46" i="1"/>
  <c r="U46" i="1" s="1"/>
  <c r="S39" i="1"/>
  <c r="U39" i="1" s="1"/>
  <c r="S38" i="1"/>
  <c r="U38" i="1" s="1"/>
  <c r="S37" i="1"/>
  <c r="U37" i="1" s="1"/>
  <c r="S28" i="1"/>
  <c r="U28" i="1" s="1"/>
  <c r="S47" i="1"/>
  <c r="U47" i="1" s="1"/>
  <c r="S48" i="1"/>
  <c r="U48" i="1" s="1"/>
  <c r="S19" i="1"/>
  <c r="U19" i="1" s="1"/>
  <c r="S20" i="1"/>
  <c r="U20" i="1" s="1"/>
  <c r="S21" i="1"/>
  <c r="U21" i="1" s="1"/>
  <c r="S22" i="1"/>
  <c r="U22" i="1" s="1"/>
  <c r="S24" i="1"/>
  <c r="U24" i="1" s="1"/>
  <c r="S23" i="1"/>
  <c r="U23" i="1" s="1"/>
  <c r="S25" i="1"/>
  <c r="U25" i="1" s="1"/>
  <c r="S29" i="1"/>
  <c r="U29" i="1" s="1"/>
  <c r="S27" i="1"/>
  <c r="U27" i="1" s="1"/>
  <c r="S30" i="1"/>
  <c r="U30" i="1" s="1"/>
  <c r="S31" i="1"/>
  <c r="U31" i="1" s="1"/>
  <c r="S55" i="1"/>
  <c r="U55" i="1" s="1"/>
  <c r="S36" i="1"/>
  <c r="U36" i="1" s="1"/>
  <c r="S32" i="1"/>
  <c r="U32" i="1" s="1"/>
  <c r="S11" i="1"/>
  <c r="U11" i="1" s="1"/>
  <c r="S2" i="1"/>
  <c r="U2" i="1" s="1"/>
  <c r="U483" i="1" s="1"/>
  <c r="S12" i="1"/>
  <c r="U12" i="1" s="1"/>
  <c r="S13" i="1"/>
  <c r="U13" i="1" s="1"/>
  <c r="S15" i="1"/>
  <c r="U15" i="1" s="1"/>
  <c r="S14" i="1"/>
  <c r="U14" i="1" s="1"/>
  <c r="S16" i="1"/>
  <c r="U16" i="1" s="1"/>
  <c r="S10" i="1"/>
  <c r="U10" i="1" s="1"/>
  <c r="S8" i="1"/>
  <c r="U8" i="1" s="1"/>
  <c r="S17" i="1"/>
  <c r="U17" i="1" s="1"/>
  <c r="S9" i="1"/>
  <c r="U9" i="1" s="1"/>
  <c r="S7" i="1"/>
  <c r="U7" i="1" s="1"/>
  <c r="S18" i="1"/>
  <c r="U18" i="1" s="1"/>
  <c r="S3" i="1"/>
  <c r="U3" i="1" s="1"/>
  <c r="S5" i="1"/>
  <c r="U5" i="1" s="1"/>
  <c r="S4" i="1"/>
  <c r="U4" i="1" s="1"/>
  <c r="S6" i="1"/>
  <c r="U6" i="1" s="1"/>
  <c r="S483" i="1" l="1"/>
  <c r="P483" i="1" l="1"/>
</calcChain>
</file>

<file path=xl/sharedStrings.xml><?xml version="1.0" encoding="utf-8"?>
<sst xmlns="http://schemas.openxmlformats.org/spreadsheetml/2006/main" count="3490" uniqueCount="981">
  <si>
    <t>Cliente</t>
  </si>
  <si>
    <t>Nº Pedido</t>
  </si>
  <si>
    <t>Fecha</t>
  </si>
  <si>
    <t>Ref. Molde</t>
  </si>
  <si>
    <t>Material</t>
  </si>
  <si>
    <t>1714/0/1</t>
  </si>
  <si>
    <t>1727/0/1</t>
  </si>
  <si>
    <t>PS</t>
  </si>
  <si>
    <t>SMMA</t>
  </si>
  <si>
    <t>1580/0/2</t>
  </si>
  <si>
    <t>1781/0/1</t>
  </si>
  <si>
    <t>Peso gr.</t>
  </si>
  <si>
    <t>1860/0/1</t>
  </si>
  <si>
    <t>1907/0/2</t>
  </si>
  <si>
    <t>1897/0/1</t>
  </si>
  <si>
    <t>PMMA</t>
  </si>
  <si>
    <t>1790/0/2</t>
  </si>
  <si>
    <t>MOLDE</t>
  </si>
  <si>
    <t>PRODUCTO</t>
  </si>
  <si>
    <t>CAVIDADES</t>
  </si>
  <si>
    <t>MODEL</t>
  </si>
  <si>
    <t>Tapa maderas de oriente</t>
  </si>
  <si>
    <t/>
  </si>
  <si>
    <t>CÀNULA</t>
  </si>
  <si>
    <t>TP-3</t>
  </si>
  <si>
    <t>Funda vaporitzador</t>
  </si>
  <si>
    <t>Tarro hidratant 30 ml</t>
  </si>
  <si>
    <t>T002</t>
  </si>
  <si>
    <t>Cos tarro 200 ml thalgo</t>
  </si>
  <si>
    <t>T11</t>
  </si>
  <si>
    <t>Obturador dietisa</t>
  </si>
  <si>
    <t>Tap dietisa</t>
  </si>
  <si>
    <t>TARRO 17ml. JAZMIN</t>
  </si>
  <si>
    <t>T-1</t>
  </si>
  <si>
    <t>Obturador BOTELLA</t>
  </si>
  <si>
    <t>Obturador 200 ml Monaco</t>
  </si>
  <si>
    <t>Tap principia ovalat rosca gran</t>
  </si>
  <si>
    <t>ESPATULA MASCARA STD</t>
  </si>
  <si>
    <t>Tap ampolla 200 ml</t>
  </si>
  <si>
    <t>CANULA LIPS</t>
  </si>
  <si>
    <t>Tapa 60 ml hidratant</t>
  </si>
  <si>
    <t>#2 (50  ml)</t>
  </si>
  <si>
    <t xml:space="preserve">Tap mislin </t>
  </si>
  <si>
    <t>Tap mislin 120 ml</t>
  </si>
  <si>
    <t>Funda cruz verde 200 ml</t>
  </si>
  <si>
    <t>Funda cruz verde 400 ml</t>
  </si>
  <si>
    <t>Funda cruz verde 100 ml</t>
  </si>
  <si>
    <t>Tapon canula</t>
  </si>
  <si>
    <t>Funda tap roscat</t>
  </si>
  <si>
    <t>Tapa ext. LANCASTER</t>
  </si>
  <si>
    <t>Tapa int. LANCASTER</t>
  </si>
  <si>
    <t>Tapa tarro 50 avalada</t>
  </si>
  <si>
    <t xml:space="preserve">Tap moraver </t>
  </si>
  <si>
    <t>Obturador 50 ml</t>
  </si>
  <si>
    <t>OBTURADOR MASCARA</t>
  </si>
  <si>
    <t xml:space="preserve"> TAPA 200 HERBATURAL</t>
  </si>
  <si>
    <t>#33</t>
  </si>
  <si>
    <t>Cubilet tarro 200 herbatural</t>
  </si>
  <si>
    <t>TARRO 200 HERBATURAL</t>
  </si>
  <si>
    <t>T10</t>
  </si>
  <si>
    <t>TARRO 50 ML SAN</t>
  </si>
  <si>
    <t>T14</t>
  </si>
  <si>
    <t>1422/0/0</t>
  </si>
  <si>
    <t>Tapa 50 ml ovalada(convertida a tapaHelicópter)</t>
  </si>
  <si>
    <t>#2</t>
  </si>
  <si>
    <t>Int. tarro 50 ml</t>
  </si>
  <si>
    <t>Interior tapa 50 ml</t>
  </si>
  <si>
    <t>Tarro 15 cc standard</t>
  </si>
  <si>
    <t>Tarro 50 cc labioman</t>
  </si>
  <si>
    <t>Obturador 50</t>
  </si>
  <si>
    <t>OBTURADOR 200 HERBATURAL</t>
  </si>
  <si>
    <t>Tap d'ampolla 25 ml</t>
  </si>
  <si>
    <t>Cubilet tarro 30 ml</t>
  </si>
  <si>
    <t>Tarro 30 ml</t>
  </si>
  <si>
    <t>T062S</t>
  </si>
  <si>
    <t>Tapa 30 ml MULTIACTIVE</t>
  </si>
  <si>
    <t>#2 (15/30 ml9</t>
  </si>
  <si>
    <t>Cubilet 100 ml</t>
  </si>
  <si>
    <t>Tarro 50 ml estandard 4 unitats</t>
  </si>
  <si>
    <t>T022</t>
  </si>
  <si>
    <t>Tub difusor 50 ml</t>
  </si>
  <si>
    <t>Tapa 7 ml simple</t>
  </si>
  <si>
    <t>#2 (7 ml)</t>
  </si>
  <si>
    <t>Funda tap difusor50 ml</t>
  </si>
  <si>
    <t>Tarro 7 cc</t>
  </si>
  <si>
    <t>Tapa 50 ml</t>
  </si>
  <si>
    <t>#1(50 ML)</t>
  </si>
  <si>
    <t>Interior tapa 50 ml Standard</t>
  </si>
  <si>
    <t>Tarro 50 ml multiactive gruixut</t>
  </si>
  <si>
    <t>Tarro BARRET 50ml</t>
  </si>
  <si>
    <t>T039</t>
  </si>
  <si>
    <t>#2 (50 ml)</t>
  </si>
  <si>
    <t>Tarro 75 ml</t>
  </si>
  <si>
    <t>T037</t>
  </si>
  <si>
    <t>Cubilet 75 ml</t>
  </si>
  <si>
    <t>Cubilet 50 ml recte " tallat "</t>
  </si>
  <si>
    <t>Cubilet 50 recte</t>
  </si>
  <si>
    <t>Interior tapa 15-30 ml</t>
  </si>
  <si>
    <t>Funda mascara canto di roma</t>
  </si>
  <si>
    <t>Ext. Tapa 50 ml SETA</t>
  </si>
  <si>
    <t>#3</t>
  </si>
  <si>
    <t>Ext. Tapa 15-30 ml SETA</t>
  </si>
  <si>
    <t>Cos difusor 30 ml</t>
  </si>
  <si>
    <t>Cubilet 7 ml (6uds)</t>
  </si>
  <si>
    <t>Tarro 15 ml estandard</t>
  </si>
  <si>
    <t>T020</t>
  </si>
  <si>
    <t>Tapa 15-30 ml</t>
  </si>
  <si>
    <t>#1(15/30 ml)</t>
  </si>
  <si>
    <t>Cubilet 30ml</t>
  </si>
  <si>
    <t>Interior tap d'ampolla 200ml</t>
  </si>
  <si>
    <t xml:space="preserve"> OBTURADOR 50</t>
  </si>
  <si>
    <t>Cubilet 200 ml</t>
  </si>
  <si>
    <t>TARRO 15ml OVNI (2u)</t>
  </si>
  <si>
    <t>T048</t>
  </si>
  <si>
    <t>Cubilet 30 ml 4 unitats</t>
  </si>
  <si>
    <t>EXT. TAPA 50 3 PECES</t>
  </si>
  <si>
    <t>Visor tapa borghesse 50 ml</t>
  </si>
  <si>
    <t>ROSCA TARO 50 PARETS PR.</t>
  </si>
  <si>
    <t>TARRO 50 OVNI (4u)</t>
  </si>
  <si>
    <t>T033</t>
  </si>
  <si>
    <t xml:space="preserve"> TARRO 30 QUADRAT</t>
  </si>
  <si>
    <t>T054T</t>
  </si>
  <si>
    <t xml:space="preserve">Tarro quadrat 200 ml </t>
  </si>
  <si>
    <t>Tarro ovni 100 ml</t>
  </si>
  <si>
    <t>T052</t>
  </si>
  <si>
    <t>Tarro quadrat 15 ml</t>
  </si>
  <si>
    <t>T053</t>
  </si>
  <si>
    <t>Tarro 50 ml quadrat</t>
  </si>
  <si>
    <t>T046</t>
  </si>
  <si>
    <t>Tapa 200 (2 unitats)</t>
  </si>
  <si>
    <t>Tapa 15-30ml tres peces</t>
  </si>
  <si>
    <t>#5</t>
  </si>
  <si>
    <t>AMPOLLA DISPENSER EXT. 100ml.</t>
  </si>
  <si>
    <t>Tarro 50 ml estandard 6 unitats</t>
  </si>
  <si>
    <t>Cubilet 150ml</t>
  </si>
  <si>
    <t>Visor tapa borghesse</t>
  </si>
  <si>
    <t>Util cubilet 7-15 cc</t>
  </si>
  <si>
    <t>Util 100-200 cc</t>
  </si>
  <si>
    <t>Tarro 50ml cul rodó</t>
  </si>
  <si>
    <t>T031</t>
  </si>
  <si>
    <t>Tarro sombrero 30ml</t>
  </si>
  <si>
    <t>T056</t>
  </si>
  <si>
    <t>Peça intermitja tapa diamant 50ml</t>
  </si>
  <si>
    <t>Int.tapa 50ml quadrada NCTF NO OK</t>
  </si>
  <si>
    <t>Peça intermitja tapa diamant15ml</t>
  </si>
  <si>
    <t>Tapa diamant 15ml</t>
  </si>
  <si>
    <t>#8</t>
  </si>
  <si>
    <t xml:space="preserve">Interior tapa diamant 15ml </t>
  </si>
  <si>
    <t>TARRO 7 QUADRAT</t>
  </si>
  <si>
    <t>T063</t>
  </si>
  <si>
    <t>Tarro i tapa juvena 50 ml</t>
  </si>
  <si>
    <t>T067</t>
  </si>
  <si>
    <t>Cubilet tarro juvena 50ml</t>
  </si>
  <si>
    <t>Interior Tapa Juvena 50ml</t>
  </si>
  <si>
    <t>Tarro i Tapa Juvena 15ml</t>
  </si>
  <si>
    <t>T066</t>
  </si>
  <si>
    <t>Cubilet tarro juvena 15ml</t>
  </si>
  <si>
    <t>Interior tapa juvena 15 ml</t>
  </si>
  <si>
    <t>Tapa 200 ml 4 unitats</t>
  </si>
  <si>
    <t>#1(100/200 ml)</t>
  </si>
  <si>
    <t xml:space="preserve">Contra-obturador juvena 50ml </t>
  </si>
  <si>
    <t>Contraob. JUVENA 15 ml</t>
  </si>
  <si>
    <t>Tapa borghesse 50 ml</t>
  </si>
  <si>
    <t>#7 (50 ml)</t>
  </si>
  <si>
    <t>Obturador 100/200 ml</t>
  </si>
  <si>
    <t>Difusor polvera</t>
  </si>
  <si>
    <t>Base polvos sueltos</t>
  </si>
  <si>
    <t>Tarro 100ml</t>
  </si>
  <si>
    <t>T029</t>
  </si>
  <si>
    <t>Tapon cuadrado</t>
  </si>
  <si>
    <t>Tarro difusor 30ml quadrat</t>
  </si>
  <si>
    <t>Tapeta</t>
  </si>
  <si>
    <t>Tarro tapa juvena 30ml</t>
  </si>
  <si>
    <t>T071</t>
  </si>
  <si>
    <t>Cubilet tarro juvena 30 ml</t>
  </si>
  <si>
    <t>Int. tapa juvena 30 ml</t>
  </si>
  <si>
    <t>Contraobt. Tarro 30 ml Juvena</t>
  </si>
  <si>
    <t>Tapa 200 mónaco</t>
  </si>
  <si>
    <t>#29</t>
  </si>
  <si>
    <t>Tarro 200ml mónaco</t>
  </si>
  <si>
    <t>T060</t>
  </si>
  <si>
    <t>Cubilet 200ml mónaco</t>
  </si>
  <si>
    <t>Tarro 50 ml conic 2 peces</t>
  </si>
  <si>
    <t>T072</t>
  </si>
  <si>
    <t xml:space="preserve">Tapa 50ml quadrada </t>
  </si>
  <si>
    <t>T0.Q.LL</t>
  </si>
  <si>
    <t>Tarro 50ml quadrat llarg</t>
  </si>
  <si>
    <t>T076</t>
  </si>
  <si>
    <t>TARRO 100 QUADRAT</t>
  </si>
  <si>
    <t>T075</t>
  </si>
  <si>
    <t>Cubilet 50ml tarro quadrat llarg</t>
  </si>
  <si>
    <t>Int. tapa quadrat llarg 50ml</t>
  </si>
  <si>
    <t>TAPETA DIFUSOR 30 ML</t>
  </si>
  <si>
    <t>funda 30ml quadrat</t>
  </si>
  <si>
    <t>Tapa zeta 100-200ml</t>
  </si>
  <si>
    <t>#3 (100/200 ml)</t>
  </si>
  <si>
    <t>Tarro 15 std (6 unit)</t>
  </si>
  <si>
    <t>OBTURADOR 200 A/ LLENG.</t>
  </si>
  <si>
    <t>TARRO 50 ML IRREGULAR</t>
  </si>
  <si>
    <t>T080</t>
  </si>
  <si>
    <t>1905/1/1</t>
  </si>
  <si>
    <t>Cubilet 50 ml A/ Obturador</t>
  </si>
  <si>
    <t>Tarro 7 ml 12 unitats</t>
  </si>
  <si>
    <t>T034</t>
  </si>
  <si>
    <t>Tarro 200ml 3 unitats (2 Actives)</t>
  </si>
  <si>
    <t>T050</t>
  </si>
  <si>
    <t>Tarro 200ml 2 unitats</t>
  </si>
  <si>
    <t>CUBILETE 50 IRREGULAR</t>
  </si>
  <si>
    <t>Tapa 15-30ml borghesse</t>
  </si>
  <si>
    <t>#7 (15/30 ml)</t>
  </si>
  <si>
    <t>Cubilet 15ml 4 unitats</t>
  </si>
  <si>
    <t>Cubilet 15ml 6 unitats</t>
  </si>
  <si>
    <t>1838/0/1</t>
  </si>
  <si>
    <t xml:space="preserve">Int. Tapa  Eucerine </t>
  </si>
  <si>
    <t>Cubilet 50 ml 6 unitats</t>
  </si>
  <si>
    <t>Cubilet 50 ml 18 unitats</t>
  </si>
  <si>
    <t>Tapa 7ml</t>
  </si>
  <si>
    <t>T0APA SISLEY</t>
  </si>
  <si>
    <t>Tapa mar mar 15-30ml</t>
  </si>
  <si>
    <t>#6(15/30 ml)</t>
  </si>
  <si>
    <t>Tapa diamant rodona</t>
  </si>
  <si>
    <t>#12 (50 ml)</t>
  </si>
  <si>
    <t>Tarro bola 50ml</t>
  </si>
  <si>
    <t>T085</t>
  </si>
  <si>
    <t>Tapa bola 50ml</t>
  </si>
  <si>
    <t>#13</t>
  </si>
  <si>
    <t>Int. tapa bola 50 ml</t>
  </si>
  <si>
    <t>TARRO 15 ML SOLDAT</t>
  </si>
  <si>
    <t>T084</t>
  </si>
  <si>
    <t>ROSCA TARRO 15 ML SOLDAT</t>
  </si>
  <si>
    <t>Tapa 50 cc mar mar (4 unit)</t>
  </si>
  <si>
    <t>#6(50 ml)</t>
  </si>
  <si>
    <t>Tarro 50ml Standard 8 unitats</t>
  </si>
  <si>
    <t>Tapa 50 ml borghesse</t>
  </si>
  <si>
    <t>Cubilet 150 ml stee lauder</t>
  </si>
  <si>
    <t>EXT.TAPA 150 ESTEE L.</t>
  </si>
  <si>
    <t>Int. tapa 150ml stee lauder</t>
  </si>
  <si>
    <t>Interior Tapa Huevo 50ml</t>
  </si>
  <si>
    <t xml:space="preserve">Tarro 50 ml huevo </t>
  </si>
  <si>
    <t>T088</t>
  </si>
  <si>
    <t>Ext. Tapa inclinada 50ml</t>
  </si>
  <si>
    <t>Tarro 50ml Tinter Rectangular</t>
  </si>
  <si>
    <t>T094</t>
  </si>
  <si>
    <t>Ext. Tapa Huevo 50ml</t>
  </si>
  <si>
    <t>Tapa tarro rectagular 50 ml</t>
  </si>
  <si>
    <t>#23 (50 ml)</t>
  </si>
  <si>
    <t>Int. tapa tarro rectangular 50ml</t>
  </si>
  <si>
    <t>Tapa prima 50 ml</t>
  </si>
  <si>
    <t>#16</t>
  </si>
  <si>
    <t>Int. tapa 50 ml prima doble</t>
  </si>
  <si>
    <t>Tarro bola 200 ml</t>
  </si>
  <si>
    <t>T090</t>
  </si>
  <si>
    <t xml:space="preserve">Cubilet 200ml bola </t>
  </si>
  <si>
    <t>Tapa tarro bola 200ml</t>
  </si>
  <si>
    <t>#21</t>
  </si>
  <si>
    <t xml:space="preserve">Interior tapa bola 200ml </t>
  </si>
  <si>
    <t>Contra-obturador bola 200ml</t>
  </si>
  <si>
    <t>Obturador bola 200 ml</t>
  </si>
  <si>
    <t>TARRO 50 HELICOIDAL</t>
  </si>
  <si>
    <t>T091 CUBILETE RECTO</t>
  </si>
  <si>
    <t>Tapa mar mar 200ml</t>
  </si>
  <si>
    <t>#6(100/200 ml)</t>
  </si>
  <si>
    <t>Obturador de litre</t>
  </si>
  <si>
    <t>Tapa 50 cc mar mar (6 unit)</t>
  </si>
  <si>
    <t>Tarro 200ml Quadrat amb vàlvula</t>
  </si>
  <si>
    <t>T055</t>
  </si>
  <si>
    <t xml:space="preserve">Interior tapa 200ml </t>
  </si>
  <si>
    <t>Cubilet 50 ml 4uts</t>
  </si>
  <si>
    <t>TARRO 200 MONOPARET</t>
  </si>
  <si>
    <t>T098</t>
  </si>
  <si>
    <t>Tarro 200 ml baix</t>
  </si>
  <si>
    <t>T097</t>
  </si>
  <si>
    <t>Tapa tarro 200 ml baix</t>
  </si>
  <si>
    <t>#25</t>
  </si>
  <si>
    <t>Interior tapa 200ml baix</t>
  </si>
  <si>
    <t>Cubilet 200 ml baix</t>
  </si>
  <si>
    <t>Tarro bola 15ml</t>
  </si>
  <si>
    <t>T099</t>
  </si>
  <si>
    <t>Tapa bola 15ml</t>
  </si>
  <si>
    <t>Int. tapa bola 15/30ml</t>
  </si>
  <si>
    <t>Controbturador bola 15 ml</t>
  </si>
  <si>
    <t>Obturador 30 ml sisley</t>
  </si>
  <si>
    <t>Cubilet 100ml</t>
  </si>
  <si>
    <t>OBTURADOR REJILLA 7ML</t>
  </si>
  <si>
    <t>Tapa 7 ml quadrada</t>
  </si>
  <si>
    <t>#35</t>
  </si>
  <si>
    <t>Tapa 200 ml estret</t>
  </si>
  <si>
    <t>#44</t>
  </si>
  <si>
    <t>Cubilet 50 ml. Baix</t>
  </si>
  <si>
    <t>Int. Tapa 50 ml. Baix</t>
  </si>
  <si>
    <t>Ext. Tapa 50 ml. baix</t>
  </si>
  <si>
    <t>Tarro 50 cc quadrat 4u</t>
  </si>
  <si>
    <t>T065</t>
  </si>
  <si>
    <t>Tarro 15 ml. Tinter Rectangular</t>
  </si>
  <si>
    <t>T108</t>
  </si>
  <si>
    <t>1932/0/1</t>
  </si>
  <si>
    <t>Tarro 15 ml. Tinter Quadrat</t>
  </si>
  <si>
    <t>T124</t>
  </si>
  <si>
    <t>Obturador tarro 50 cc bajo</t>
  </si>
  <si>
    <t>Tarro 50ml Baix</t>
  </si>
  <si>
    <t>Cubilet 7 ml</t>
  </si>
  <si>
    <t>Cubilet 200 ml.</t>
  </si>
  <si>
    <t>Cubilete faldilla 50 ml</t>
  </si>
  <si>
    <t>Tarro 50 quadrat llarg-FILORGA</t>
  </si>
  <si>
    <t>T114</t>
  </si>
  <si>
    <t>Tapa 50 quadrat llarg-FILORGA</t>
  </si>
  <si>
    <t>#46</t>
  </si>
  <si>
    <t>Int. tapa 50 quadrat llarg-FILORGA</t>
  </si>
  <si>
    <t>Pre-forma filorga</t>
  </si>
  <si>
    <t xml:space="preserve">Pre-forma bi-iny </t>
  </si>
  <si>
    <t>Tarro 50 ml std bi-inyeccion</t>
  </si>
  <si>
    <t>T022B</t>
  </si>
  <si>
    <t>Tarro 400 ml</t>
  </si>
  <si>
    <t>T113</t>
  </si>
  <si>
    <t>Cubilete 400 ml</t>
  </si>
  <si>
    <t>Obturador tarro 400 ml</t>
  </si>
  <si>
    <t>Pre-forma 50 ml cuadrado</t>
  </si>
  <si>
    <t>Tapeta Dispenser Rodona</t>
  </si>
  <si>
    <t>Tapa 50ml Quadrada Prima</t>
  </si>
  <si>
    <t>#9 (50 ml)</t>
  </si>
  <si>
    <t>Int.tapa 50ml  NCEF</t>
  </si>
  <si>
    <t>Ext. Tapa 50 ml. Baix plana AMB ANAGRAMA</t>
  </si>
  <si>
    <t>#42</t>
  </si>
  <si>
    <t>Tarro 30ml quadrat 4u</t>
  </si>
  <si>
    <t>Tarro Diamante 30ml</t>
  </si>
  <si>
    <t>T118</t>
  </si>
  <si>
    <t>OBTURADOR PAESSE</t>
  </si>
  <si>
    <t>Tarro 50 ml. Baix</t>
  </si>
  <si>
    <t>T107</t>
  </si>
  <si>
    <t>Tapa 50ml Diamant</t>
  </si>
  <si>
    <t>#51</t>
  </si>
  <si>
    <t xml:space="preserve">Interior Tapa Diamant 50ml </t>
  </si>
  <si>
    <t>Tarro 50 cc quadrat 6u</t>
  </si>
  <si>
    <t>TARRO 15ml OVNI (4u)</t>
  </si>
  <si>
    <t>Ext. Tapa 50 ml. Baix plana amb anagrama</t>
  </si>
  <si>
    <t>Interior 50ml s/intermitja 12u</t>
  </si>
  <si>
    <t>Interior 50ml s/intermitja 6u</t>
  </si>
  <si>
    <t>UTIL TAPA DIAMANT 15 + 50ml</t>
  </si>
  <si>
    <t>Int.tapa 50ml quadrada s/intermitja 4u</t>
  </si>
  <si>
    <t>Tarro 30ml quadrat 6u</t>
  </si>
  <si>
    <t>Tarro 30ml quadrat 8u</t>
  </si>
  <si>
    <t>Pre-forma tarro quadrat 50ml</t>
  </si>
  <si>
    <t>T065B</t>
  </si>
  <si>
    <t>Tarro 8,5ml quadrat Cul Plà</t>
  </si>
  <si>
    <t>T122</t>
  </si>
  <si>
    <t>Tarro Quadrat 50ml Bi-injecció</t>
  </si>
  <si>
    <t>Tarro 50 cc quadrat 8u</t>
  </si>
  <si>
    <t>Tapa Diamantada</t>
  </si>
  <si>
    <t>1108/1</t>
  </si>
  <si>
    <t>Interior tarro 30 ml</t>
  </si>
  <si>
    <t>1108/2</t>
  </si>
  <si>
    <t>TAPA SIMPLE 1 ENTRADA</t>
  </si>
  <si>
    <t>1108/2/2</t>
  </si>
  <si>
    <t>Tapa tarro 30 ml</t>
  </si>
  <si>
    <t>1115/5</t>
  </si>
  <si>
    <t>EXT.TAPA 15/30 ARIANNE INDEN</t>
  </si>
  <si>
    <t>1116/1/0</t>
  </si>
  <si>
    <t>Interior tapa 200 ml</t>
  </si>
  <si>
    <t>1116/1/5</t>
  </si>
  <si>
    <t>Tapa 100/200 Monopared Plana</t>
  </si>
  <si>
    <t>#52</t>
  </si>
  <si>
    <t>1116/1/6</t>
  </si>
  <si>
    <t>Interior tarro 200 ml Alessandro</t>
  </si>
  <si>
    <t>TI</t>
  </si>
  <si>
    <t>1116/3</t>
  </si>
  <si>
    <t>Interior tarro 100 ml</t>
  </si>
  <si>
    <t>1116/4</t>
  </si>
  <si>
    <t>Interior tarro 200 ml</t>
  </si>
  <si>
    <t>1160/1</t>
  </si>
  <si>
    <t>TAPA SIMPLE PP</t>
  </si>
  <si>
    <t>1162/1</t>
  </si>
  <si>
    <t xml:space="preserve">Tap maquillatge </t>
  </si>
  <si>
    <t>1207/1</t>
  </si>
  <si>
    <t>Tap d'ampolla cilindrica rosca petita</t>
  </si>
  <si>
    <t>1304/1</t>
  </si>
  <si>
    <t>Int. cruz verde 200 ml</t>
  </si>
  <si>
    <t>1305/1</t>
  </si>
  <si>
    <t>Int. cruz verde 400 ml</t>
  </si>
  <si>
    <t>1306/1</t>
  </si>
  <si>
    <t xml:space="preserve">Int. cruz verde 100 ml </t>
  </si>
  <si>
    <t>Tapa 50 ml Helicopter</t>
  </si>
  <si>
    <t>1433/0/3</t>
  </si>
  <si>
    <t>Tarro de 30 chenyu</t>
  </si>
  <si>
    <t>1433/0/4</t>
  </si>
  <si>
    <t>Tarro 15 ml prim</t>
  </si>
  <si>
    <t>T086</t>
  </si>
  <si>
    <t>1433/0/5</t>
  </si>
  <si>
    <t>Tarro 15 ml economic</t>
  </si>
  <si>
    <t>T020S</t>
  </si>
  <si>
    <t>1439/0/2</t>
  </si>
  <si>
    <t>Cubilet 15ml A/Obturador</t>
  </si>
  <si>
    <t>1440/0/1</t>
  </si>
  <si>
    <t>Cubilet de 50 ml A/Obturador</t>
  </si>
  <si>
    <t>1440/0/2</t>
  </si>
  <si>
    <t>Cubilet de 30 ml Diamant</t>
  </si>
  <si>
    <t>1440/0/6</t>
  </si>
  <si>
    <t>Cubilet de 50ml Refill</t>
  </si>
  <si>
    <t>1442/0/2</t>
  </si>
  <si>
    <t>Obturador tarro de 30 cc</t>
  </si>
  <si>
    <t>1443/0/1</t>
  </si>
  <si>
    <t>Obturador 15 ml</t>
  </si>
  <si>
    <t>1443/0/2</t>
  </si>
  <si>
    <t>OBTURADOR 30</t>
  </si>
  <si>
    <t>1443/0/8</t>
  </si>
  <si>
    <t>Obturador 50 ml gravis</t>
  </si>
  <si>
    <t>1443/0/9</t>
  </si>
  <si>
    <t>Obturador 15 ml gravis</t>
  </si>
  <si>
    <t>1447/0/4</t>
  </si>
  <si>
    <t>Tapa Alta Prima</t>
  </si>
  <si>
    <t>1447/0/6</t>
  </si>
  <si>
    <t>Tapa gota gruixuda</t>
  </si>
  <si>
    <t>#40</t>
  </si>
  <si>
    <t>1448/0/1</t>
  </si>
  <si>
    <t>INTERIOR TAPA TARRO 50 ML</t>
  </si>
  <si>
    <t>1448/0/2</t>
  </si>
  <si>
    <t>Int. tapa 50 ml mar-mar prima</t>
  </si>
  <si>
    <t>1467/1</t>
  </si>
  <si>
    <t>Obturador 50 ml rejilla</t>
  </si>
  <si>
    <t>1482/0/2</t>
  </si>
  <si>
    <t>Cubilet 30 ml sisley</t>
  </si>
  <si>
    <t>1494/0/0</t>
  </si>
  <si>
    <t>Tarro 30 ml multiactive</t>
  </si>
  <si>
    <t>T032</t>
  </si>
  <si>
    <t>1494/1/1</t>
  </si>
  <si>
    <t>Tarro 15 cc borges</t>
  </si>
  <si>
    <t>1494/1/2</t>
  </si>
  <si>
    <t>Tarro 30 ml BORGHESSE</t>
  </si>
  <si>
    <t>T062</t>
  </si>
  <si>
    <t>1494/1/3</t>
  </si>
  <si>
    <t>1495/0/2</t>
  </si>
  <si>
    <t>Int. tapa 15-30 ml borghesse</t>
  </si>
  <si>
    <t>1522/0/2</t>
  </si>
  <si>
    <t>Tub Dispenser Cònic 50 ml</t>
  </si>
  <si>
    <t>D002</t>
  </si>
  <si>
    <t>1539/0/1</t>
  </si>
  <si>
    <t>Cubilet 5 ml</t>
  </si>
  <si>
    <t>1539/0/3</t>
  </si>
  <si>
    <t>Cubilet 8,5 ml</t>
  </si>
  <si>
    <t>1540/0/1</t>
  </si>
  <si>
    <t>Tapa 7 ml gruixuda</t>
  </si>
  <si>
    <t>#6(7 ml)</t>
  </si>
  <si>
    <t>1540/0/2</t>
  </si>
  <si>
    <t>Interior tapa 7 ml</t>
  </si>
  <si>
    <t>1540/0/3</t>
  </si>
  <si>
    <t>Tapa 7 ml gruixuda sorrejada</t>
  </si>
  <si>
    <t>1551/1</t>
  </si>
  <si>
    <t xml:space="preserve">Tapa 50 ml camara calenta </t>
  </si>
  <si>
    <t>1567/1</t>
  </si>
  <si>
    <t>Interior tapa 50 ml SVR</t>
  </si>
  <si>
    <t>1572/0/0</t>
  </si>
  <si>
    <t>T026</t>
  </si>
  <si>
    <t>1572/0/1</t>
  </si>
  <si>
    <t xml:space="preserve">Tarro 50 ml multiactive prim </t>
  </si>
  <si>
    <t>1577/0/2</t>
  </si>
  <si>
    <t>#11 (50 ml)</t>
  </si>
  <si>
    <t>1577/0/3</t>
  </si>
  <si>
    <t>Tapa 50 ml nova</t>
  </si>
  <si>
    <t>#15 (50 ml)</t>
  </si>
  <si>
    <t>1577/0/4</t>
  </si>
  <si>
    <t>1577/0/5</t>
  </si>
  <si>
    <t>Tapa 50 ml reborde</t>
  </si>
  <si>
    <t>1580/0/1</t>
  </si>
  <si>
    <t>Int. tapa 50 ml borghesse</t>
  </si>
  <si>
    <t>Int. tapa 50 ml hannah</t>
  </si>
  <si>
    <t>1603/0/1</t>
  </si>
  <si>
    <t>Int. Tarro 50 ml</t>
  </si>
  <si>
    <t>1604/0/1</t>
  </si>
  <si>
    <t>Cubilet 50ml Natura Bissé</t>
  </si>
  <si>
    <t>1615/0/3</t>
  </si>
  <si>
    <t>Int. tapa 30 ml sisley</t>
  </si>
  <si>
    <t>1644/0/1</t>
  </si>
  <si>
    <t>Cubilet de 7,5 cc</t>
  </si>
  <si>
    <t>1648/0/2</t>
  </si>
  <si>
    <t>Ext. Tapa 15/30</t>
  </si>
  <si>
    <t>1648/1</t>
  </si>
  <si>
    <t>Tarro 30 ml chen yu</t>
  </si>
  <si>
    <t>T028</t>
  </si>
  <si>
    <t>1667/0/1</t>
  </si>
  <si>
    <t>1667/0/2</t>
  </si>
  <si>
    <t xml:space="preserve">Tarro 50 ml labiomar </t>
  </si>
  <si>
    <t>T079</t>
  </si>
  <si>
    <t>1667/0/3</t>
  </si>
  <si>
    <t>Tarro 30 ml sisley</t>
  </si>
  <si>
    <t>T028S</t>
  </si>
  <si>
    <t>1667/0/4</t>
  </si>
  <si>
    <t>TARRO 30 RECTE PUNXONS PLANS A/REG</t>
  </si>
  <si>
    <t>1671/0/1</t>
  </si>
  <si>
    <t>TARRO 50 QUADRAT RODO</t>
  </si>
  <si>
    <t>T110</t>
  </si>
  <si>
    <t>1671/0/2</t>
  </si>
  <si>
    <t>Tarro 50 ml FALDILLA</t>
  </si>
  <si>
    <t>T111</t>
  </si>
  <si>
    <t>1683/0/1</t>
  </si>
  <si>
    <t>1688/0/1</t>
  </si>
  <si>
    <t>1688/1</t>
  </si>
  <si>
    <t>Tarro 30 quadrat</t>
  </si>
  <si>
    <t>1703/0/1</t>
  </si>
  <si>
    <t>Tarro 15ml quadrat rosca bayoneta</t>
  </si>
  <si>
    <t>T053T</t>
  </si>
  <si>
    <t>1703/0/2</t>
  </si>
  <si>
    <t>Tarro 15 ml Quadrat Diamant</t>
  </si>
  <si>
    <t>1960/1</t>
  </si>
  <si>
    <t>1704/0/1</t>
  </si>
  <si>
    <t>1704/0/2</t>
  </si>
  <si>
    <t>Tarro 50 ml quadrat cul rodo</t>
  </si>
  <si>
    <t>1705/0/1</t>
  </si>
  <si>
    <t>EXT. TAPA 100/200 PRIMA</t>
  </si>
  <si>
    <t>1708/0/1</t>
  </si>
  <si>
    <t>Tarro 150 cc</t>
  </si>
  <si>
    <t>T057</t>
  </si>
  <si>
    <t>1708/0/2</t>
  </si>
  <si>
    <t>Tarro 200 ml prim  A reg.</t>
  </si>
  <si>
    <t>T061</t>
  </si>
  <si>
    <t>1708/1/0</t>
  </si>
  <si>
    <t>Tarro 150 ml</t>
  </si>
  <si>
    <t>1708/1/1</t>
  </si>
  <si>
    <t>Tarro 150 ml prim cul pla</t>
  </si>
  <si>
    <t>T057S</t>
  </si>
  <si>
    <t>Tarro 50 ml estandard s/cul</t>
  </si>
  <si>
    <t>T022SC</t>
  </si>
  <si>
    <t>1714/0/2</t>
  </si>
  <si>
    <t>Tarro 50 ml estandard Refill</t>
  </si>
  <si>
    <t>T022R</t>
  </si>
  <si>
    <t>1726/0/1</t>
  </si>
  <si>
    <t>Util 50 cc</t>
  </si>
  <si>
    <t>Tarro 50ml multiactive gruixut</t>
  </si>
  <si>
    <t>1727/0/2</t>
  </si>
  <si>
    <t xml:space="preserve">Tarro 50ml multiactive prim </t>
  </si>
  <si>
    <t>T026S</t>
  </si>
  <si>
    <t>1727/0/3</t>
  </si>
  <si>
    <t>Tarro 50ml multiactive Siriex</t>
  </si>
  <si>
    <t>1738/0/1</t>
  </si>
  <si>
    <t xml:space="preserve">INT.TAPA 50 HANAH </t>
  </si>
  <si>
    <t>1738/0/2</t>
  </si>
  <si>
    <t>Interior tapa 50 cc HANNAH quadrat</t>
  </si>
  <si>
    <t>1738/0/3</t>
  </si>
  <si>
    <t xml:space="preserve"> Interior 50ml S/int. (2u)</t>
  </si>
  <si>
    <t>1739/0/1</t>
  </si>
  <si>
    <t xml:space="preserve">Tapa 50ml quadrada prima </t>
  </si>
  <si>
    <t>1744/0/1</t>
  </si>
  <si>
    <t xml:space="preserve">Tapa diamant 15ml plana </t>
  </si>
  <si>
    <t>#9 (15/30 ml)</t>
  </si>
  <si>
    <t>1744/0/2</t>
  </si>
  <si>
    <t>Tapa 15ml per tarro Tintero</t>
  </si>
  <si>
    <t>#23</t>
  </si>
  <si>
    <t>1745/0/1</t>
  </si>
  <si>
    <t>Interior tapa 15ml  TINTERO</t>
  </si>
  <si>
    <t>1745/0/2</t>
  </si>
  <si>
    <t>Interior tapa diamant 15ml s/intermitja</t>
  </si>
  <si>
    <t>1745/0/4</t>
  </si>
  <si>
    <t>Interior tapa quadrada 15/30ml</t>
  </si>
  <si>
    <t>1745/0/5</t>
  </si>
  <si>
    <t>Interior tapa quadrada 15/30ml Encolat</t>
  </si>
  <si>
    <t>1766/0/1</t>
  </si>
  <si>
    <t>Tarro 7ml quadrat rosca especial</t>
  </si>
  <si>
    <t>1766/0/3</t>
  </si>
  <si>
    <t>1772/0/2</t>
  </si>
  <si>
    <t>Tarro i tapa Piramidal 50 ml</t>
  </si>
  <si>
    <t>1780/0/1</t>
  </si>
  <si>
    <t>Obturador adolfo dominguez</t>
  </si>
  <si>
    <t xml:space="preserve">Tapa 100 ml prima </t>
  </si>
  <si>
    <t>#26(100 ml)</t>
  </si>
  <si>
    <t>1782/0/1</t>
  </si>
  <si>
    <t>Contra-obturador tapa bola 50ml</t>
  </si>
  <si>
    <t>1786/0/1</t>
  </si>
  <si>
    <t xml:space="preserve"> EXT.TAPA 50 YOYO</t>
  </si>
  <si>
    <t>1786/0/2</t>
  </si>
  <si>
    <t>Tapa 50 cc Borghesse</t>
  </si>
  <si>
    <t>1786/0/4</t>
  </si>
  <si>
    <t>Tapa 50 ml gravis</t>
  </si>
  <si>
    <t>#7</t>
  </si>
  <si>
    <t>1787/0/1</t>
  </si>
  <si>
    <t>Obturador tarro 100ml prim</t>
  </si>
  <si>
    <t>1790/0/1</t>
  </si>
  <si>
    <t>Tarro 100ml estret</t>
  </si>
  <si>
    <t>T103</t>
  </si>
  <si>
    <t>Tarro 100 ml prim cubilet rodo</t>
  </si>
  <si>
    <t>1803/0/1</t>
  </si>
  <si>
    <t>Cotra-obturador tapa 50 ml quadrada</t>
  </si>
  <si>
    <t>1817/0/1</t>
  </si>
  <si>
    <t>Tapeta difusor 30/50ml</t>
  </si>
  <si>
    <t>1822/0/1</t>
  </si>
  <si>
    <t>Tarro 15ml borghesse</t>
  </si>
  <si>
    <t>T058</t>
  </si>
  <si>
    <t>1825/0/1</t>
  </si>
  <si>
    <t>1832/0/1</t>
  </si>
  <si>
    <t>Tarro 200ml quadrat cònic</t>
  </si>
  <si>
    <t>T083</t>
  </si>
  <si>
    <t>1836/0/1</t>
  </si>
  <si>
    <t>Tapa 15-30ml gravis</t>
  </si>
  <si>
    <t>1852/0/1</t>
  </si>
  <si>
    <t>Tapa 50ml hannah</t>
  </si>
  <si>
    <t>#43</t>
  </si>
  <si>
    <t>1852/0/2</t>
  </si>
  <si>
    <t>Tapa quadrada 50ml hannah</t>
  </si>
  <si>
    <t>1852/0/3</t>
  </si>
  <si>
    <t xml:space="preserve">Tapa 50ml quadrada prima plana </t>
  </si>
  <si>
    <t>1852/1</t>
  </si>
  <si>
    <t>#37</t>
  </si>
  <si>
    <t>1852/2</t>
  </si>
  <si>
    <t>Tapa 50 ml mar-mar prima</t>
  </si>
  <si>
    <t>#24</t>
  </si>
  <si>
    <t>1860/0/3</t>
  </si>
  <si>
    <t>Ext. Tapa 50ml mar-mar prima BR</t>
  </si>
  <si>
    <t>1860/0/4</t>
  </si>
  <si>
    <t>1860/0/5</t>
  </si>
  <si>
    <t>Tapa 50 ml mar-mar prima NELY</t>
  </si>
  <si>
    <t>1860/0/6</t>
  </si>
  <si>
    <t>Tapa Gota Ratllada</t>
  </si>
  <si>
    <t>#50</t>
  </si>
  <si>
    <t>1870/0/1</t>
  </si>
  <si>
    <t>Int.tapa 200 ml estret</t>
  </si>
  <si>
    <t>1872/0/1</t>
  </si>
  <si>
    <t>Tarro 50ml N.B.</t>
  </si>
  <si>
    <t>T1??</t>
  </si>
  <si>
    <t>1877/0/1</t>
  </si>
  <si>
    <t>Tarro 50ml Tinter Quadrat</t>
  </si>
  <si>
    <t>T116</t>
  </si>
  <si>
    <t>1884/0/1</t>
  </si>
  <si>
    <t>Cubilete 100 ml bola</t>
  </si>
  <si>
    <t>1889/1</t>
  </si>
  <si>
    <t>Tarro 50ml quadrat hannah</t>
  </si>
  <si>
    <t>T105</t>
  </si>
  <si>
    <t>1889/2</t>
  </si>
  <si>
    <t>Tarro 50ml hanah</t>
  </si>
  <si>
    <t>T105T</t>
  </si>
  <si>
    <t>1890/0/1</t>
  </si>
  <si>
    <t xml:space="preserve">Tapa stee lauder 150 ml </t>
  </si>
  <si>
    <t>T0.E.L.(150 ml)</t>
  </si>
  <si>
    <t>1894/0/1</t>
  </si>
  <si>
    <t>Ext. Tapa eucerin</t>
  </si>
  <si>
    <t>1896/0/1</t>
  </si>
  <si>
    <t>OBTURADOR 1 MM</t>
  </si>
  <si>
    <t>1896/0/2</t>
  </si>
  <si>
    <t>OBTURADOR 2 MM</t>
  </si>
  <si>
    <t>1896/0/3</t>
  </si>
  <si>
    <t>OBTUR. AMPOLLA 4 MM</t>
  </si>
  <si>
    <t>1896/0/4</t>
  </si>
  <si>
    <t>OBTUR. AMPOLLA 6 MM</t>
  </si>
  <si>
    <t>Tapa 50 cc mar mar (6 unit) soldada</t>
  </si>
  <si>
    <t>#48</t>
  </si>
  <si>
    <t>1898/1</t>
  </si>
  <si>
    <t>Tarro 200ml Quadrat estret (Tapa Quadrada)</t>
  </si>
  <si>
    <t>T104</t>
  </si>
  <si>
    <t>1898/2</t>
  </si>
  <si>
    <t>Tarro 200ml Quadrat estret (Tapa Rodona)</t>
  </si>
  <si>
    <t>1898/3</t>
  </si>
  <si>
    <t>Tarro 200ml Quadrat Rosca 1 entrada</t>
  </si>
  <si>
    <t>1898/4</t>
  </si>
  <si>
    <t>Tarro 200ml Quadrat Nipon</t>
  </si>
  <si>
    <t>1906/0/1</t>
  </si>
  <si>
    <t>TARRO 100 MONOPARET</t>
  </si>
  <si>
    <t>Tarro 200 ml baix prim</t>
  </si>
  <si>
    <t>T106</t>
  </si>
  <si>
    <t>1907/0/3</t>
  </si>
  <si>
    <t>Tarro 200 ml baix prim NOU</t>
  </si>
  <si>
    <t>T120</t>
  </si>
  <si>
    <t>1909/0/2</t>
  </si>
  <si>
    <t>Tapa simple 200ml baixa prima</t>
  </si>
  <si>
    <t>#45</t>
  </si>
  <si>
    <t>1909/0/3</t>
  </si>
  <si>
    <t>Tapa tarro 400 ml</t>
  </si>
  <si>
    <t>#47</t>
  </si>
  <si>
    <t>1909/1</t>
  </si>
  <si>
    <t>Tapa simple 200ml baixa</t>
  </si>
  <si>
    <t>#6(200 ml)</t>
  </si>
  <si>
    <t>1910/0/1</t>
  </si>
  <si>
    <t>Cubilet 250 ml baix</t>
  </si>
  <si>
    <t>1910/0/2</t>
  </si>
  <si>
    <t>Cubilet 200 ml baix sense nervi</t>
  </si>
  <si>
    <t>1918/0/1</t>
  </si>
  <si>
    <t>Obturador 15 ml c/llengueta</t>
  </si>
  <si>
    <t>1918/0/2</t>
  </si>
  <si>
    <t>Obturador 30 ml NO SISLEY</t>
  </si>
  <si>
    <t>1928/0/1</t>
  </si>
  <si>
    <t>Obturador rejilla 20 agujeros</t>
  </si>
  <si>
    <t>1928/0/2</t>
  </si>
  <si>
    <t>Cubilet Diamant</t>
  </si>
  <si>
    <t>1929/0/3</t>
  </si>
  <si>
    <t>Interior Diamant 50ml</t>
  </si>
  <si>
    <t>1930/0/1</t>
  </si>
  <si>
    <t>Ext. Tapa 50 ml. Baix plana</t>
  </si>
  <si>
    <t>1930/0/3</t>
  </si>
  <si>
    <t>Tapa Diamant 50ml</t>
  </si>
  <si>
    <t>1933/0/1</t>
  </si>
  <si>
    <t>1933/0/2</t>
  </si>
  <si>
    <t>Obturador 50 ml SIRIEX</t>
  </si>
  <si>
    <t>1934/0/1</t>
  </si>
  <si>
    <t>Tarro multiactive 50 cc prim anb valvula</t>
  </si>
  <si>
    <t>1934/0/2</t>
  </si>
  <si>
    <t>Tarro 30 ml baix</t>
  </si>
  <si>
    <t>T115</t>
  </si>
  <si>
    <t>1934/0/3</t>
  </si>
  <si>
    <t>Tarro 50 ml baix sense anclaje para Polvera PAESSE</t>
  </si>
  <si>
    <t>T115P</t>
  </si>
  <si>
    <t>1938/0/1</t>
  </si>
  <si>
    <t>PROFORMA BI-INYECCION</t>
  </si>
  <si>
    <t>1943/0/1</t>
  </si>
  <si>
    <t>Pre-forma bi-iny cul pla</t>
  </si>
  <si>
    <t>1944/0/1</t>
  </si>
  <si>
    <t>Tarro 50 ml std bi-inyeccion SVR</t>
  </si>
  <si>
    <t>T022B SC</t>
  </si>
  <si>
    <t>1956/0/1</t>
  </si>
  <si>
    <t>Interior 50ml S/intermitja (NO EXISTEIX)</t>
  </si>
  <si>
    <t>1961/0/1</t>
  </si>
  <si>
    <t>Tarro Diamante 50ml</t>
  </si>
  <si>
    <t>T119</t>
  </si>
  <si>
    <t>592/2/1</t>
  </si>
  <si>
    <t>Obturador forat petit</t>
  </si>
  <si>
    <t>B-1</t>
  </si>
  <si>
    <t>BOTELLA 50ml CILINDRICA</t>
  </si>
  <si>
    <t>B-106</t>
  </si>
  <si>
    <t>Botella oval 50 ML</t>
  </si>
  <si>
    <t>B-144</t>
  </si>
  <si>
    <t xml:space="preserve">DISPENSER 30ml CILINDRIC </t>
  </si>
  <si>
    <t>B-161</t>
  </si>
  <si>
    <t>MASCARA TIPUS CAVA</t>
  </si>
  <si>
    <t>B-174</t>
  </si>
  <si>
    <t>AMPOLLA DISPENSER INT. 100ml.</t>
  </si>
  <si>
    <t>B-178</t>
  </si>
  <si>
    <t>BOTELLA CILINDRICA 200ml</t>
  </si>
  <si>
    <t>B-180</t>
  </si>
  <si>
    <t>BOTELLA QUADRADA 200ml</t>
  </si>
  <si>
    <t>B-239</t>
  </si>
  <si>
    <t>BOTELLA BPM-250 (CON LOGO)</t>
  </si>
  <si>
    <t>B-240</t>
  </si>
  <si>
    <t>BOTELLA BPM-500 (con logo)</t>
  </si>
  <si>
    <t>B-241</t>
  </si>
  <si>
    <t>BOTELLA BPM-250 (SIN LOGO)</t>
  </si>
  <si>
    <t>B-242</t>
  </si>
  <si>
    <t>BOTELLA BPM-500 (SIN LOGO)</t>
  </si>
  <si>
    <t>B-3</t>
  </si>
  <si>
    <t>BOTELLA CILINDRICA B4 CUELLO 3 200 ML</t>
  </si>
  <si>
    <t>B-32</t>
  </si>
  <si>
    <t>BOTELLA 30cc</t>
  </si>
  <si>
    <t>B-49</t>
  </si>
  <si>
    <t>BOTELLA OVAL 130 ML "DIETISA"</t>
  </si>
  <si>
    <t>B-84</t>
  </si>
  <si>
    <t>BOTELLA OVAL 200 ML</t>
  </si>
  <si>
    <t>B-306</t>
  </si>
  <si>
    <t>BOTELLA TITAN ARTS 250ML</t>
  </si>
  <si>
    <t>B-307</t>
  </si>
  <si>
    <t>BOTELLA TITAN ARTS 1000ML</t>
  </si>
  <si>
    <t>BOTELLA cilindrica 200 ML</t>
  </si>
  <si>
    <t>Tapa 50ml Monopared</t>
  </si>
  <si>
    <t>Interior 50ml Monopared</t>
  </si>
  <si>
    <t>Cubilet 50ml Monopared</t>
  </si>
  <si>
    <t>Tarro 50ml Monopared</t>
  </si>
  <si>
    <t>Int.tapa 50ml quadrada s/intermitja 6u</t>
  </si>
  <si>
    <t>Al-Haramain</t>
  </si>
  <si>
    <t xml:space="preserve">Observaciones </t>
  </si>
  <si>
    <t>Descripción pieza</t>
  </si>
  <si>
    <t>Quirines</t>
  </si>
  <si>
    <t>21103-1</t>
  </si>
  <si>
    <t>Total piezas NOK</t>
  </si>
  <si>
    <t>21045-1</t>
  </si>
  <si>
    <t>21127-1</t>
  </si>
  <si>
    <t>Etiquetas de fila</t>
  </si>
  <si>
    <t>Total general</t>
  </si>
  <si>
    <t>21116-1</t>
  </si>
  <si>
    <t>21110-3</t>
  </si>
  <si>
    <t>21126-2</t>
  </si>
  <si>
    <t>21120-1</t>
  </si>
  <si>
    <t>ABS</t>
  </si>
  <si>
    <t>PE</t>
  </si>
  <si>
    <t>21136-1</t>
  </si>
  <si>
    <t>21101-1</t>
  </si>
  <si>
    <t>21128-1</t>
  </si>
  <si>
    <t>21125-3</t>
  </si>
  <si>
    <t>21136-3</t>
  </si>
  <si>
    <t>21112-3</t>
  </si>
  <si>
    <t>21135-1</t>
  </si>
  <si>
    <t>21115-3</t>
  </si>
  <si>
    <t xml:space="preserve">Mañana </t>
  </si>
  <si>
    <t>Tarde</t>
  </si>
  <si>
    <t>Noche</t>
  </si>
  <si>
    <t>21100-3</t>
  </si>
  <si>
    <t>Modelo</t>
  </si>
  <si>
    <t>PESO unid)</t>
  </si>
  <si>
    <t>Inicio, cambio material ps a pmma</t>
  </si>
  <si>
    <t>Purga inyectora prueba fume.</t>
  </si>
  <si>
    <t>21116-3</t>
  </si>
  <si>
    <t>Purga cambio material</t>
  </si>
  <si>
    <t>Limpieza husillo</t>
  </si>
  <si>
    <t>Cant. Fabricada (uds)</t>
  </si>
  <si>
    <t>Problemas molde, revision càmara caliente</t>
  </si>
  <si>
    <t>Problemas molde cámara.</t>
  </si>
  <si>
    <t>Problemas càmara molde.</t>
  </si>
  <si>
    <t>21127/1</t>
  </si>
  <si>
    <t>Ajuste colorante naranja</t>
  </si>
  <si>
    <t>Cambio de colorante a naranga.</t>
  </si>
  <si>
    <t>Palet caido por bandejas mezcladas en palet.</t>
  </si>
  <si>
    <t>Piezas inicio produccion</t>
  </si>
  <si>
    <t>Piezas con marcas cintas.</t>
  </si>
  <si>
    <t>Piezas rechazadas por marchas interiores marron</t>
  </si>
  <si>
    <t>Piezas rechazadas por calidad, marca interior</t>
  </si>
  <si>
    <t>21115-5</t>
  </si>
  <si>
    <t>PP</t>
  </si>
  <si>
    <t>Fin pedido</t>
  </si>
  <si>
    <t>21121-5</t>
  </si>
  <si>
    <t>Inicio pedido</t>
  </si>
  <si>
    <t>21119-1</t>
  </si>
  <si>
    <t>21135-2</t>
  </si>
  <si>
    <t>Inicio producción</t>
  </si>
  <si>
    <t>Fin produccion</t>
  </si>
  <si>
    <t>21135-4</t>
  </si>
  <si>
    <t>21102-2</t>
  </si>
  <si>
    <t>21120-5</t>
  </si>
  <si>
    <t>21127-5</t>
  </si>
  <si>
    <t>11029-1</t>
  </si>
  <si>
    <t>11102-1</t>
  </si>
  <si>
    <t>11027-1</t>
  </si>
  <si>
    <t>21131-2</t>
  </si>
  <si>
    <t>21131-3</t>
  </si>
  <si>
    <t>Problema camara molde (requemadas)</t>
  </si>
  <si>
    <t>Falta salida gases molde</t>
  </si>
  <si>
    <t>Falta salida de gases molde</t>
  </si>
  <si>
    <t>Culote molde mal pulido</t>
  </si>
  <si>
    <t>Purga inyectora incluida. Piezas fabricadas en blanco, molde NOK para ABS</t>
  </si>
  <si>
    <t>Muchos problemas de marcas en las piezas, cámara caliente de PETG.</t>
  </si>
  <si>
    <t>Se para la inyectora por exceso de scrap, se realizaran pruebas en otra inyectora.</t>
  </si>
  <si>
    <t>Puesta en marcha, merma del lunes 18</t>
  </si>
  <si>
    <t>Purga material inicio producción</t>
  </si>
  <si>
    <t>02-nov</t>
  </si>
  <si>
    <t>03-nov</t>
  </si>
  <si>
    <t>04-nov</t>
  </si>
  <si>
    <t>Piezas en cuarentena, revisadas.</t>
  </si>
  <si>
    <t>Piezas en cuarentena revisadas.</t>
  </si>
  <si>
    <t>21106-1</t>
  </si>
  <si>
    <t>Pruebas molde de Cornella, problema falta de pulido.</t>
  </si>
  <si>
    <t>21121-3</t>
  </si>
  <si>
    <t>40 kg inicio producción</t>
  </si>
  <si>
    <t>30 kg piezas quemadas cámara.</t>
  </si>
  <si>
    <t>21134-1</t>
  </si>
  <si>
    <t>Aranque lunes</t>
  </si>
  <si>
    <t>21115-1</t>
  </si>
  <si>
    <t>21121-4</t>
  </si>
  <si>
    <t>Inicio produccion</t>
  </si>
  <si>
    <t>Pruebas de color FUME</t>
  </si>
  <si>
    <t>21127-3</t>
  </si>
  <si>
    <t>Piezas quemadas interior, produccion por visita externa</t>
  </si>
  <si>
    <t>Arranque máquina por visita.</t>
  </si>
  <si>
    <t>n/a</t>
  </si>
  <si>
    <t>Piezas quemadas interior.</t>
  </si>
  <si>
    <t>Inicio producción.</t>
  </si>
  <si>
    <t>Goteo piezas quemadas.</t>
  </si>
  <si>
    <t>Merma Salas A &amp; B</t>
  </si>
  <si>
    <t>Merma Salas A &amp; B2</t>
  </si>
  <si>
    <t>05-nov</t>
  </si>
  <si>
    <t xml:space="preserve">Inicio, cambio material ps a pmma </t>
  </si>
  <si>
    <t>% Merma Producción Sala A y B</t>
  </si>
  <si>
    <t>Kg Merma Salas A &amp; B</t>
  </si>
  <si>
    <t xml:space="preserve"> Máquina</t>
  </si>
  <si>
    <t>21112-2</t>
  </si>
  <si>
    <t>1539/0/4</t>
  </si>
  <si>
    <t>21134-4</t>
  </si>
  <si>
    <t>21147-3</t>
  </si>
  <si>
    <t>21117-2</t>
  </si>
  <si>
    <t>21117-1</t>
  </si>
  <si>
    <t>11111-1</t>
  </si>
  <si>
    <t>21121-1</t>
  </si>
  <si>
    <t>21121-2</t>
  </si>
  <si>
    <t>Pruebas colorantes groc reciclado</t>
  </si>
  <si>
    <t>Rechazo de piezas revisadas de la produccion maquina 40</t>
  </si>
  <si>
    <t>Rechazo de piezas revisadas de la produccion maquina 41</t>
  </si>
  <si>
    <t>Inicio</t>
  </si>
  <si>
    <t>55 kg revision piezas inyectadas maquina 40</t>
  </si>
  <si>
    <t>21127-4</t>
  </si>
  <si>
    <t>PEXD633</t>
  </si>
  <si>
    <t>21101-3</t>
  </si>
  <si>
    <t>Prueba molde de Cornella</t>
  </si>
  <si>
    <t>21135-3</t>
  </si>
  <si>
    <t>Pruebas color fume</t>
  </si>
  <si>
    <t>21085-1</t>
  </si>
  <si>
    <t>Cambio de material PS (C.C SMMA)</t>
  </si>
  <si>
    <t>Inicio validación máquina</t>
  </si>
  <si>
    <t>21141-4</t>
  </si>
  <si>
    <t>21140-2</t>
  </si>
  <si>
    <t>21142-2</t>
  </si>
  <si>
    <t>21144-2</t>
  </si>
  <si>
    <t>21143-3</t>
  </si>
  <si>
    <t>21149-2</t>
  </si>
  <si>
    <t>21094-2</t>
  </si>
  <si>
    <t>Pruebas con nuevo lote de material</t>
  </si>
  <si>
    <t>21142-1</t>
  </si>
  <si>
    <t>PETG</t>
  </si>
  <si>
    <t>Tiempo Ciclo</t>
  </si>
  <si>
    <t>PEXD634</t>
  </si>
  <si>
    <t>PEXD635</t>
  </si>
  <si>
    <t>N/A</t>
  </si>
  <si>
    <t>21117-4</t>
  </si>
  <si>
    <t>21117-5</t>
  </si>
  <si>
    <t>Merma por cambio de material</t>
  </si>
  <si>
    <t>21140-1</t>
  </si>
  <si>
    <t>Arranque inicio producción</t>
  </si>
  <si>
    <t>21142-3</t>
  </si>
  <si>
    <t>21145-3</t>
  </si>
  <si>
    <t>Averia molde punto inyeccion agrietado. Pruebas</t>
  </si>
  <si>
    <t>Averia molde punto de inyeccion</t>
  </si>
  <si>
    <t>211121-1</t>
  </si>
  <si>
    <t>Averia molde cámara</t>
  </si>
  <si>
    <t>21127-2</t>
  </si>
  <si>
    <t>21127-6</t>
  </si>
  <si>
    <t>21127-7</t>
  </si>
  <si>
    <t>21127-8</t>
  </si>
  <si>
    <t>21127-9</t>
  </si>
  <si>
    <t>21127-10</t>
  </si>
  <si>
    <t>21156-1</t>
  </si>
  <si>
    <t xml:space="preserve">Cambio de material  </t>
  </si>
  <si>
    <t>21148-4</t>
  </si>
  <si>
    <t>21148-2</t>
  </si>
  <si>
    <t>21159-2</t>
  </si>
  <si>
    <t>21160-2</t>
  </si>
  <si>
    <t>21120-7</t>
  </si>
  <si>
    <t>21141-1</t>
  </si>
  <si>
    <t>21135-5</t>
  </si>
  <si>
    <t>21135-6</t>
  </si>
  <si>
    <t>21135-7</t>
  </si>
  <si>
    <t>21135-8</t>
  </si>
  <si>
    <t>21135-9</t>
  </si>
  <si>
    <t>21135-10</t>
  </si>
  <si>
    <t>Aranque , problemas puntos de inyeccion.</t>
  </si>
  <si>
    <t>Problemas cámara molde</t>
  </si>
  <si>
    <t>Problemas cámara molde.</t>
  </si>
  <si>
    <t>21122-2</t>
  </si>
  <si>
    <t>21135-11</t>
  </si>
  <si>
    <t>21085-3</t>
  </si>
  <si>
    <t>20135-1</t>
  </si>
  <si>
    <t>11130-1</t>
  </si>
  <si>
    <t>Pruebas</t>
  </si>
  <si>
    <t>Kg Merma arranques, cambios materiales</t>
  </si>
  <si>
    <t>Merma arranques cambios materiales</t>
  </si>
  <si>
    <t>Horas</t>
  </si>
  <si>
    <t>Cavidades</t>
  </si>
  <si>
    <t>13/122021</t>
  </si>
  <si>
    <t>21156-2</t>
  </si>
  <si>
    <t>21156-4</t>
  </si>
  <si>
    <t>m11130-1</t>
  </si>
  <si>
    <t>Aranque despues de vacaciones navidad. Molde con protector</t>
  </si>
  <si>
    <t>Problemas  chispeados piezas, molde nok.</t>
  </si>
  <si>
    <t>Horas máquina</t>
  </si>
  <si>
    <t>21145-1</t>
  </si>
  <si>
    <t>Tarro standard 6 cavidades</t>
  </si>
  <si>
    <t>T22</t>
  </si>
  <si>
    <t>Arranque y homologación molde. (pruebas)</t>
  </si>
  <si>
    <t>19169-4</t>
  </si>
  <si>
    <t>21117-3</t>
  </si>
  <si>
    <t>Pruebas molde rotura punto inyeccion</t>
  </si>
  <si>
    <t>21166-4</t>
  </si>
  <si>
    <t>Cambio de material de PETG a PS</t>
  </si>
  <si>
    <t>21152-3</t>
  </si>
  <si>
    <t>21146-3</t>
  </si>
  <si>
    <t>PE033</t>
  </si>
  <si>
    <t>20104-1</t>
  </si>
  <si>
    <t>21120-8</t>
  </si>
  <si>
    <t>21148-3</t>
  </si>
  <si>
    <t>21143-4</t>
  </si>
  <si>
    <t>21144-3</t>
  </si>
  <si>
    <t>11220-1</t>
  </si>
  <si>
    <t>21106-3</t>
  </si>
  <si>
    <t>11125-2</t>
  </si>
  <si>
    <t>11215-1</t>
  </si>
  <si>
    <t>BIO</t>
  </si>
  <si>
    <t>PMMA R</t>
  </si>
  <si>
    <t>Pruebas reciclado</t>
  </si>
  <si>
    <t>Muestras nuevos materiales.</t>
  </si>
  <si>
    <t>21159-3</t>
  </si>
  <si>
    <t>21160-3</t>
  </si>
  <si>
    <t>Pruebas molde, problemas salida gases, piezas marcadas</t>
  </si>
  <si>
    <t>21100-5</t>
  </si>
  <si>
    <t>Arranque producción</t>
  </si>
  <si>
    <t>Problemas punto de inyección</t>
  </si>
  <si>
    <t>21101-5</t>
  </si>
  <si>
    <t>11126-1</t>
  </si>
  <si>
    <t>21140-3</t>
  </si>
  <si>
    <t>SAN</t>
  </si>
  <si>
    <t>Pruebas colorante NTC</t>
  </si>
  <si>
    <t>Paro despues de fiestas, limpieza protector molde</t>
  </si>
  <si>
    <t>21144-4</t>
  </si>
  <si>
    <t>21149-4</t>
  </si>
  <si>
    <t>21115-4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</si>
</sst>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6" fillId="0" borderId="0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4" xfId="0" applyBorder="1" applyAlignment="1">
      <alignment wrapText="1"/>
    </xf>
    <xf numFmtId="10" fontId="0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5" borderId="5" xfId="0" applyNumberFormat="1" applyFill="1" applyBorder="1"/>
    <xf numFmtId="14" fontId="0" fillId="0" borderId="5" xfId="0" applyNumberFormat="1" applyBorder="1" applyAlignment="1">
      <alignment horizontal="right"/>
    </xf>
    <xf numFmtId="14" fontId="0" fillId="0" borderId="5" xfId="0" applyNumberFormat="1" applyBorder="1" applyAlignment="1">
      <alignment horizontal="left"/>
    </xf>
    <xf numFmtId="14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5" borderId="0" xfId="0" applyFont="1" applyFill="1" applyBorder="1" applyAlignment="1">
      <alignment horizontal="left" vertical="center"/>
    </xf>
    <xf numFmtId="0" fontId="6" fillId="5" borderId="0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10" fontId="0" fillId="5" borderId="0" xfId="1" applyNumberFormat="1" applyFont="1" applyFill="1" applyAlignment="1">
      <alignment horizontal="center" vertical="center"/>
    </xf>
    <xf numFmtId="0" fontId="0" fillId="5" borderId="0" xfId="0" applyFill="1" applyAlignment="1">
      <alignment wrapText="1"/>
    </xf>
    <xf numFmtId="14" fontId="0" fillId="0" borderId="0" xfId="0" applyNumberFormat="1" applyAlignment="1">
      <alignment horizontal="center" vertical="center"/>
    </xf>
    <xf numFmtId="10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0" fontId="6" fillId="0" borderId="0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/>
    <xf numFmtId="0" fontId="8" fillId="4" borderId="6" xfId="0" applyFont="1" applyFill="1" applyBorder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10" fontId="0" fillId="0" borderId="0" xfId="0" applyNumberFormat="1"/>
    <xf numFmtId="0" fontId="9" fillId="6" borderId="0" xfId="0" applyFont="1" applyFill="1" applyAlignment="1">
      <alignment horizontal="center" vertical="center" wrapText="1"/>
    </xf>
    <xf numFmtId="14" fontId="9" fillId="9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2" fontId="9" fillId="10" borderId="0" xfId="0" applyNumberFormat="1" applyFont="1" applyFill="1" applyAlignment="1">
      <alignment horizontal="center" vertical="center" wrapText="1"/>
    </xf>
    <xf numFmtId="2" fontId="8" fillId="4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164" fontId="0" fillId="0" borderId="8" xfId="0" applyNumberFormat="1" applyBorder="1" applyAlignment="1">
      <alignment vertical="center"/>
    </xf>
    <xf numFmtId="0" fontId="8" fillId="4" borderId="6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165" fontId="9" fillId="6" borderId="0" xfId="0" applyNumberFormat="1" applyFont="1" applyFill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8" fillId="11" borderId="4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91">
    <dxf>
      <alignment horizontal="general" vertical="bottom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4" formatCode="0.00%"/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164" formatCode="_-* #,##0\ _€_-;\-* #,##0\ _€_-;_-* &quot;-&quot;\ _€_-;_-@_-"/>
      <alignment horizontal="general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border diagonalUp="0" diagonalDown="0" outline="0">
        <left/>
        <right/>
        <top style="medium">
          <color auto="1"/>
        </top>
        <bottom/>
      </border>
    </dxf>
    <dxf>
      <border diagonalUp="0" diagonalDown="0" outline="0">
        <left/>
        <right/>
        <top style="medium">
          <color auto="1"/>
        </top>
        <bottom/>
      </border>
    </dxf>
    <dxf>
      <border diagonalUp="0" diagonalDown="0" outline="0">
        <left/>
        <right/>
        <top style="medium">
          <color auto="1"/>
        </top>
        <bottom/>
      </border>
    </dxf>
    <dxf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border diagonalUp="0" diagonalDown="0" outline="0">
        <left/>
        <right/>
        <top style="medium">
          <color auto="1"/>
        </top>
        <bottom/>
      </border>
    </dxf>
    <dxf>
      <numFmt numFmtId="165" formatCode="0.0"/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alignment horizontal="right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alignment horizontal="right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medium">
          <color auto="1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general" vertical="bottom" textRotation="0" wrapText="1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  <border diagonalUp="0" diagonalDown="0" outline="0">
        <left/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1" formatCode="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fill>
        <patternFill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numFmt numFmtId="164" formatCode="_-* #,##0\ _€_-;\-* #,##0\ _€_-;_-* &quot;-&quot;\ _€_-;_-@_-"/>
      <alignment horizontal="general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diagonalUp="0" diagonalDown="0" outline="0">
        <left/>
        <right/>
        <top style="medium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numFmt numFmtId="19" formatCode="dd/mm/yyyy"/>
      <border diagonalUp="0" diagonalDown="0" outline="0">
        <left/>
        <right/>
        <top style="medium">
          <color auto="1"/>
        </top>
        <bottom/>
      </border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numFmt numFmtId="19" formatCode="dd/mm/yyyy"/>
      <border diagonalUp="0" diagonalDown="0" outline="0">
        <left/>
        <right/>
        <top style="medium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alignment horizontal="left" textRotation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  <border diagonalUp="0" diagonalDown="0" outline="0">
        <left/>
        <right/>
        <top style="medium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/>
        </patternFill>
      </fill>
      <border diagonalUp="0" diagonalDown="0" outline="0">
        <left/>
        <right/>
        <top style="medium">
          <color auto="1"/>
        </top>
        <bottom/>
      </border>
    </dxf>
    <dxf>
      <numFmt numFmtId="19" formatCode="dd/mm/yyyy"/>
      <alignment horizontal="center" vertical="center" textRotation="0" wrapText="0" indent="0" justifyLastLine="0" shrinkToFit="0" readingOrder="0"/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alignment horizontal="general" vertical="bottom" textRotation="0" wrapText="1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>
        <top style="medium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merma Inyeccion  18012022.xlsx]grafica!TablaDinámica1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Merma</a:t>
            </a:r>
            <a:r>
              <a:rPr lang="en-US" baseline="0"/>
              <a:t> Semana 43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 merma Inyeccion  18012022.xlsx]grafica!TablaDinámica2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Merma</a:t>
            </a:r>
            <a:r>
              <a:rPr lang="en-US" baseline="0"/>
              <a:t> Semana 44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226695</xdr:colOff>
      <xdr:row>4</xdr:row>
      <xdr:rowOff>19050</xdr:rowOff>
    </xdr:from>
    <xdr:to>
      <xdr:col>7</xdr:col>
      <xdr:colOff>396240</xdr:colOff>
      <xdr:row>25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25F0D6-4121-4857-AB50-57EA2C461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212202</xdr:colOff>
      <xdr:row>25</xdr:row>
      <xdr:rowOff>91771</xdr:rowOff>
    </xdr:from>
    <xdr:to>
      <xdr:col>7</xdr:col>
      <xdr:colOff>405848</xdr:colOff>
      <xdr:row>46</xdr:row>
      <xdr:rowOff>10188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CD326F-7C8E-4987-8043-D24F6CED6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" refreshedDate="44512.671747106484" createdVersion="7" refreshedVersion="7" minRefreshableVersion="3" recordCount="138" xr:uid="{50461991-5270-4B05-8E01-7F16D247999A}">
  <cacheSource type="worksheet">
    <worksheetSource name="Tabla1[[Fecha]:[% Merma Producción Sala A y B]]"/>
  </cacheSource>
  <cacheFields count="18">
    <cacheField name="Fecha" numFmtId="14">
      <sharedItems containsSemiMixedTypes="0" containsNonDate="0" containsDate="1" containsString="0" minDate="2021-10-01T00:00:00" maxDate="2021-11-12T00:00:00" count="21">
        <d v="2021-10-13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2T00:00:00"/>
        <d v="2021-11-03T00:00:00"/>
        <d v="2021-11-04T00:00:00"/>
        <d v="2021-11-05T00:00:00"/>
        <d v="2021-11-08T00:00:00"/>
        <d v="2021-11-06T00:00:00"/>
        <d v="2021-11-09T00:00:00"/>
        <d v="2021-11-11T00:00:00"/>
        <d v="2021-11-10T00:00:00"/>
        <d v="2021-10-01T00:00:00" u="1"/>
      </sharedItems>
    </cacheField>
    <cacheField name="Nº Pedido" numFmtId="0">
      <sharedItems containsMixedTypes="1" containsNumber="1" containsInteger="1" minValue="20135" maxValue="20135"/>
    </cacheField>
    <cacheField name="Ref. Molde" numFmtId="0">
      <sharedItems containsMixedTypes="1" containsNumber="1" containsInteger="1" minValue="1305" maxValue="1997"/>
    </cacheField>
    <cacheField name="Descripción pieza" numFmtId="0">
      <sharedItems/>
    </cacheField>
    <cacheField name="Modelo" numFmtId="0">
      <sharedItems containsMixedTypes="1" containsNumber="1" containsInteger="1" minValue="0" maxValue="0"/>
    </cacheField>
    <cacheField name="Peso gr." numFmtId="0">
      <sharedItems containsSemiMixedTypes="0" containsString="0" containsNumber="1" minValue="0.57999999999999996" maxValue="220.84"/>
    </cacheField>
    <cacheField name="Material" numFmtId="0">
      <sharedItems containsBlank="1" count="7">
        <s v="PMMA"/>
        <s v="PS"/>
        <s v="ABS"/>
        <s v="PE"/>
        <s v="SMMA"/>
        <s v="PP"/>
        <m u="1"/>
      </sharedItems>
    </cacheField>
    <cacheField name="Cliente" numFmtId="0">
      <sharedItems containsBlank="1"/>
    </cacheField>
    <cacheField name="Mañana " numFmtId="0">
      <sharedItems containsString="0" containsBlank="1" containsNumber="1" containsInteger="1" minValue="0" maxValue="752583"/>
    </cacheField>
    <cacheField name="Tarde" numFmtId="0">
      <sharedItems containsString="0" containsBlank="1" containsNumber="1" containsInteger="1" minValue="0" maxValue="743331"/>
    </cacheField>
    <cacheField name="Noche" numFmtId="0">
      <sharedItems containsString="0" containsBlank="1" containsNumber="1" containsInteger="1" minValue="0" maxValue="756399"/>
    </cacheField>
    <cacheField name=" Maquina" numFmtId="0">
      <sharedItems containsSemiMixedTypes="0" containsString="0" containsNumber="1" containsInteger="1" minValue="7" maxValue="52"/>
    </cacheField>
    <cacheField name="Cant. Fabricada (uds)" numFmtId="0">
      <sharedItems containsString="0" containsBlank="1" containsNumber="1" containsInteger="1" minValue="0" maxValue="8922"/>
    </cacheField>
    <cacheField name="Merma Salas A &amp; B" numFmtId="0">
      <sharedItems containsString="0" containsBlank="1" containsNumber="1" minValue="0" maxValue="400"/>
    </cacheField>
    <cacheField name="Merma Salas A &amp; B2" numFmtId="0">
      <sharedItems containsSemiMixedTypes="0" containsString="0" containsNumber="1" minValue="0" maxValue="400"/>
    </cacheField>
    <cacheField name="Total piezas NOK" numFmtId="1">
      <sharedItems containsSemiMixedTypes="0" containsString="0" containsNumber="1" minValue="0" maxValue="4347.826086956522"/>
    </cacheField>
    <cacheField name="Merma arranques y cuarentenas" numFmtId="2">
      <sharedItems containsString="0" containsBlank="1" containsNumber="1" minValue="2.5" maxValue="160"/>
    </cacheField>
    <cacheField name="Scrap Producción" numFmtId="10">
      <sharedItems containsMixedTypes="1" containsNumber="1" minValue="0" maxValue="1.00532419694703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uel" refreshedDate="44512.671843750002" createdVersion="7" refreshedVersion="7" minRefreshableVersion="3" recordCount="138" xr:uid="{E722A825-5E0B-4B05-9550-45743399EC61}">
  <cacheSource type="worksheet">
    <worksheetSource name="Tabla1"/>
  </cacheSource>
  <cacheFields count="20">
    <cacheField name="Fecha" numFmtId="14">
      <sharedItems containsSemiMixedTypes="0" containsNonDate="0" containsDate="1" containsString="0" minDate="2021-10-13T00:00:00" maxDate="2021-11-12T00:00:00" count="20">
        <d v="2021-10-13T00:00:00"/>
        <d v="2021-10-18T00:00:00"/>
        <d v="2021-10-19T00:00:00"/>
        <d v="2021-10-20T00:00:00"/>
        <d v="2021-10-21T00:00:00"/>
        <d v="2021-10-22T00:00:00"/>
        <d v="2021-10-25T00:00:00"/>
        <d v="2021-10-26T00:00:00"/>
        <d v="2021-10-27T00:00:00"/>
        <d v="2021-10-28T00:00:00"/>
        <d v="2021-10-29T00:00:00"/>
        <d v="2021-11-02T00:00:00"/>
        <d v="2021-11-03T00:00:00"/>
        <d v="2021-11-04T00:00:00"/>
        <d v="2021-11-05T00:00:00"/>
        <d v="2021-11-08T00:00:00"/>
        <d v="2021-11-06T00:00:00"/>
        <d v="2021-11-09T00:00:00"/>
        <d v="2021-11-11T00:00:00"/>
        <d v="2021-11-10T00:00:00"/>
      </sharedItems>
      <fieldGroup par="19" base="0">
        <rangePr groupBy="days" startDate="2021-10-13T00:00:00" endDate="2021-11-12T00:00:00"/>
        <groupItems count="368">
          <s v="&lt;13/10/2021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2/11/2021"/>
        </groupItems>
      </fieldGroup>
    </cacheField>
    <cacheField name="Nº Pedido" numFmtId="0">
      <sharedItems containsMixedTypes="1" containsNumber="1" containsInteger="1" minValue="20135" maxValue="20135"/>
    </cacheField>
    <cacheField name="Ref. Molde" numFmtId="0">
      <sharedItems containsMixedTypes="1" containsNumber="1" containsInteger="1" minValue="1305" maxValue="1997"/>
    </cacheField>
    <cacheField name="Descripción pieza" numFmtId="0">
      <sharedItems/>
    </cacheField>
    <cacheField name="Modelo" numFmtId="0">
      <sharedItems containsMixedTypes="1" containsNumber="1" containsInteger="1" minValue="0" maxValue="0"/>
    </cacheField>
    <cacheField name="Peso gr." numFmtId="0">
      <sharedItems containsSemiMixedTypes="0" containsString="0" containsNumber="1" minValue="0.57999999999999996" maxValue="220.84"/>
    </cacheField>
    <cacheField name="Material" numFmtId="0">
      <sharedItems count="6">
        <s v="PMMA"/>
        <s v="PS"/>
        <s v="ABS"/>
        <s v="PE"/>
        <s v="SMMA"/>
        <s v="PP"/>
      </sharedItems>
    </cacheField>
    <cacheField name="Cliente" numFmtId="0">
      <sharedItems containsBlank="1"/>
    </cacheField>
    <cacheField name="Mañana " numFmtId="0">
      <sharedItems containsString="0" containsBlank="1" containsNumber="1" containsInteger="1" minValue="0" maxValue="752583"/>
    </cacheField>
    <cacheField name="Tarde" numFmtId="0">
      <sharedItems containsString="0" containsBlank="1" containsNumber="1" containsInteger="1" minValue="0" maxValue="743331"/>
    </cacheField>
    <cacheField name="Noche" numFmtId="0">
      <sharedItems containsString="0" containsBlank="1" containsNumber="1" containsInteger="1" minValue="0" maxValue="756399"/>
    </cacheField>
    <cacheField name=" Maquina" numFmtId="0">
      <sharedItems containsSemiMixedTypes="0" containsString="0" containsNumber="1" containsInteger="1" minValue="7" maxValue="52"/>
    </cacheField>
    <cacheField name="Cant. Fabricada (uds)" numFmtId="0">
      <sharedItems containsString="0" containsBlank="1" containsNumber="1" containsInteger="1" minValue="0" maxValue="8922"/>
    </cacheField>
    <cacheField name="Merma Salas A &amp; B" numFmtId="0">
      <sharedItems containsString="0" containsBlank="1" containsNumber="1" minValue="0" maxValue="400"/>
    </cacheField>
    <cacheField name="Merma Salas A &amp; B2" numFmtId="0">
      <sharedItems containsSemiMixedTypes="0" containsString="0" containsNumber="1" minValue="0" maxValue="400"/>
    </cacheField>
    <cacheField name="Total piezas NOK" numFmtId="1">
      <sharedItems containsSemiMixedTypes="0" containsString="0" containsNumber="1" minValue="0" maxValue="4347.826086956522"/>
    </cacheField>
    <cacheField name="Merma arranques y cuarentenas" numFmtId="2">
      <sharedItems containsString="0" containsBlank="1" containsNumber="1" minValue="2.5" maxValue="160"/>
    </cacheField>
    <cacheField name="Scrap Producción" numFmtId="10">
      <sharedItems containsMixedTypes="1" containsNumber="1" minValue="0" maxValue="1.0053241969470315"/>
    </cacheField>
    <cacheField name="Observaciones " numFmtId="0">
      <sharedItems containsBlank="1"/>
    </cacheField>
    <cacheField name="Meses" numFmtId="0" databaseField="0">
      <fieldGroup base="0">
        <rangePr groupBy="months" startDate="2021-10-13T00:00:00" endDate="2021-11-12T00:00:00"/>
        <groupItems count="14">
          <s v="&lt;13/10/2021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2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s v="21116-1"/>
    <s v="1708/1/0"/>
    <s v="Tarro 150 ml"/>
    <s v="T057"/>
    <n v="168"/>
    <x v="0"/>
    <s v="Al-Haramain"/>
    <n v="5574"/>
    <n v="5970"/>
    <n v="6472"/>
    <n v="43"/>
    <n v="898"/>
    <n v="30"/>
    <n v="30"/>
    <n v="178.57142857142858"/>
    <m/>
    <n v="0.19885459751829462"/>
  </r>
  <r>
    <x v="0"/>
    <s v="21045-1"/>
    <n v="1861"/>
    <s v="Tarro 50ml Standard 8 unitats"/>
    <s v="T022"/>
    <n v="92"/>
    <x v="1"/>
    <s v="Quirines"/>
    <n v="41959"/>
    <n v="43254"/>
    <n v="44584"/>
    <n v="40"/>
    <n v="2625"/>
    <n v="15"/>
    <n v="15"/>
    <n v="163.04347826086956"/>
    <m/>
    <n v="6.2111801242236024E-2"/>
  </r>
  <r>
    <x v="0"/>
    <s v="21127-1"/>
    <s v="1898/2"/>
    <s v="Tarro 200ml Quadrat estret (Tapa Rodona)"/>
    <n v="0"/>
    <n v="220.84"/>
    <x v="1"/>
    <m/>
    <n v="8899"/>
    <n v="9129"/>
    <n v="9366"/>
    <n v="41"/>
    <n v="467"/>
    <n v="3"/>
    <n v="3"/>
    <n v="13.584495562398116"/>
    <m/>
    <n v="2.9088855594000249E-2"/>
  </r>
  <r>
    <x v="1"/>
    <s v="21110-3"/>
    <n v="1786"/>
    <s v="Tapa borghesse 50 ml"/>
    <s v="#7 (50 ml)"/>
    <n v="8.39"/>
    <x v="2"/>
    <m/>
    <n v="960"/>
    <n v="3158"/>
    <n v="4992"/>
    <n v="20"/>
    <n v="4032"/>
    <n v="5"/>
    <n v="5"/>
    <n v="595.94755661501779"/>
    <m/>
    <n v="0.14780445352555005"/>
  </r>
  <r>
    <x v="1"/>
    <s v="21126-2"/>
    <s v="1909/0/2"/>
    <s v="Tapa simple 200ml baixa prima"/>
    <s v="#45"/>
    <n v="17.399999999999999"/>
    <x v="3"/>
    <m/>
    <n v="0"/>
    <n v="0"/>
    <n v="287"/>
    <n v="19"/>
    <n v="287"/>
    <n v="5"/>
    <n v="5"/>
    <n v="287.35632183908046"/>
    <m/>
    <n v="1.0012415395089911"/>
  </r>
  <r>
    <x v="1"/>
    <s v="21045-1"/>
    <n v="1861"/>
    <s v="Tarro 50ml Standard 8 unitats"/>
    <s v="T022"/>
    <n v="92"/>
    <x v="1"/>
    <m/>
    <n v="49876"/>
    <n v="51157"/>
    <n v="51836"/>
    <n v="40"/>
    <n v="1960"/>
    <n v="9"/>
    <n v="9"/>
    <n v="97.826086956521735"/>
    <m/>
    <n v="4.9911268855368229E-2"/>
  </r>
  <r>
    <x v="1"/>
    <s v="21120-1"/>
    <n v="1985"/>
    <s v="Tarro 200ml 2 unitats"/>
    <s v="T050"/>
    <n v="108.12"/>
    <x v="4"/>
    <m/>
    <n v="0"/>
    <n v="0"/>
    <n v="46"/>
    <n v="52"/>
    <n v="46"/>
    <n v="5"/>
    <n v="5"/>
    <n v="46.244913059563444"/>
    <m/>
    <n v="1.0053241969470315"/>
  </r>
  <r>
    <x v="1"/>
    <s v="21127-1"/>
    <s v="1898/2"/>
    <s v="Tarro 200ml Quadrat estret (Tapa Rodona)"/>
    <n v="0"/>
    <n v="220.84"/>
    <x v="1"/>
    <m/>
    <n v="10929"/>
    <n v="11140"/>
    <n v="11374"/>
    <n v="41"/>
    <n v="445"/>
    <n v="3"/>
    <n v="3"/>
    <n v="13.584495562398116"/>
    <m/>
    <n v="3.0526956319995767E-2"/>
  </r>
  <r>
    <x v="2"/>
    <s v="21110-3"/>
    <n v="1786"/>
    <s v="Tapa borghesse 50 ml"/>
    <s v="#7 (50 ml)"/>
    <n v="8.39"/>
    <x v="2"/>
    <m/>
    <n v="6630"/>
    <n v="8908"/>
    <n v="11232"/>
    <n v="20"/>
    <n v="4602"/>
    <n v="10"/>
    <n v="10"/>
    <n v="1191.8951132300356"/>
    <m/>
    <n v="0.25899502677749581"/>
  </r>
  <r>
    <x v="2"/>
    <s v="21116-3"/>
    <s v="1781/0/1"/>
    <s v="Tapa 100 ml prima "/>
    <s v="#26(100 ml)"/>
    <n v="30.3"/>
    <x v="0"/>
    <m/>
    <n v="0"/>
    <n v="0"/>
    <n v="1057"/>
    <n v="44"/>
    <n v="1057"/>
    <n v="30"/>
    <n v="30"/>
    <n v="990.09900990099004"/>
    <m/>
    <n v="0.93670672649100284"/>
  </r>
  <r>
    <x v="2"/>
    <s v="21116-1"/>
    <s v="1708/1/0"/>
    <s v="Tarro 150 ml"/>
    <s v="T057"/>
    <n v="168"/>
    <x v="0"/>
    <m/>
    <n v="7008"/>
    <n v="7468"/>
    <n v="7996"/>
    <n v="43"/>
    <n v="988"/>
    <n v="50"/>
    <n v="50"/>
    <n v="297.61904761904759"/>
    <m/>
    <n v="0.30123385386543278"/>
  </r>
  <r>
    <x v="2"/>
    <s v="21127-1"/>
    <s v="1898/2"/>
    <s v="Tarro 200ml Quadrat estret (Tapa Rodona)"/>
    <n v="0"/>
    <n v="220.84"/>
    <x v="4"/>
    <m/>
    <n v="11633"/>
    <n v="11843"/>
    <n v="12076"/>
    <n v="41"/>
    <n v="443"/>
    <n v="3"/>
    <n v="3"/>
    <n v="13.584495562398116"/>
    <m/>
    <n v="3.0664775535887395E-2"/>
  </r>
  <r>
    <x v="3"/>
    <s v="21136-1"/>
    <n v="1861"/>
    <s v="Tarro 50ml Standard 8 unitats"/>
    <s v="T022"/>
    <n v="92"/>
    <x v="0"/>
    <m/>
    <n v="0"/>
    <n v="0"/>
    <n v="4444"/>
    <n v="40"/>
    <n v="4444"/>
    <n v="400"/>
    <n v="400"/>
    <n v="4347.826086956522"/>
    <m/>
    <n v="0.97835870543576098"/>
  </r>
  <r>
    <x v="3"/>
    <s v="21110-3"/>
    <n v="1786"/>
    <s v="Tapa borghesse 50 ml"/>
    <s v="#7 (50 ml)"/>
    <n v="8.39"/>
    <x v="2"/>
    <m/>
    <n v="13610"/>
    <n v="15856"/>
    <n v="18148"/>
    <n v="20"/>
    <n v="4538"/>
    <n v="5"/>
    <n v="5"/>
    <n v="595.94755661501779"/>
    <m/>
    <n v="0.13132383354231331"/>
  </r>
  <r>
    <x v="3"/>
    <s v="21127-1"/>
    <s v="1898/2"/>
    <s v="Tarro 200ml Quadrat estret (Tapa Rodona)"/>
    <n v="0"/>
    <n v="220.84"/>
    <x v="1"/>
    <m/>
    <n v="12320"/>
    <n v="12545"/>
    <n v="12780"/>
    <n v="41"/>
    <n v="460"/>
    <n v="5"/>
    <n v="5"/>
    <n v="22.640825937330195"/>
    <m/>
    <n v="4.9219186820283034E-2"/>
  </r>
  <r>
    <x v="3"/>
    <s v="21116-1"/>
    <s v="1708/0/1"/>
    <s v="Tarro 150 cc"/>
    <s v="T057"/>
    <n v="168"/>
    <x v="0"/>
    <m/>
    <n v="8540"/>
    <n v="9042"/>
    <n v="9568"/>
    <n v="43"/>
    <n v="1028"/>
    <n v="15"/>
    <n v="15"/>
    <n v="89.285714285714292"/>
    <m/>
    <n v="8.6853807670928304E-2"/>
  </r>
  <r>
    <x v="3"/>
    <s v="21101-1"/>
    <s v="1932/0/1"/>
    <s v="Tarro 15 ml. Tinter Quadrat"/>
    <s v="T124"/>
    <n v="69.75"/>
    <x v="4"/>
    <m/>
    <n v="8128"/>
    <n v="8610"/>
    <n v="9128"/>
    <n v="38"/>
    <n v="1000"/>
    <n v="3.5"/>
    <n v="3.5"/>
    <n v="50.179211469534053"/>
    <m/>
    <n v="5.0179211469534052E-2"/>
  </r>
  <r>
    <x v="4"/>
    <s v="21128-1"/>
    <n v="1790"/>
    <s v="Tarro 100ml"/>
    <s v="T029"/>
    <n v="151"/>
    <x v="1"/>
    <m/>
    <n v="568"/>
    <n v="753"/>
    <n v="926"/>
    <n v="51"/>
    <n v="358"/>
    <n v="20"/>
    <n v="20"/>
    <n v="132.4503311258278"/>
    <m/>
    <n v="0.36997299197158606"/>
  </r>
  <r>
    <x v="4"/>
    <s v="21116-1"/>
    <s v="1708/1/0"/>
    <s v="Tarro 150 ml"/>
    <s v="T057"/>
    <n v="168"/>
    <x v="0"/>
    <m/>
    <n v="10134"/>
    <n v="10608"/>
    <n v="11140"/>
    <n v="43"/>
    <n v="1006"/>
    <n v="2.5"/>
    <n v="2.5"/>
    <n v="14.880952380952381"/>
    <m/>
    <n v="1.4792199185837357E-2"/>
  </r>
  <r>
    <x v="4"/>
    <s v="21101-1"/>
    <s v="1932/0/1"/>
    <s v="Tarro 15 ml. Tinter Quadrat"/>
    <s v="T124"/>
    <n v="69.75"/>
    <x v="4"/>
    <m/>
    <n v="9678"/>
    <n v="10138"/>
    <n v="10656"/>
    <n v="38"/>
    <n v="978"/>
    <n v="5"/>
    <n v="5"/>
    <n v="71.68458781362007"/>
    <m/>
    <n v="7.3297124553803758E-2"/>
  </r>
  <r>
    <x v="4"/>
    <s v="21136-1"/>
    <n v="1861"/>
    <s v="Tarro 50ml Standard 8 unitats"/>
    <s v="T022"/>
    <n v="92"/>
    <x v="0"/>
    <m/>
    <n v="0"/>
    <n v="0"/>
    <n v="3333"/>
    <n v="40"/>
    <n v="3333"/>
    <n v="300"/>
    <n v="300"/>
    <n v="3260.8695652173915"/>
    <m/>
    <n v="0.97835870543576098"/>
  </r>
  <r>
    <x v="4"/>
    <s v="21127-1"/>
    <s v="1898/2"/>
    <s v="Tarro 200ml Quadrat estret (Tapa Rodona)"/>
    <n v="0"/>
    <n v="220.84"/>
    <x v="1"/>
    <m/>
    <n v="13032"/>
    <n v="13248"/>
    <n v="13484"/>
    <n v="41"/>
    <n v="452"/>
    <n v="3"/>
    <n v="3"/>
    <n v="13.584495562398116"/>
    <m/>
    <n v="3.0054193722119725E-2"/>
  </r>
  <r>
    <x v="4"/>
    <s v="21116-3"/>
    <s v="1781/0/1"/>
    <s v="Tapa 100 ml prima "/>
    <s v="#26(100 ml)"/>
    <n v="30.3"/>
    <x v="0"/>
    <m/>
    <n v="0"/>
    <n v="0"/>
    <n v="528"/>
    <n v="44"/>
    <n v="528"/>
    <n v="15"/>
    <n v="15"/>
    <n v="495.04950495049502"/>
    <m/>
    <n v="0.93759375937593759"/>
  </r>
  <r>
    <x v="5"/>
    <s v="21116-1"/>
    <s v="1708/1/0"/>
    <s v="Tarro 150 ml"/>
    <s v="T057"/>
    <n v="168"/>
    <x v="0"/>
    <m/>
    <n v="11670"/>
    <n v="12196"/>
    <n v="12634"/>
    <n v="43"/>
    <n v="964"/>
    <n v="2.5"/>
    <n v="2.5"/>
    <n v="14.880952380952381"/>
    <m/>
    <n v="1.5436672594348944E-2"/>
  </r>
  <r>
    <x v="5"/>
    <s v="21127-1"/>
    <s v="1898/2"/>
    <s v="Tarro 200ml Quadrat estret (Tapa Rodona)"/>
    <n v="0"/>
    <n v="220.84"/>
    <x v="1"/>
    <m/>
    <n v="13721"/>
    <n v="13951"/>
    <n v="14137"/>
    <n v="41"/>
    <n v="416"/>
    <n v="3"/>
    <n v="3"/>
    <n v="13.584495562398116"/>
    <m/>
    <n v="3.2655037409610857E-2"/>
  </r>
  <r>
    <x v="5"/>
    <s v="21125-3"/>
    <n v="1786"/>
    <s v="Tapa borghesse 50 ml"/>
    <s v="#7 (50 ml)"/>
    <n v="8.39"/>
    <x v="2"/>
    <m/>
    <n v="0"/>
    <n v="1372"/>
    <n v="3880"/>
    <n v="20"/>
    <n v="3880"/>
    <n v="5"/>
    <n v="5"/>
    <n v="595.94755661501779"/>
    <m/>
    <n v="0.1535947310863448"/>
  </r>
  <r>
    <x v="5"/>
    <s v="21101-1"/>
    <s v="1932/0/1"/>
    <s v="Tarro 15 ml. Tinter Quadrat"/>
    <s v="T124"/>
    <n v="69.75"/>
    <x v="4"/>
    <m/>
    <n v="11168"/>
    <n v="11504"/>
    <n v="11504"/>
    <n v="38"/>
    <n v="336"/>
    <n v="10"/>
    <n v="10"/>
    <n v="143.36917562724014"/>
    <m/>
    <n v="0.42669397508107182"/>
  </r>
  <r>
    <x v="6"/>
    <s v="21103-1"/>
    <n v="1945"/>
    <s v="Tarro 400 ml"/>
    <s v="T113"/>
    <n v="208.4"/>
    <x v="0"/>
    <m/>
    <n v="0"/>
    <n v="0"/>
    <n v="168"/>
    <n v="7"/>
    <n v="168"/>
    <n v="35"/>
    <n v="35"/>
    <n v="167.94625719769672"/>
    <m/>
    <n v="0.99968010236724236"/>
  </r>
  <r>
    <x v="6"/>
    <s v="21116-1"/>
    <s v="1708/1/0"/>
    <s v="Tarro 150 ml"/>
    <s v="T057"/>
    <n v="168"/>
    <x v="0"/>
    <m/>
    <n v="12968"/>
    <n v="13468"/>
    <n v="14020"/>
    <n v="43"/>
    <n v="1052"/>
    <n v="2.5"/>
    <n v="2.5"/>
    <n v="14.880952380952381"/>
    <m/>
    <n v="1.4145391997103024E-2"/>
  </r>
  <r>
    <x v="6"/>
    <s v="21128-1"/>
    <n v="1790"/>
    <s v="Tarro 100ml"/>
    <s v="T029"/>
    <n v="151"/>
    <x v="1"/>
    <m/>
    <n v="1138"/>
    <n v="1322"/>
    <n v="1550"/>
    <n v="51"/>
    <n v="412"/>
    <n v="0.3"/>
    <n v="0.3"/>
    <n v="1.9867549668874172"/>
    <m/>
    <n v="4.8222207934160615E-3"/>
  </r>
  <r>
    <x v="6"/>
    <s v="21100-3"/>
    <n v="1879"/>
    <s v="Tapa tarro rectagular 50 ml"/>
    <s v="#23 (50 ml)"/>
    <n v="8.6"/>
    <x v="4"/>
    <m/>
    <n v="0"/>
    <n v="0"/>
    <n v="581"/>
    <n v="20"/>
    <n v="581"/>
    <n v="5"/>
    <n v="5"/>
    <n v="581.39534883720933"/>
    <m/>
    <n v="1.0006804627146459"/>
  </r>
  <r>
    <x v="6"/>
    <s v="21135-4"/>
    <n v="1880"/>
    <s v="Int. tapa tarro rectangular 50ml"/>
    <s v=""/>
    <n v="22.33"/>
    <x v="5"/>
    <m/>
    <n v="3870"/>
    <n v="6654"/>
    <n v="9598"/>
    <n v="19"/>
    <n v="5728"/>
    <n v="0.1"/>
    <n v="0.1"/>
    <n v="4.4782803403493059"/>
    <m/>
    <n v="7.8182268511684807E-4"/>
  </r>
  <r>
    <x v="6"/>
    <s v="21120-5"/>
    <n v="1825"/>
    <s v="OBTURADOR 200 A/ LLENG."/>
    <s v=""/>
    <n v="2.73"/>
    <x v="5"/>
    <m/>
    <n v="11102"/>
    <n v="12866"/>
    <n v="15816"/>
    <n v="48"/>
    <n v="4714"/>
    <n v="0.1"/>
    <n v="0.1"/>
    <n v="36.630036630036628"/>
    <m/>
    <n v="7.7704787081112918E-3"/>
  </r>
  <r>
    <x v="6"/>
    <n v="20135"/>
    <n v="1997"/>
    <e v="#N/A"/>
    <e v="#N/A"/>
    <n v="2.65"/>
    <x v="5"/>
    <m/>
    <n v="725481"/>
    <n v="729873"/>
    <n v="734403"/>
    <n v="9"/>
    <n v="8922"/>
    <n v="0.01"/>
    <n v="0.01"/>
    <n v="3.7735849056603774"/>
    <m/>
    <n v="4.2295280269674706E-4"/>
  </r>
  <r>
    <x v="7"/>
    <s v="21116-1"/>
    <s v="1708/1/0"/>
    <s v="Tarro 150 ml"/>
    <s v="T057"/>
    <n v="168"/>
    <x v="0"/>
    <m/>
    <n v="14624"/>
    <n v="15098"/>
    <n v="15648"/>
    <n v="43"/>
    <n v="1024"/>
    <n v="8.5"/>
    <n v="8.5"/>
    <n v="50.595238095238095"/>
    <m/>
    <n v="4.9409412202380952E-2"/>
  </r>
  <r>
    <x v="7"/>
    <s v="21127-1"/>
    <s v="1898/2"/>
    <s v="Tarro 200ml Quadrat estret (Tapa Rodona)"/>
    <n v="0"/>
    <n v="220.84"/>
    <x v="1"/>
    <m/>
    <n v="15045"/>
    <n v="15248"/>
    <n v="15486"/>
    <n v="41"/>
    <n v="441"/>
    <n v="3"/>
    <n v="3"/>
    <n v="13.584495562398116"/>
    <m/>
    <n v="3.0803844812694142E-2"/>
  </r>
  <r>
    <x v="7"/>
    <s v="21128-1"/>
    <n v="1790"/>
    <s v="Tarro 100ml"/>
    <s v="T029"/>
    <n v="151"/>
    <x v="1"/>
    <m/>
    <n v="1758"/>
    <n v="1944"/>
    <n v="2127"/>
    <n v="51"/>
    <n v="369"/>
    <n v="0.3"/>
    <n v="0.3"/>
    <n v="1.9867549668874172"/>
    <m/>
    <n v="5.3841598018629193E-3"/>
  </r>
  <r>
    <x v="7"/>
    <s v="21136-3"/>
    <s v="1860/0/1"/>
    <s v="Tapa 50 ml mar-mar prima"/>
    <s v="#24"/>
    <n v="20.86"/>
    <x v="0"/>
    <m/>
    <n v="0"/>
    <n v="650"/>
    <n v="1548"/>
    <n v="45"/>
    <n v="1548"/>
    <n v="10"/>
    <n v="10"/>
    <n v="479.38638542665387"/>
    <m/>
    <n v="0.3096811275365981"/>
  </r>
  <r>
    <x v="7"/>
    <s v="21135-4"/>
    <n v="1880"/>
    <s v="Int. tapa tarro rectangular 50ml"/>
    <s v=""/>
    <n v="22.33"/>
    <x v="5"/>
    <m/>
    <n v="12644"/>
    <n v="15326"/>
    <n v="18286"/>
    <n v="19"/>
    <n v="5642"/>
    <n v="0.1"/>
    <n v="0.1"/>
    <n v="4.4782803403493059"/>
    <m/>
    <n v="7.9373986890274827E-4"/>
  </r>
  <r>
    <x v="7"/>
    <s v="21102-2"/>
    <n v="1884"/>
    <s v="Cubilet 200ml bola "/>
    <s v=""/>
    <n v="20.09"/>
    <x v="5"/>
    <m/>
    <n v="1310"/>
    <n v="3126"/>
    <n v="5102"/>
    <n v="24"/>
    <n v="3792"/>
    <n v="0.1"/>
    <n v="0.1"/>
    <n v="4.9776007964161275"/>
    <m/>
    <n v="1.3126584378734514E-3"/>
  </r>
  <r>
    <x v="7"/>
    <s v="21120-5"/>
    <n v="1825"/>
    <s v="OBTURADOR 200 A/ LLENG."/>
    <s v=""/>
    <n v="2.73"/>
    <x v="5"/>
    <m/>
    <n v="19122"/>
    <n v="22140"/>
    <n v="25006"/>
    <n v="48"/>
    <n v="5884"/>
    <n v="0.1"/>
    <n v="0.1"/>
    <n v="36.630036630036628"/>
    <m/>
    <n v="6.2253631254311059E-3"/>
  </r>
  <r>
    <x v="7"/>
    <n v="20135"/>
    <n v="1997"/>
    <e v="#N/A"/>
    <e v="#N/A"/>
    <n v="2.65"/>
    <x v="5"/>
    <m/>
    <n v="739389"/>
    <n v="743331"/>
    <n v="747681"/>
    <n v="9"/>
    <n v="8292"/>
    <n v="0.01"/>
    <n v="0.01"/>
    <n v="3.7735849056603774"/>
    <m/>
    <n v="4.5508742229382265E-4"/>
  </r>
  <r>
    <x v="8"/>
    <s v="21116-1"/>
    <s v="1708/1/0"/>
    <s v="Tarro 150 ml"/>
    <s v="T057"/>
    <n v="168"/>
    <x v="0"/>
    <m/>
    <n v="16244"/>
    <n v="16720"/>
    <n v="17280"/>
    <n v="43"/>
    <n v="1036"/>
    <n v="2.5"/>
    <n v="2.5"/>
    <n v="14.880952380952381"/>
    <m/>
    <n v="1.4363853649567935E-2"/>
  </r>
  <r>
    <x v="8"/>
    <s v="21128-1"/>
    <n v="1790"/>
    <s v="Tarro 100ml"/>
    <s v="T029"/>
    <n v="151"/>
    <x v="1"/>
    <m/>
    <n v="2127"/>
    <n v="2550"/>
    <n v="2783"/>
    <n v="51"/>
    <n v="656"/>
    <n v="0.2"/>
    <n v="0.2"/>
    <n v="1.3245033112582782"/>
    <m/>
    <n v="2.0190599256985947E-3"/>
  </r>
  <r>
    <x v="8"/>
    <s v="21127-1"/>
    <s v="1898/2"/>
    <s v="Tarro 200ml Quadrat estret (Tapa Rodona)"/>
    <n v="0"/>
    <n v="220.84"/>
    <x v="1"/>
    <m/>
    <n v="15473"/>
    <n v="15950"/>
    <n v="16192"/>
    <n v="41"/>
    <n v="719"/>
    <n v="10"/>
    <n v="10"/>
    <n v="45.28165187466039"/>
    <m/>
    <n v="6.2978653511349639E-2"/>
  </r>
  <r>
    <x v="8"/>
    <s v="21112-3"/>
    <s v="1540/0/1"/>
    <s v="Tapa 7 ml gruixuda"/>
    <s v="#6(7 ml)"/>
    <n v="3.3"/>
    <x v="2"/>
    <m/>
    <n v="4944"/>
    <n v="7860"/>
    <n v="7860"/>
    <n v="47"/>
    <n v="2916"/>
    <n v="9.5"/>
    <n v="9.5"/>
    <n v="2878.787878787879"/>
    <m/>
    <n v="0.98723864155962926"/>
  </r>
  <r>
    <x v="8"/>
    <s v="21135-1"/>
    <s v="1877/0/1"/>
    <s v="Tarro 50ml Tinter Quadrat"/>
    <s v="T116"/>
    <n v="121.5"/>
    <x v="4"/>
    <m/>
    <n v="0"/>
    <n v="422"/>
    <n v="862"/>
    <n v="30"/>
    <n v="862"/>
    <n v="20"/>
    <n v="20"/>
    <n v="164.6090534979424"/>
    <m/>
    <n v="0.19096177899993316"/>
  </r>
  <r>
    <x v="8"/>
    <s v="21119-1"/>
    <n v="1597"/>
    <e v="#N/A"/>
    <e v="#N/A"/>
    <n v="65"/>
    <x v="5"/>
    <m/>
    <n v="0"/>
    <m/>
    <n v="100"/>
    <n v="31"/>
    <n v="100"/>
    <n v="0.1"/>
    <n v="0.1"/>
    <n v="1.5384615384615385"/>
    <m/>
    <n v="1.5384615384615385E-2"/>
  </r>
  <r>
    <x v="8"/>
    <s v="21135-4"/>
    <n v="1880"/>
    <s v="Int. tapa tarro rectangular 50ml"/>
    <s v=""/>
    <n v="22.33"/>
    <x v="5"/>
    <m/>
    <n v="21224"/>
    <n v="21434"/>
    <n v="21434"/>
    <n v="19"/>
    <n v="210"/>
    <n v="0.01"/>
    <n v="0.01"/>
    <n v="0.4478280340349306"/>
    <m/>
    <n v="2.1325144477853837E-3"/>
  </r>
  <r>
    <x v="8"/>
    <s v="21102-2"/>
    <n v="1884"/>
    <s v="Cubilet 200ml bola "/>
    <s v=""/>
    <n v="20.09"/>
    <x v="5"/>
    <m/>
    <n v="0"/>
    <n v="0"/>
    <n v="5922"/>
    <n v="22"/>
    <n v="5922"/>
    <n v="0.1"/>
    <n v="0.1"/>
    <n v="4.9776007964161275"/>
    <m/>
    <n v="8.4052698352180477E-4"/>
  </r>
  <r>
    <x v="8"/>
    <s v="21120-5"/>
    <n v="1825"/>
    <s v="OBTURADOR 200 A/ LLENG."/>
    <s v=""/>
    <n v="2.73"/>
    <x v="5"/>
    <m/>
    <n v="28222"/>
    <n v="31180"/>
    <n v="34336"/>
    <n v="48"/>
    <n v="6114"/>
    <n v="0.01"/>
    <n v="0.01"/>
    <n v="3.6630036630036629"/>
    <m/>
    <n v="5.9911738027537827E-4"/>
  </r>
  <r>
    <x v="8"/>
    <n v="20135"/>
    <n v="1997"/>
    <e v="#N/A"/>
    <e v="#N/A"/>
    <n v="2.65"/>
    <x v="5"/>
    <m/>
    <n v="752583"/>
    <m/>
    <n v="756399"/>
    <n v="9"/>
    <n v="3816"/>
    <n v="0.01"/>
    <n v="0.01"/>
    <n v="3.7735849056603774"/>
    <m/>
    <n v="9.8888493334915555E-4"/>
  </r>
  <r>
    <x v="8"/>
    <s v="11027-1"/>
    <s v="1817/0/1"/>
    <s v="Tapeta difusor 30/50ml"/>
    <s v=""/>
    <n v="2.95"/>
    <x v="1"/>
    <m/>
    <n v="87"/>
    <n v="823"/>
    <n v="1342"/>
    <n v="9"/>
    <n v="1255"/>
    <n v="0.01"/>
    <n v="0.01"/>
    <n v="3.3898305084745761"/>
    <m/>
    <n v="2.7010601661152001E-3"/>
  </r>
  <r>
    <x v="9"/>
    <s v="21135-1"/>
    <s v="1877/0/1"/>
    <s v="Tarro 50ml Tinter Quadrat"/>
    <s v="T116"/>
    <n v="121.5"/>
    <x v="4"/>
    <m/>
    <n v="1264"/>
    <n v="1526"/>
    <n v="1956"/>
    <n v="30"/>
    <n v="692"/>
    <n v="10"/>
    <n v="10"/>
    <n v="82.304526748971199"/>
    <m/>
    <n v="0.11893717738290635"/>
  </r>
  <r>
    <x v="9"/>
    <s v="21116-1"/>
    <s v="1708/1/0"/>
    <s v="Tarro 150 ml"/>
    <s v="T057"/>
    <n v="168"/>
    <x v="0"/>
    <m/>
    <n v="17832"/>
    <n v="18352"/>
    <n v="18914"/>
    <n v="43"/>
    <n v="1082"/>
    <n v="2.5"/>
    <n v="2.5"/>
    <n v="14.880952380952381"/>
    <m/>
    <n v="1.3753190740251739E-2"/>
  </r>
  <r>
    <x v="9"/>
    <s v="21136-1"/>
    <n v="1861"/>
    <s v="Tarro 50ml Standard 8 unitats"/>
    <s v="T022"/>
    <n v="92"/>
    <x v="0"/>
    <m/>
    <n v="0"/>
    <n v="1792"/>
    <n v="3912"/>
    <n v="40"/>
    <n v="3912"/>
    <n v="55"/>
    <n v="55"/>
    <n v="597.82608695652175"/>
    <m/>
    <n v="0.15281852938561394"/>
  </r>
  <r>
    <x v="9"/>
    <s v="21115-3"/>
    <n v="1897"/>
    <s v="Tapa 50 cc mar mar (6 unit)"/>
    <s v="#6(50 ml)"/>
    <n v="32"/>
    <x v="4"/>
    <m/>
    <n v="582"/>
    <n v="2580"/>
    <n v="4770"/>
    <n v="52"/>
    <n v="4188"/>
    <n v="120"/>
    <n v="120"/>
    <n v="3750"/>
    <m/>
    <n v="0.89541547277936961"/>
  </r>
  <r>
    <x v="9"/>
    <s v="21120-5"/>
    <n v="1825"/>
    <s v="OBTURADOR 200 A/ LLENG."/>
    <s v=""/>
    <n v="2.73"/>
    <x v="5"/>
    <m/>
    <n v="37496"/>
    <n v="38666"/>
    <n v="38666"/>
    <n v="48"/>
    <n v="1170"/>
    <n v="0.01"/>
    <n v="0.01"/>
    <n v="3.6630036630036629"/>
    <m/>
    <n v="3.1307723615415922E-3"/>
  </r>
  <r>
    <x v="9"/>
    <s v="21127-5"/>
    <n v="1825"/>
    <s v="OBTURADOR 200 A/ LLENG."/>
    <s v=""/>
    <n v="2.73"/>
    <x v="5"/>
    <m/>
    <n v="0"/>
    <n v="1508"/>
    <n v="4646"/>
    <n v="48"/>
    <n v="4646"/>
    <n v="0.01"/>
    <n v="0.01"/>
    <n v="3.6630036630036629"/>
    <m/>
    <n v="7.8842093478339714E-4"/>
  </r>
  <r>
    <x v="9"/>
    <s v="21131-2"/>
    <n v="1305"/>
    <s v="Funda cruz verde 400 ml"/>
    <s v=""/>
    <n v="9.01"/>
    <x v="5"/>
    <m/>
    <n v="0"/>
    <n v="1196"/>
    <n v="4860"/>
    <n v="39"/>
    <n v="4860"/>
    <n v="0.01"/>
    <n v="0.01"/>
    <n v="1.1098779134295227"/>
    <m/>
    <n v="2.283699410348812E-4"/>
  </r>
  <r>
    <x v="10"/>
    <s v="21116-1"/>
    <s v="1708/1/0"/>
    <s v="Tarro 150 ml"/>
    <s v="T057"/>
    <n v="168"/>
    <x v="0"/>
    <m/>
    <n v="19484"/>
    <n v="19980"/>
    <n v="20418"/>
    <n v="43"/>
    <n v="934"/>
    <n v="2.5"/>
    <n v="2.5"/>
    <n v="14.880952380952381"/>
    <m/>
    <n v="1.5932497195880493E-2"/>
  </r>
  <r>
    <x v="10"/>
    <s v="21136-1"/>
    <n v="1861"/>
    <s v="Tarro 50ml Standard 8 unitats"/>
    <s v="T022"/>
    <n v="92"/>
    <x v="0"/>
    <m/>
    <n v="5774"/>
    <n v="7244"/>
    <n v="8133"/>
    <n v="40"/>
    <n v="2359"/>
    <n v="60"/>
    <n v="60"/>
    <n v="652.17391304347825"/>
    <m/>
    <n v="0.27646202333339476"/>
  </r>
  <r>
    <x v="10"/>
    <s v="21135-1"/>
    <s v="1877/0/1"/>
    <s v="Tarro 50ml Tinter Quadrat"/>
    <s v="T116"/>
    <n v="121.5"/>
    <x v="4"/>
    <m/>
    <n v="2376"/>
    <n v="2774"/>
    <n v="3118"/>
    <n v="30"/>
    <n v="742"/>
    <n v="20"/>
    <n v="20"/>
    <n v="164.6090534979424"/>
    <m/>
    <n v="0.22184508557674176"/>
  </r>
  <r>
    <x v="10"/>
    <s v="21127-1"/>
    <s v="1898/2"/>
    <s v="Tarro 200ml Quadrat estret (Tapa Rodona)"/>
    <n v="0"/>
    <n v="220.84"/>
    <x v="1"/>
    <m/>
    <n v="17145"/>
    <n v="17359"/>
    <n v="17539"/>
    <n v="41"/>
    <n v="394"/>
    <n v="3"/>
    <n v="3"/>
    <n v="13.584495562398116"/>
    <m/>
    <n v="3.4478415132990145E-2"/>
  </r>
  <r>
    <x v="10"/>
    <s v="21128-1"/>
    <n v="1790"/>
    <s v="Tarro 100ml"/>
    <s v="T029"/>
    <n v="151"/>
    <x v="1"/>
    <m/>
    <n v="2951"/>
    <n v="3121"/>
    <n v="3281"/>
    <n v="51"/>
    <n v="330"/>
    <n v="0.2"/>
    <n v="0.2"/>
    <n v="1.3245033112582782"/>
    <m/>
    <n v="4.013646397752358E-3"/>
  </r>
  <r>
    <x v="10"/>
    <s v="21115-3"/>
    <n v="1897"/>
    <s v="Tapa 50 cc mar mar (6 unit)"/>
    <s v="#6(50 ml)"/>
    <n v="32"/>
    <x v="4"/>
    <m/>
    <n v="6972"/>
    <n v="8874"/>
    <n v="10644"/>
    <n v="52"/>
    <n v="3672"/>
    <n v="5"/>
    <n v="5"/>
    <n v="156.25"/>
    <m/>
    <n v="4.2551742919389977E-2"/>
  </r>
  <r>
    <x v="10"/>
    <s v="21136-3"/>
    <s v="1860/0/1"/>
    <s v="Tapa 50 ml mar-mar prima"/>
    <s v="#24"/>
    <n v="20.86"/>
    <x v="0"/>
    <m/>
    <n v="1548"/>
    <n v="3652"/>
    <n v="4558"/>
    <n v="45"/>
    <n v="3010"/>
    <n v="5"/>
    <n v="5"/>
    <n v="239.69319271332694"/>
    <m/>
    <n v="7.9632289937982367E-2"/>
  </r>
  <r>
    <x v="10"/>
    <s v="21127-5"/>
    <n v="1825"/>
    <s v="OBTURADOR 200 A/ LLENG."/>
    <s v=""/>
    <n v="2.73"/>
    <x v="5"/>
    <m/>
    <n v="7752"/>
    <n v="10516"/>
    <n v="13046"/>
    <n v="48"/>
    <n v="5294"/>
    <n v="0.01"/>
    <n v="0.01"/>
    <n v="3.6630036630036629"/>
    <m/>
    <n v="6.9191606781330997E-4"/>
  </r>
  <r>
    <x v="10"/>
    <s v="21131-3"/>
    <n v="1305"/>
    <s v="Funda cruz verde 400 ml"/>
    <s v=""/>
    <n v="9.01"/>
    <x v="5"/>
    <m/>
    <n v="8592"/>
    <m/>
    <n v="8900"/>
    <n v="39"/>
    <n v="308"/>
    <n v="0.01"/>
    <n v="0.01"/>
    <n v="1.1098779134295227"/>
    <m/>
    <n v="3.6034997189270217E-3"/>
  </r>
  <r>
    <x v="11"/>
    <s v="21136-1"/>
    <n v="1861"/>
    <s v="Tarro 50ml Standard 8 unitats"/>
    <s v="T022"/>
    <n v="92"/>
    <x v="0"/>
    <m/>
    <n v="9183"/>
    <n v="10828"/>
    <n v="12669"/>
    <n v="40"/>
    <n v="3486"/>
    <n v="85"/>
    <n v="85"/>
    <n v="923.91304347826087"/>
    <m/>
    <n v="0.26503529646536456"/>
  </r>
  <r>
    <x v="11"/>
    <s v="21128-1"/>
    <n v="1790"/>
    <s v="Tarro 100ml"/>
    <s v="T029"/>
    <n v="151"/>
    <x v="1"/>
    <m/>
    <n v="3403"/>
    <n v="3598"/>
    <n v="3817"/>
    <n v="51"/>
    <n v="414"/>
    <n v="0.2"/>
    <n v="0.2"/>
    <n v="1.3245033112582782"/>
    <m/>
    <n v="3.199283360527242E-3"/>
  </r>
  <r>
    <x v="11"/>
    <s v="2116-1"/>
    <s v="1708/1/0"/>
    <s v="Tarro 150 ml"/>
    <s v="T057"/>
    <n v="168"/>
    <x v="0"/>
    <m/>
    <n v="20830"/>
    <n v="21322"/>
    <n v="21872"/>
    <n v="43"/>
    <n v="1042"/>
    <n v="2.5"/>
    <n v="2.5"/>
    <n v="14.880952380952381"/>
    <m/>
    <n v="1.4281144319532035E-2"/>
  </r>
  <r>
    <x v="11"/>
    <s v="21127/1"/>
    <s v="1898/2"/>
    <s v="Tarro 200ml Quadrat estret (Tapa Rodona)"/>
    <n v="0"/>
    <n v="220.84"/>
    <x v="1"/>
    <m/>
    <n v="17739"/>
    <n v="17953"/>
    <n v="18190"/>
    <n v="41"/>
    <n v="451"/>
    <n v="3"/>
    <n v="3"/>
    <n v="13.584495562398116"/>
    <m/>
    <n v="3.0120832732590058E-2"/>
  </r>
  <r>
    <x v="11"/>
    <s v="21136-3"/>
    <s v="1860/0/1"/>
    <s v="Tapa 50 ml mar-mar prima"/>
    <s v="#24"/>
    <n v="20.86"/>
    <x v="0"/>
    <m/>
    <n v="7296"/>
    <n v="9364"/>
    <n v="11688"/>
    <n v="45"/>
    <n v="4392"/>
    <n v="4.5"/>
    <n v="4.5"/>
    <n v="215.72387344199424"/>
    <m/>
    <n v="4.9117457523222732E-2"/>
  </r>
  <r>
    <x v="11"/>
    <s v="21115-3"/>
    <n v="1897"/>
    <s v="Tapa 50 cc mar mar (6 unit)"/>
    <s v="#6(50 ml)"/>
    <n v="32"/>
    <x v="4"/>
    <m/>
    <n v="12252"/>
    <n v="14124"/>
    <n v="16188"/>
    <n v="52"/>
    <n v="3936"/>
    <n v="5"/>
    <n v="5"/>
    <n v="156.25"/>
    <m/>
    <n v="3.9697662601626015E-2"/>
  </r>
  <r>
    <x v="11"/>
    <s v="21135-1"/>
    <s v="1877/0/1"/>
    <s v="Tarro 50ml Tinter Quadrat"/>
    <s v="T116"/>
    <n v="121.5"/>
    <x v="4"/>
    <m/>
    <n v="3118"/>
    <n v="3896"/>
    <n v="4338"/>
    <n v="30"/>
    <n v="1220"/>
    <n v="5"/>
    <n v="5"/>
    <n v="41.152263374485599"/>
    <m/>
    <n v="3.3731363421709508E-2"/>
  </r>
  <r>
    <x v="11"/>
    <s v="21115-5"/>
    <s v="1933/0/1"/>
    <s v="Obturador 50 ml"/>
    <s v=""/>
    <n v="1.88"/>
    <x v="5"/>
    <m/>
    <n v="42834"/>
    <n v="0"/>
    <n v="43950"/>
    <n v="46"/>
    <n v="1116"/>
    <n v="0"/>
    <n v="0"/>
    <n v="0"/>
    <m/>
    <n v="0"/>
  </r>
  <r>
    <x v="11"/>
    <s v="21121-5"/>
    <s v="1933/0/1"/>
    <s v="Obturador 50 ml"/>
    <s v=""/>
    <n v="1.88"/>
    <x v="5"/>
    <m/>
    <m/>
    <n v="1396"/>
    <n v="4720"/>
    <n v="46"/>
    <n v="4720"/>
    <n v="0"/>
    <n v="0"/>
    <n v="0"/>
    <m/>
    <n v="0"/>
  </r>
  <r>
    <x v="11"/>
    <s v="21135-2"/>
    <n v="1607"/>
    <s v="Cubilet 50 recte"/>
    <s v=""/>
    <n v="8.5399999999999991"/>
    <x v="5"/>
    <m/>
    <n v="20890"/>
    <n v="22620"/>
    <n v="24608"/>
    <n v="17"/>
    <n v="3718"/>
    <n v="0.1"/>
    <n v="0.1"/>
    <n v="11.7096018735363"/>
    <m/>
    <n v="3.1494356841141207E-3"/>
  </r>
  <r>
    <x v="11"/>
    <s v="21127-5"/>
    <n v="1825"/>
    <s v="OBTURADOR 200 A/ LLENG."/>
    <s v=""/>
    <n v="2.73"/>
    <x v="5"/>
    <m/>
    <n v="16330"/>
    <n v="19274"/>
    <n v="22338"/>
    <n v="48"/>
    <n v="6008"/>
    <n v="0.01"/>
    <n v="0.01"/>
    <n v="3.6630036630036629"/>
    <m/>
    <n v="6.0968769357584273E-4"/>
  </r>
  <r>
    <x v="12"/>
    <s v="21136-1"/>
    <n v="1861"/>
    <s v="Tarro 50ml Standard 8 unitats"/>
    <s v="T022"/>
    <n v="92"/>
    <x v="0"/>
    <m/>
    <n v="14552"/>
    <n v="16302"/>
    <n v="18108"/>
    <n v="40"/>
    <n v="3556"/>
    <n v="95"/>
    <n v="95"/>
    <n v="1032.608695652174"/>
    <m/>
    <n v="0.29038489753998142"/>
  </r>
  <r>
    <x v="12"/>
    <s v="21128-1"/>
    <n v="1790"/>
    <s v="Tarro 100ml"/>
    <s v="T029"/>
    <n v="151"/>
    <x v="1"/>
    <m/>
    <n v="4033"/>
    <n v="4231"/>
    <n v="4456"/>
    <n v="51"/>
    <n v="423"/>
    <n v="0.2"/>
    <n v="0.2"/>
    <n v="1.3245033112582782"/>
    <m/>
    <n v="3.1312135017926199E-3"/>
  </r>
  <r>
    <x v="12"/>
    <s v="21116-1"/>
    <s v="1708/1/0"/>
    <s v="Tarro 150 ml"/>
    <s v="T057"/>
    <n v="168"/>
    <x v="0"/>
    <m/>
    <n v="22436"/>
    <n v="22950"/>
    <n v="23506"/>
    <n v="43"/>
    <n v="1070"/>
    <n v="15"/>
    <n v="15"/>
    <n v="89.285714285714292"/>
    <m/>
    <n v="8.3444592790387184E-2"/>
  </r>
  <r>
    <x v="12"/>
    <s v="21115-3"/>
    <n v="1897"/>
    <s v="Tapa 50 cc mar mar (6 unit)"/>
    <s v="#6(50 ml)"/>
    <n v="32"/>
    <x v="4"/>
    <m/>
    <n v="18282"/>
    <n v="20286"/>
    <n v="22428"/>
    <n v="52"/>
    <n v="4146"/>
    <n v="25"/>
    <n v="25"/>
    <n v="781.25"/>
    <m/>
    <n v="0.18843463579353595"/>
  </r>
  <r>
    <x v="12"/>
    <s v="21135-1"/>
    <s v="1877/0/1"/>
    <s v="Tarro 50ml Tinter Quadrat"/>
    <s v="T116"/>
    <n v="121.5"/>
    <x v="4"/>
    <m/>
    <n v="4338"/>
    <n v="5224"/>
    <n v="5690"/>
    <n v="30"/>
    <n v="1352"/>
    <n v="5"/>
    <n v="5"/>
    <n v="41.152263374485599"/>
    <m/>
    <n v="3.0438064626098816E-2"/>
  </r>
  <r>
    <x v="12"/>
    <s v="21136-3"/>
    <s v="1860/0/1"/>
    <s v="Tapa 50 ml mar-mar prima"/>
    <s v="#24"/>
    <n v="20.86"/>
    <x v="0"/>
    <m/>
    <n v="14048"/>
    <n v="16248"/>
    <n v="18284"/>
    <n v="45"/>
    <n v="4236"/>
    <n v="4"/>
    <n v="4"/>
    <n v="191.75455417066155"/>
    <m/>
    <n v="4.5267836206482899E-2"/>
  </r>
  <r>
    <x v="12"/>
    <s v="21121-5"/>
    <s v="1933/0/1"/>
    <s v="Obturador 50 ml"/>
    <s v=""/>
    <n v="1.88"/>
    <x v="5"/>
    <m/>
    <n v="8050"/>
    <n v="11452"/>
    <n v="14978"/>
    <n v="46"/>
    <n v="6928"/>
    <n v="0"/>
    <n v="0"/>
    <n v="0"/>
    <m/>
    <n v="0"/>
  </r>
  <r>
    <x v="12"/>
    <s v="21135-2"/>
    <n v="1607"/>
    <s v="Cubilet 50 recte"/>
    <s v=""/>
    <n v="8.5399999999999991"/>
    <x v="5"/>
    <m/>
    <n v="24608"/>
    <m/>
    <n v="26086"/>
    <n v="17"/>
    <n v="1478"/>
    <n v="0.01"/>
    <n v="0.01"/>
    <n v="1.1709601873536302"/>
    <m/>
    <n v="7.922599373163939E-4"/>
  </r>
  <r>
    <x v="12"/>
    <s v="21127/1"/>
    <s v="1898/2"/>
    <s v="Tarro 200ml Quadrat estret (Tapa Rodona)"/>
    <n v="0"/>
    <n v="220.84"/>
    <x v="1"/>
    <m/>
    <n v="18434"/>
    <n v="18656"/>
    <n v="18896"/>
    <n v="41"/>
    <n v="462"/>
    <n v="0"/>
    <n v="0"/>
    <n v="0"/>
    <m/>
    <n v="0"/>
  </r>
  <r>
    <x v="12"/>
    <s v="21127-5"/>
    <n v="1825"/>
    <s v="OBTURADOR 200 A/ LLENG."/>
    <s v=""/>
    <n v="2.73"/>
    <x v="5"/>
    <m/>
    <n v="25528"/>
    <n v="28702"/>
    <n v="32002"/>
    <n v="48"/>
    <n v="6474"/>
    <n v="0.01"/>
    <n v="0.01"/>
    <n v="3.6630036630036629"/>
    <m/>
    <n v="5.6580223401354077E-4"/>
  </r>
  <r>
    <x v="12"/>
    <s v="11029-1"/>
    <s v="1440/0/6"/>
    <s v="Cubilet de 50ml Refill"/>
    <n v="0"/>
    <n v="1.5"/>
    <x v="5"/>
    <m/>
    <n v="0"/>
    <n v="0"/>
    <n v="1000"/>
    <n v="49"/>
    <n v="1000"/>
    <n v="0.01"/>
    <n v="0.01"/>
    <n v="6.666666666666667"/>
    <m/>
    <n v="6.6666666666666671E-3"/>
  </r>
  <r>
    <x v="13"/>
    <s v="21135-1"/>
    <s v="1877/0/1"/>
    <s v="Tarro 50ml Tinter Quadrat"/>
    <s v="T116"/>
    <n v="121.5"/>
    <x v="4"/>
    <m/>
    <n v="5690"/>
    <n v="0"/>
    <n v="6150"/>
    <n v="30"/>
    <n v="460"/>
    <n v="0"/>
    <n v="0"/>
    <n v="0"/>
    <m/>
    <n v="0"/>
  </r>
  <r>
    <x v="13"/>
    <s v="11102-1"/>
    <n v="1539"/>
    <e v="#N/A"/>
    <e v="#N/A"/>
    <n v="0.57999999999999996"/>
    <x v="5"/>
    <m/>
    <n v="0"/>
    <n v="0"/>
    <n v="110"/>
    <n v="49"/>
    <n v="110"/>
    <n v="1E-3"/>
    <n v="1E-3"/>
    <n v="1.7241379310344829"/>
    <m/>
    <n v="1.5673981191222573E-2"/>
  </r>
  <r>
    <x v="13"/>
    <s v="21136-1"/>
    <n v="1861"/>
    <s v="Tarro 50ml Standard 8 unitats"/>
    <s v="T022"/>
    <n v="92"/>
    <x v="0"/>
    <m/>
    <n v="19935"/>
    <n v="21692"/>
    <n v="23526"/>
    <n v="40"/>
    <n v="3591"/>
    <n v="160"/>
    <n v="160"/>
    <n v="1739.1304347826087"/>
    <m/>
    <n v="0.48430254379911131"/>
  </r>
  <r>
    <x v="12"/>
    <s v="21136-1"/>
    <n v="1861"/>
    <s v="Tarro 50ml Standard 8 unitats"/>
    <s v="T022"/>
    <n v="92"/>
    <x v="0"/>
    <m/>
    <m/>
    <m/>
    <m/>
    <n v="40"/>
    <m/>
    <m/>
    <n v="0"/>
    <n v="0"/>
    <n v="160"/>
    <s v="n/a"/>
  </r>
  <r>
    <x v="13"/>
    <s v="21136-1"/>
    <n v="1861"/>
    <s v="Tarro 50ml Standard 8 unitats"/>
    <s v="T022"/>
    <n v="92"/>
    <x v="0"/>
    <m/>
    <m/>
    <m/>
    <m/>
    <n v="40"/>
    <n v="0"/>
    <m/>
    <n v="0"/>
    <n v="0"/>
    <n v="140"/>
    <s v="n/a"/>
  </r>
  <r>
    <x v="14"/>
    <s v="21136-1"/>
    <n v="1861"/>
    <s v="Tarro 50ml Standard 8 unitats"/>
    <s v="T022"/>
    <n v="92"/>
    <x v="0"/>
    <m/>
    <m/>
    <m/>
    <m/>
    <n v="40"/>
    <n v="0"/>
    <m/>
    <n v="0"/>
    <n v="0"/>
    <n v="5"/>
    <s v="n/a"/>
  </r>
  <r>
    <x v="12"/>
    <s v="21106-1"/>
    <s v="1781/0/1"/>
    <s v="Tapa 100 ml prima "/>
    <s v="#26(100 ml)"/>
    <n v="30.3"/>
    <x v="0"/>
    <m/>
    <m/>
    <m/>
    <m/>
    <n v="38"/>
    <n v="0"/>
    <m/>
    <n v="0"/>
    <n v="0"/>
    <n v="15"/>
    <s v="n/a"/>
  </r>
  <r>
    <x v="13"/>
    <s v="21135-1"/>
    <s v="1877/0/1"/>
    <s v="Tarro 50ml Tinter Quadrat"/>
    <s v="T116"/>
    <n v="121.5"/>
    <x v="4"/>
    <m/>
    <n v="6150"/>
    <n v="6582"/>
    <n v="7040"/>
    <n v="30"/>
    <n v="890"/>
    <n v="35"/>
    <n v="35"/>
    <n v="288.06584362139915"/>
    <m/>
    <n v="0.32366948721505523"/>
  </r>
  <r>
    <x v="14"/>
    <s v="21135-1"/>
    <s v="1877/0/1"/>
    <s v="Tarro 50ml Tinter Quadrat"/>
    <s v="T116"/>
    <n v="121.5"/>
    <x v="4"/>
    <m/>
    <n v="7040"/>
    <n v="7910"/>
    <n v="8274"/>
    <n v="30"/>
    <n v="1234"/>
    <n v="5"/>
    <n v="5"/>
    <n v="41.152263374485599"/>
    <m/>
    <n v="3.3348673723246028E-2"/>
  </r>
  <r>
    <x v="15"/>
    <s v="21135-1"/>
    <s v="1877/0/1"/>
    <s v="Tarro 50ml Tinter Quadrat"/>
    <s v="T116"/>
    <n v="121.5"/>
    <x v="4"/>
    <m/>
    <n v="8274"/>
    <n v="9036"/>
    <n v="9494"/>
    <n v="30"/>
    <n v="1220"/>
    <n v="5"/>
    <n v="5"/>
    <n v="41.152263374485599"/>
    <m/>
    <n v="3.3731363421709508E-2"/>
  </r>
  <r>
    <x v="13"/>
    <s v="21121-3"/>
    <s v="1860/0/1"/>
    <s v="Tapa 50 ml mar-mar prima"/>
    <s v="#24"/>
    <n v="20.86"/>
    <x v="0"/>
    <m/>
    <n v="0"/>
    <n v="651"/>
    <n v="2454"/>
    <n v="45"/>
    <n v="2454"/>
    <n v="2.5"/>
    <n v="2.5"/>
    <n v="119.84659635666347"/>
    <n v="40"/>
    <n v="4.8837243829121219E-2"/>
  </r>
  <r>
    <x v="14"/>
    <s v="21121-3"/>
    <s v="1860/0/1"/>
    <s v="Tapa 50 ml mar-mar prima"/>
    <s v="#24"/>
    <n v="20.86"/>
    <x v="0"/>
    <m/>
    <n v="2454"/>
    <n v="6977"/>
    <n v="8817"/>
    <n v="45"/>
    <n v="6363"/>
    <n v="0"/>
    <n v="0"/>
    <n v="0"/>
    <n v="30"/>
    <n v="0"/>
  </r>
  <r>
    <x v="15"/>
    <s v="21121-3"/>
    <s v="1860/0/1"/>
    <s v="Tapa 50 ml mar-mar prima"/>
    <s v="#24"/>
    <n v="20.86"/>
    <x v="0"/>
    <m/>
    <n v="8817"/>
    <n v="12885"/>
    <n v="15297"/>
    <n v="45"/>
    <n v="6480"/>
    <n v="15"/>
    <n v="15"/>
    <n v="719.07957813998087"/>
    <m/>
    <n v="0.11096907070061433"/>
  </r>
  <r>
    <x v="13"/>
    <s v="21116-1"/>
    <s v="1708/1/0"/>
    <s v="Tarro 150 ml"/>
    <s v="T057"/>
    <n v="160"/>
    <x v="4"/>
    <m/>
    <m/>
    <m/>
    <m/>
    <n v="43"/>
    <n v="0"/>
    <m/>
    <n v="0"/>
    <n v="0"/>
    <n v="2.5"/>
    <s v="n/a"/>
  </r>
  <r>
    <x v="14"/>
    <s v="21116-1"/>
    <s v="1708/1/0"/>
    <s v="Tarro 150 ml"/>
    <s v="T057"/>
    <n v="160"/>
    <x v="4"/>
    <m/>
    <m/>
    <m/>
    <m/>
    <n v="43"/>
    <n v="0"/>
    <m/>
    <n v="0"/>
    <n v="0"/>
    <n v="2.5"/>
    <s v="n/a"/>
  </r>
  <r>
    <x v="14"/>
    <s v="21134-1"/>
    <s v="1667/0/2"/>
    <s v="Tarro 50 ml labiomar "/>
    <s v="T079"/>
    <n v="82.7"/>
    <x v="0"/>
    <m/>
    <n v="244"/>
    <n v="1184"/>
    <n v="2016"/>
    <n v="44"/>
    <n v="1772"/>
    <m/>
    <n v="0"/>
    <n v="0"/>
    <n v="100"/>
    <n v="0"/>
  </r>
  <r>
    <x v="15"/>
    <s v="21134-1"/>
    <s v="1667/0/2"/>
    <s v="Tarro 50 ml labiomar "/>
    <s v="T079"/>
    <n v="82.7"/>
    <x v="0"/>
    <m/>
    <n v="2016"/>
    <n v="3209"/>
    <n v="4004"/>
    <n v="44"/>
    <n v="1988"/>
    <m/>
    <n v="0"/>
    <n v="0"/>
    <m/>
    <n v="0"/>
  </r>
  <r>
    <x v="13"/>
    <s v="21127-1"/>
    <s v="1898/2"/>
    <s v="Tarro 200ml Quadrat estret (Tapa Rodona)"/>
    <n v="0"/>
    <n v="220.84"/>
    <x v="1"/>
    <m/>
    <n v="19153"/>
    <n v="19362"/>
    <n v="19598"/>
    <n v="41"/>
    <n v="445"/>
    <n v="2.5"/>
    <n v="2.5"/>
    <n v="11.320412968665098"/>
    <m/>
    <n v="2.543913026666314E-2"/>
  </r>
  <r>
    <x v="14"/>
    <s v="21127-1"/>
    <s v="1898/2"/>
    <s v="Tarro 200ml Quadrat estret (Tapa Rodona)"/>
    <n v="0"/>
    <n v="220.84"/>
    <x v="1"/>
    <m/>
    <n v="19598"/>
    <n v="20063"/>
    <n v="20262"/>
    <n v="41"/>
    <n v="664"/>
    <m/>
    <n v="0"/>
    <n v="0"/>
    <m/>
    <n v="0"/>
  </r>
  <r>
    <x v="15"/>
    <s v="21127-1"/>
    <s v="1898/2"/>
    <s v="Tarro 200ml Quadrat estret (Tapa Rodona)"/>
    <n v="0"/>
    <n v="220.84"/>
    <x v="1"/>
    <m/>
    <n v="20262"/>
    <n v="20691"/>
    <n v="20926"/>
    <n v="41"/>
    <n v="664"/>
    <m/>
    <n v="0"/>
    <n v="0"/>
    <m/>
    <n v="0"/>
  </r>
  <r>
    <x v="13"/>
    <s v="21128-1"/>
    <n v="1790"/>
    <s v="Tarro 100ml"/>
    <s v="T029"/>
    <n v="151"/>
    <x v="1"/>
    <m/>
    <n v="4697"/>
    <n v="4887"/>
    <n v="5109"/>
    <n v="41"/>
    <n v="412"/>
    <n v="2.5"/>
    <n v="2.5"/>
    <n v="16.556291390728475"/>
    <m/>
    <n v="4.0185173278467171E-2"/>
  </r>
  <r>
    <x v="16"/>
    <s v="21128-1"/>
    <n v="1790"/>
    <s v="Tarro 100ml"/>
    <s v="T029"/>
    <n v="151"/>
    <x v="1"/>
    <m/>
    <n v="5109"/>
    <n v="5532"/>
    <n v="5723"/>
    <n v="41"/>
    <n v="614"/>
    <m/>
    <n v="0"/>
    <n v="0"/>
    <m/>
    <n v="0"/>
  </r>
  <r>
    <x v="15"/>
    <s v="21128-1"/>
    <n v="1790"/>
    <s v="Tarro 100ml"/>
    <s v="T029"/>
    <n v="151"/>
    <x v="1"/>
    <m/>
    <n v="5723"/>
    <n v="6113"/>
    <n v="6338"/>
    <n v="41"/>
    <n v="615"/>
    <m/>
    <n v="0"/>
    <n v="0"/>
    <m/>
    <n v="0"/>
  </r>
  <r>
    <x v="13"/>
    <s v="21115-3"/>
    <n v="1897"/>
    <s v="Tapa 50 cc mar mar (6 unit)"/>
    <s v="#6(50 ml)"/>
    <n v="32"/>
    <x v="4"/>
    <m/>
    <n v="24750"/>
    <n v="26580"/>
    <n v="28722"/>
    <n v="52"/>
    <n v="3972"/>
    <n v="2.5"/>
    <n v="2.5"/>
    <n v="78.125"/>
    <m/>
    <n v="1.9668932527693857E-2"/>
  </r>
  <r>
    <x v="14"/>
    <s v="21115-3"/>
    <n v="1897"/>
    <s v="Tapa 50 cc mar mar (6 unit)"/>
    <s v="#6(50 ml)"/>
    <n v="32"/>
    <x v="4"/>
    <m/>
    <n v="28722"/>
    <n v="32904"/>
    <n v="34608"/>
    <n v="52"/>
    <n v="5886"/>
    <m/>
    <n v="0"/>
    <n v="0"/>
    <m/>
    <n v="0"/>
  </r>
  <r>
    <x v="15"/>
    <s v="21115-1"/>
    <n v="1897"/>
    <s v="Tapa 50 cc mar mar (6 unit)"/>
    <s v="#6(50 ml)"/>
    <n v="32"/>
    <x v="1"/>
    <m/>
    <n v="34608"/>
    <n v="38208"/>
    <n v="40344"/>
    <n v="41"/>
    <n v="5736"/>
    <m/>
    <n v="0"/>
    <n v="0"/>
    <m/>
    <n v="0"/>
  </r>
  <r>
    <x v="15"/>
    <s v="21127-1"/>
    <s v="1898/2"/>
    <s v="Tarro 200ml Quadrat estret (Tapa Rodona)"/>
    <n v="0"/>
    <n v="220.84"/>
    <x v="1"/>
    <m/>
    <n v="20960"/>
    <n v="21392"/>
    <n v="21627"/>
    <n v="41"/>
    <n v="667"/>
    <n v="10"/>
    <n v="10"/>
    <n v="45.28165187466039"/>
    <m/>
    <n v="6.7888533545217983E-2"/>
  </r>
  <r>
    <x v="15"/>
    <s v="21115-3"/>
    <n v="1897"/>
    <s v="Tapa 50 cc mar mar (6 unit)"/>
    <s v="#6(50 ml)"/>
    <n v="32"/>
    <x v="4"/>
    <m/>
    <n v="34608"/>
    <n v="28208"/>
    <n v="40344"/>
    <n v="52"/>
    <n v="5736"/>
    <n v="20"/>
    <n v="20"/>
    <n v="625"/>
    <m/>
    <n v="0.10896094839609484"/>
  </r>
  <r>
    <x v="17"/>
    <s v="21134-1"/>
    <s v="1667/0/2"/>
    <s v="Tarro 50 ml labiomar "/>
    <s v="T079"/>
    <n v="82.7"/>
    <x v="0"/>
    <m/>
    <n v="4004"/>
    <n v="5582"/>
    <n v="6356"/>
    <n v="44"/>
    <n v="2352"/>
    <n v="30"/>
    <n v="30"/>
    <n v="362.7569528415961"/>
    <m/>
    <n v="0.15423339831700514"/>
  </r>
  <r>
    <x v="15"/>
    <s v="21121-4"/>
    <s v="1860/0/1"/>
    <s v="Tapa 50 ml mar-mar prima"/>
    <s v="#24"/>
    <n v="20.86"/>
    <x v="0"/>
    <m/>
    <m/>
    <m/>
    <m/>
    <n v="45"/>
    <n v="0"/>
    <m/>
    <n v="0"/>
    <n v="0"/>
    <n v="30"/>
    <s v="n/a"/>
  </r>
  <r>
    <x v="15"/>
    <s v="21128-1"/>
    <n v="1790"/>
    <s v="Tarro 100ml"/>
    <s v="T029"/>
    <n v="151"/>
    <x v="1"/>
    <m/>
    <n v="4456"/>
    <n v="5911"/>
    <n v="6338"/>
    <n v="51"/>
    <n v="1882"/>
    <n v="1.5"/>
    <n v="1.5"/>
    <n v="9.9337748344370862"/>
    <m/>
    <n v="5.2783075634628513E-3"/>
  </r>
  <r>
    <x v="17"/>
    <s v="21127-1"/>
    <s v="1898/2"/>
    <s v="Tarro 200ml Quadrat estret (Tapa Rodona)"/>
    <n v="0"/>
    <n v="220.84"/>
    <x v="1"/>
    <m/>
    <n v="21627"/>
    <n v="22089"/>
    <n v="22325"/>
    <n v="41"/>
    <n v="698"/>
    <n v="1"/>
    <n v="1"/>
    <n v="4.5281651874660387"/>
    <m/>
    <n v="6.4873426754527772E-3"/>
  </r>
  <r>
    <x v="17"/>
    <s v="21115-3"/>
    <n v="1897"/>
    <s v="Tapa 50 cc mar mar (6 unit)"/>
    <s v="#6(50 ml)"/>
    <n v="32"/>
    <x v="4"/>
    <m/>
    <n v="40344"/>
    <n v="44562"/>
    <n v="45186"/>
    <n v="52"/>
    <n v="4842"/>
    <n v="2"/>
    <n v="2"/>
    <n v="62.5"/>
    <m/>
    <n v="1.2907889301941346E-2"/>
  </r>
  <r>
    <x v="17"/>
    <s v="21134-1"/>
    <s v="1667/0/2"/>
    <s v="Tarro 50 ml labiomar "/>
    <s v="T079"/>
    <n v="82.7"/>
    <x v="0"/>
    <m/>
    <n v="7211"/>
    <n v="7715"/>
    <n v="8531"/>
    <n v="44"/>
    <n v="1320"/>
    <n v="5"/>
    <n v="5"/>
    <n v="60.459492140266022"/>
    <m/>
    <n v="4.5802645560807591E-2"/>
  </r>
  <r>
    <x v="18"/>
    <s v="21134-1"/>
    <s v="1667/0/2"/>
    <s v="Tarro 50 ml labiomar "/>
    <s v="T079"/>
    <n v="82.7"/>
    <x v="0"/>
    <m/>
    <n v="8531"/>
    <n v="9278"/>
    <n v="10076"/>
    <n v="44"/>
    <n v="1545"/>
    <n v="10"/>
    <n v="10"/>
    <n v="120.91898428053204"/>
    <m/>
    <n v="7.8264714744680941E-2"/>
  </r>
  <r>
    <x v="17"/>
    <s v="21121-3"/>
    <s v="1860/0/1"/>
    <s v="Tapa 50 ml mar-mar prima"/>
    <s v="#24"/>
    <n v="20.86"/>
    <x v="0"/>
    <m/>
    <n v="15297"/>
    <n v="20049"/>
    <n v="22441"/>
    <n v="45"/>
    <n v="7144"/>
    <n v="25"/>
    <n v="25"/>
    <n v="1198.4659635666346"/>
    <m/>
    <n v="0.16775839355635982"/>
  </r>
  <r>
    <x v="19"/>
    <s v="21121-3"/>
    <s v="1860/0/1"/>
    <s v="Tapa 50 ml mar-mar prima"/>
    <s v="#24"/>
    <n v="20.86"/>
    <x v="0"/>
    <m/>
    <n v="22441"/>
    <n v="26258"/>
    <n v="28034"/>
    <n v="45"/>
    <n v="5593"/>
    <m/>
    <n v="0"/>
    <n v="0"/>
    <m/>
    <n v="0"/>
  </r>
  <r>
    <x v="17"/>
    <s v="21128-1"/>
    <n v="1790"/>
    <s v="Tarro 100ml"/>
    <s v="T029"/>
    <n v="151"/>
    <x v="1"/>
    <m/>
    <n v="6338"/>
    <n v="0"/>
    <n v="6543"/>
    <n v="51"/>
    <n v="205"/>
    <n v="1"/>
    <n v="1"/>
    <n v="6.6225165562913908"/>
    <m/>
    <n v="3.2304958811177516E-2"/>
  </r>
  <r>
    <x v="17"/>
    <s v="21103-1"/>
    <n v="1945"/>
    <s v="Tarro 400 ml"/>
    <s v="T113"/>
    <n v="211"/>
    <x v="0"/>
    <m/>
    <n v="0"/>
    <n v="0"/>
    <n v="0"/>
    <n v="7"/>
    <n v="0"/>
    <n v="0"/>
    <n v="0"/>
    <n v="0"/>
    <n v="105"/>
    <s v="n/a"/>
  </r>
  <r>
    <x v="19"/>
    <s v="21103-1"/>
    <n v="1945"/>
    <s v="Tarro 400 ml"/>
    <s v="T113"/>
    <n v="211"/>
    <x v="0"/>
    <m/>
    <n v="392"/>
    <n v="846"/>
    <n v="2148"/>
    <n v="7"/>
    <n v="1756"/>
    <n v="20"/>
    <n v="20"/>
    <n v="94.786729857819907"/>
    <m/>
    <n v="5.3978775545455528E-2"/>
  </r>
  <r>
    <x v="17"/>
    <s v="21127-3"/>
    <s v="1781/0/1"/>
    <s v="Tapa 100 ml prima "/>
    <s v="#26(100 ml)"/>
    <n v="30.3"/>
    <x v="0"/>
    <m/>
    <n v="344"/>
    <n v="2012"/>
    <n v="3480"/>
    <n v="38"/>
    <n v="3136"/>
    <n v="15"/>
    <n v="15"/>
    <n v="495.04950495049502"/>
    <m/>
    <n v="0.15786017377247927"/>
  </r>
  <r>
    <x v="19"/>
    <s v="21127-3"/>
    <s v="1781/0/1"/>
    <s v="Tapa 100 ml prima "/>
    <s v="#26(100 ml)"/>
    <n v="30.3"/>
    <x v="0"/>
    <m/>
    <n v="4896"/>
    <n v="6312"/>
    <n v="7436"/>
    <n v="38"/>
    <n v="2540"/>
    <n v="0"/>
    <n v="0"/>
    <n v="0"/>
    <m/>
    <n v="0"/>
  </r>
  <r>
    <x v="17"/>
    <s v="21135-1"/>
    <s v="1877/0/1"/>
    <s v="Tarro 50ml Tinter Quadrat"/>
    <s v="T116"/>
    <n v="121.5"/>
    <x v="4"/>
    <m/>
    <n v="9936"/>
    <n v="10322"/>
    <n v="10500"/>
    <n v="30"/>
    <n v="564"/>
    <n v="0"/>
    <n v="0"/>
    <n v="0"/>
    <n v="70"/>
    <n v="0"/>
  </r>
  <r>
    <x v="19"/>
    <s v="21135-1"/>
    <s v="1877/0/1"/>
    <s v="Tarro 50ml Tinter Quadrat"/>
    <s v="T116"/>
    <n v="121.5"/>
    <x v="4"/>
    <m/>
    <n v="10726"/>
    <n v="11106"/>
    <n v="11576"/>
    <n v="30"/>
    <n v="850"/>
    <m/>
    <n v="0"/>
    <n v="0"/>
    <m/>
    <n v="0"/>
  </r>
  <r>
    <x v="18"/>
    <s v="21135-1"/>
    <s v="1877/0/1"/>
    <s v="Tarro 50ml Tinter Quadrat"/>
    <s v="T116"/>
    <n v="121.5"/>
    <x v="4"/>
    <m/>
    <n v="12024"/>
    <n v="12446"/>
    <n v="12912"/>
    <n v="30"/>
    <n v="888"/>
    <n v="20"/>
    <n v="20"/>
    <n v="164.6090534979424"/>
    <m/>
    <n v="0.18537055574092612"/>
  </r>
  <r>
    <x v="17"/>
    <s v="21116-1"/>
    <s v="1708/1/0"/>
    <s v="Tarro 150 ml"/>
    <s v="T057"/>
    <n v="160"/>
    <x v="0"/>
    <m/>
    <n v="0"/>
    <n v="0"/>
    <n v="0"/>
    <n v="43"/>
    <n v="0"/>
    <m/>
    <n v="0"/>
    <n v="0"/>
    <n v="15"/>
    <s v="n/a"/>
  </r>
  <r>
    <x v="17"/>
    <s v="21136-1"/>
    <n v="1861"/>
    <s v="Tarro 50ml Standard 8 unitats"/>
    <s v="T022"/>
    <n v="92"/>
    <x v="0"/>
    <m/>
    <n v="0"/>
    <n v="0"/>
    <n v="0"/>
    <n v="40"/>
    <n v="0"/>
    <m/>
    <n v="0"/>
    <n v="0"/>
    <n v="15"/>
    <s v="n/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8">
  <r>
    <x v="0"/>
    <s v="21116-1"/>
    <s v="1708/1/0"/>
    <s v="Tarro 150 ml"/>
    <s v="T057"/>
    <n v="168"/>
    <x v="0"/>
    <s v="Al-Haramain"/>
    <n v="5574"/>
    <n v="5970"/>
    <n v="6472"/>
    <n v="43"/>
    <n v="898"/>
    <n v="30"/>
    <n v="30"/>
    <n v="178.57142857142858"/>
    <m/>
    <n v="0.19885459751829462"/>
    <s v="Cambio de colorante a naranga."/>
  </r>
  <r>
    <x v="0"/>
    <s v="21045-1"/>
    <n v="1861"/>
    <s v="Tarro 50ml Standard 8 unitats"/>
    <s v="T022"/>
    <n v="92"/>
    <x v="1"/>
    <s v="Quirines"/>
    <n v="41959"/>
    <n v="43254"/>
    <n v="44584"/>
    <n v="40"/>
    <n v="2625"/>
    <n v="15"/>
    <n v="15"/>
    <n v="163.04347826086956"/>
    <m/>
    <n v="6.2111801242236024E-2"/>
    <m/>
  </r>
  <r>
    <x v="0"/>
    <s v="21127-1"/>
    <s v="1898/2"/>
    <s v="Tarro 200ml Quadrat estret (Tapa Rodona)"/>
    <n v="0"/>
    <n v="220.84"/>
    <x v="1"/>
    <m/>
    <n v="8899"/>
    <n v="9129"/>
    <n v="9366"/>
    <n v="41"/>
    <n v="467"/>
    <n v="3"/>
    <n v="3"/>
    <n v="13.584495562398116"/>
    <m/>
    <n v="2.9088855594000249E-2"/>
    <m/>
  </r>
  <r>
    <x v="1"/>
    <s v="21110-3"/>
    <n v="1786"/>
    <s v="Tapa borghesse 50 ml"/>
    <s v="#7 (50 ml)"/>
    <n v="8.39"/>
    <x v="2"/>
    <m/>
    <n v="960"/>
    <n v="3158"/>
    <n v="4992"/>
    <n v="20"/>
    <n v="4032"/>
    <n v="5"/>
    <n v="5"/>
    <n v="595.94755661501779"/>
    <m/>
    <n v="0.14780445352555005"/>
    <m/>
  </r>
  <r>
    <x v="1"/>
    <s v="21126-2"/>
    <s v="1909/0/2"/>
    <s v="Tapa simple 200ml baixa prima"/>
    <s v="#45"/>
    <n v="17.399999999999999"/>
    <x v="3"/>
    <m/>
    <n v="0"/>
    <n v="0"/>
    <n v="287"/>
    <n v="19"/>
    <n v="287"/>
    <n v="5"/>
    <n v="5"/>
    <n v="287.35632183908046"/>
    <m/>
    <n v="1.0012415395089911"/>
    <m/>
  </r>
  <r>
    <x v="1"/>
    <s v="21045-1"/>
    <n v="1861"/>
    <s v="Tarro 50ml Standard 8 unitats"/>
    <s v="T022"/>
    <n v="92"/>
    <x v="1"/>
    <m/>
    <n v="49876"/>
    <n v="51157"/>
    <n v="51836"/>
    <n v="40"/>
    <n v="1960"/>
    <n v="9"/>
    <n v="9"/>
    <n v="97.826086956521735"/>
    <m/>
    <n v="4.9911268855368229E-2"/>
    <m/>
  </r>
  <r>
    <x v="1"/>
    <s v="21120-1"/>
    <n v="1985"/>
    <s v="Tarro 200ml 2 unitats"/>
    <s v="T050"/>
    <n v="108.12"/>
    <x v="4"/>
    <m/>
    <n v="0"/>
    <n v="0"/>
    <n v="46"/>
    <n v="52"/>
    <n v="46"/>
    <n v="5"/>
    <n v="5"/>
    <n v="46.244913059563444"/>
    <m/>
    <n v="1.0053241969470315"/>
    <s v="Limpieza husillo"/>
  </r>
  <r>
    <x v="1"/>
    <s v="21127-1"/>
    <s v="1898/2"/>
    <s v="Tarro 200ml Quadrat estret (Tapa Rodona)"/>
    <n v="0"/>
    <n v="220.84"/>
    <x v="1"/>
    <m/>
    <n v="10929"/>
    <n v="11140"/>
    <n v="11374"/>
    <n v="41"/>
    <n v="445"/>
    <n v="3"/>
    <n v="3"/>
    <n v="13.584495562398116"/>
    <m/>
    <n v="3.0526956319995767E-2"/>
    <m/>
  </r>
  <r>
    <x v="2"/>
    <s v="21110-3"/>
    <n v="1786"/>
    <s v="Tapa borghesse 50 ml"/>
    <s v="#7 (50 ml)"/>
    <n v="8.39"/>
    <x v="2"/>
    <m/>
    <n v="6630"/>
    <n v="8908"/>
    <n v="11232"/>
    <n v="20"/>
    <n v="4602"/>
    <n v="10"/>
    <n v="10"/>
    <n v="1191.8951132300356"/>
    <m/>
    <n v="0.25899502677749581"/>
    <s v="Puesta en marcha, merma del lunes 18"/>
  </r>
  <r>
    <x v="2"/>
    <s v="21116-3"/>
    <s v="1781/0/1"/>
    <s v="Tapa 100 ml prima "/>
    <s v="#26(100 ml)"/>
    <n v="30.3"/>
    <x v="0"/>
    <m/>
    <n v="0"/>
    <n v="0"/>
    <n v="1057"/>
    <n v="44"/>
    <n v="1057"/>
    <n v="30"/>
    <n v="30"/>
    <n v="990.09900990099004"/>
    <m/>
    <n v="0.93670672649100284"/>
    <s v="Purga cambio material"/>
  </r>
  <r>
    <x v="2"/>
    <s v="21116-1"/>
    <s v="1708/1/0"/>
    <s v="Tarro 150 ml"/>
    <s v="T057"/>
    <n v="168"/>
    <x v="0"/>
    <m/>
    <n v="7008"/>
    <n v="7468"/>
    <n v="7996"/>
    <n v="43"/>
    <n v="988"/>
    <n v="50"/>
    <n v="50"/>
    <n v="297.61904761904759"/>
    <m/>
    <n v="0.30123385386543278"/>
    <s v="Ajuste colorante naranja"/>
  </r>
  <r>
    <x v="2"/>
    <s v="21127-1"/>
    <s v="1898/2"/>
    <s v="Tarro 200ml Quadrat estret (Tapa Rodona)"/>
    <n v="0"/>
    <n v="220.84"/>
    <x v="4"/>
    <m/>
    <n v="11633"/>
    <n v="11843"/>
    <n v="12076"/>
    <n v="41"/>
    <n v="443"/>
    <n v="3"/>
    <n v="3"/>
    <n v="13.584495562398116"/>
    <m/>
    <n v="3.0664775535887395E-2"/>
    <m/>
  </r>
  <r>
    <x v="3"/>
    <s v="21136-1"/>
    <n v="1861"/>
    <s v="Tarro 50ml Standard 8 unitats"/>
    <s v="T022"/>
    <n v="92"/>
    <x v="0"/>
    <m/>
    <n v="0"/>
    <n v="0"/>
    <n v="4444"/>
    <n v="40"/>
    <n v="4444"/>
    <n v="400"/>
    <n v="400"/>
    <n v="4347.826086956522"/>
    <m/>
    <n v="0.97835870543576098"/>
    <s v="Inicio, cambio material ps a pmma"/>
  </r>
  <r>
    <x v="3"/>
    <s v="21110-3"/>
    <n v="1786"/>
    <s v="Tapa borghesse 50 ml"/>
    <s v="#7 (50 ml)"/>
    <n v="8.39"/>
    <x v="2"/>
    <m/>
    <n v="13610"/>
    <n v="15856"/>
    <n v="18148"/>
    <n v="20"/>
    <n v="4538"/>
    <n v="5"/>
    <n v="5"/>
    <n v="595.94755661501779"/>
    <m/>
    <n v="0.13132383354231331"/>
    <m/>
  </r>
  <r>
    <x v="3"/>
    <s v="21127-1"/>
    <s v="1898/2"/>
    <s v="Tarro 200ml Quadrat estret (Tapa Rodona)"/>
    <n v="0"/>
    <n v="220.84"/>
    <x v="1"/>
    <m/>
    <n v="12320"/>
    <n v="12545"/>
    <n v="12780"/>
    <n v="41"/>
    <n v="460"/>
    <n v="5"/>
    <n v="5"/>
    <n v="22.640825937330195"/>
    <m/>
    <n v="4.9219186820283034E-2"/>
    <m/>
  </r>
  <r>
    <x v="3"/>
    <s v="21116-1"/>
    <s v="1708/0/1"/>
    <s v="Tarro 150 cc"/>
    <s v="T057"/>
    <n v="168"/>
    <x v="0"/>
    <m/>
    <n v="8540"/>
    <n v="9042"/>
    <n v="9568"/>
    <n v="43"/>
    <n v="1028"/>
    <n v="15"/>
    <n v="15"/>
    <n v="89.285714285714292"/>
    <m/>
    <n v="8.6853807670928304E-2"/>
    <m/>
  </r>
  <r>
    <x v="3"/>
    <s v="21101-1"/>
    <s v="1932/0/1"/>
    <s v="Tarro 15 ml. Tinter Quadrat"/>
    <s v="T124"/>
    <n v="69.75"/>
    <x v="4"/>
    <m/>
    <n v="8128"/>
    <n v="8610"/>
    <n v="9128"/>
    <n v="38"/>
    <n v="1000"/>
    <n v="3.5"/>
    <n v="3.5"/>
    <n v="50.179211469534053"/>
    <m/>
    <n v="5.0179211469534052E-2"/>
    <m/>
  </r>
  <r>
    <x v="4"/>
    <s v="21128-1"/>
    <n v="1790"/>
    <s v="Tarro 100ml"/>
    <s v="T029"/>
    <n v="151"/>
    <x v="1"/>
    <m/>
    <n v="568"/>
    <n v="753"/>
    <n v="926"/>
    <n v="51"/>
    <n v="358"/>
    <n v="20"/>
    <n v="20"/>
    <n v="132.4503311258278"/>
    <m/>
    <n v="0.36997299197158606"/>
    <m/>
  </r>
  <r>
    <x v="4"/>
    <s v="21116-1"/>
    <s v="1708/1/0"/>
    <s v="Tarro 150 ml"/>
    <s v="T057"/>
    <n v="168"/>
    <x v="0"/>
    <m/>
    <n v="10134"/>
    <n v="10608"/>
    <n v="11140"/>
    <n v="43"/>
    <n v="1006"/>
    <n v="2.5"/>
    <n v="2.5"/>
    <n v="14.880952380952381"/>
    <m/>
    <n v="1.4792199185837357E-2"/>
    <m/>
  </r>
  <r>
    <x v="4"/>
    <s v="21101-1"/>
    <s v="1932/0/1"/>
    <s v="Tarro 15 ml. Tinter Quadrat"/>
    <s v="T124"/>
    <n v="69.75"/>
    <x v="4"/>
    <m/>
    <n v="9678"/>
    <n v="10138"/>
    <n v="10656"/>
    <n v="38"/>
    <n v="978"/>
    <n v="5"/>
    <n v="5"/>
    <n v="71.68458781362007"/>
    <m/>
    <n v="7.3297124553803758E-2"/>
    <m/>
  </r>
  <r>
    <x v="4"/>
    <s v="21136-1"/>
    <n v="1861"/>
    <s v="Tarro 50ml Standard 8 unitats"/>
    <s v="T022"/>
    <n v="92"/>
    <x v="0"/>
    <m/>
    <n v="0"/>
    <n v="0"/>
    <n v="3333"/>
    <n v="40"/>
    <n v="3333"/>
    <n v="300"/>
    <n v="300"/>
    <n v="3260.8695652173915"/>
    <m/>
    <n v="0.97835870543576098"/>
    <s v="Inicio, cambio material ps a pmma"/>
  </r>
  <r>
    <x v="4"/>
    <s v="21127-1"/>
    <s v="1898/2"/>
    <s v="Tarro 200ml Quadrat estret (Tapa Rodona)"/>
    <n v="0"/>
    <n v="220.84"/>
    <x v="1"/>
    <m/>
    <n v="13032"/>
    <n v="13248"/>
    <n v="13484"/>
    <n v="41"/>
    <n v="452"/>
    <n v="3"/>
    <n v="3"/>
    <n v="13.584495562398116"/>
    <m/>
    <n v="3.0054193722119725E-2"/>
    <m/>
  </r>
  <r>
    <x v="4"/>
    <s v="21116-3"/>
    <s v="1781/0/1"/>
    <s v="Tapa 100 ml prima "/>
    <s v="#26(100 ml)"/>
    <n v="30.3"/>
    <x v="0"/>
    <m/>
    <n v="0"/>
    <n v="0"/>
    <n v="528"/>
    <n v="44"/>
    <n v="528"/>
    <n v="15"/>
    <n v="15"/>
    <n v="495.04950495049502"/>
    <m/>
    <n v="0.93759375937593759"/>
    <s v="Purga cambio material"/>
  </r>
  <r>
    <x v="5"/>
    <s v="21116-1"/>
    <s v="1708/1/0"/>
    <s v="Tarro 150 ml"/>
    <s v="T057"/>
    <n v="168"/>
    <x v="0"/>
    <m/>
    <n v="11670"/>
    <n v="12196"/>
    <n v="12634"/>
    <n v="43"/>
    <n v="964"/>
    <n v="2.5"/>
    <n v="2.5"/>
    <n v="14.880952380952381"/>
    <m/>
    <n v="1.5436672594348944E-2"/>
    <m/>
  </r>
  <r>
    <x v="5"/>
    <s v="21127-1"/>
    <s v="1898/2"/>
    <s v="Tarro 200ml Quadrat estret (Tapa Rodona)"/>
    <n v="0"/>
    <n v="220.84"/>
    <x v="1"/>
    <m/>
    <n v="13721"/>
    <n v="13951"/>
    <n v="14137"/>
    <n v="41"/>
    <n v="416"/>
    <n v="3"/>
    <n v="3"/>
    <n v="13.584495562398116"/>
    <m/>
    <n v="3.2655037409610857E-2"/>
    <m/>
  </r>
  <r>
    <x v="5"/>
    <s v="21125-3"/>
    <n v="1786"/>
    <s v="Tapa borghesse 50 ml"/>
    <s v="#7 (50 ml)"/>
    <n v="8.39"/>
    <x v="2"/>
    <m/>
    <n v="0"/>
    <n v="1372"/>
    <n v="3880"/>
    <n v="20"/>
    <n v="3880"/>
    <n v="5"/>
    <n v="5"/>
    <n v="595.94755661501779"/>
    <m/>
    <n v="0.1535947310863448"/>
    <m/>
  </r>
  <r>
    <x v="5"/>
    <s v="21101-1"/>
    <s v="1932/0/1"/>
    <s v="Tarro 15 ml. Tinter Quadrat"/>
    <s v="T124"/>
    <n v="69.75"/>
    <x v="4"/>
    <m/>
    <n v="11168"/>
    <n v="11504"/>
    <n v="11504"/>
    <n v="38"/>
    <n v="336"/>
    <n v="10"/>
    <n v="10"/>
    <n v="143.36917562724014"/>
    <m/>
    <n v="0.42669397508107182"/>
    <m/>
  </r>
  <r>
    <x v="6"/>
    <s v="21103-1"/>
    <n v="1945"/>
    <s v="Tarro 400 ml"/>
    <s v="T113"/>
    <n v="208.4"/>
    <x v="0"/>
    <m/>
    <n v="0"/>
    <n v="0"/>
    <n v="168"/>
    <n v="7"/>
    <n v="168"/>
    <n v="35"/>
    <n v="35"/>
    <n v="167.94625719769672"/>
    <m/>
    <n v="0.99968010236724236"/>
    <s v="Purga inyectora prueba fume."/>
  </r>
  <r>
    <x v="6"/>
    <s v="21116-1"/>
    <s v="1708/1/0"/>
    <s v="Tarro 150 ml"/>
    <s v="T057"/>
    <n v="168"/>
    <x v="0"/>
    <m/>
    <n v="12968"/>
    <n v="13468"/>
    <n v="14020"/>
    <n v="43"/>
    <n v="1052"/>
    <n v="2.5"/>
    <n v="2.5"/>
    <n v="14.880952380952381"/>
    <m/>
    <n v="1.4145391997103024E-2"/>
    <m/>
  </r>
  <r>
    <x v="6"/>
    <s v="21128-1"/>
    <n v="1790"/>
    <s v="Tarro 100ml"/>
    <s v="T029"/>
    <n v="151"/>
    <x v="1"/>
    <m/>
    <n v="1138"/>
    <n v="1322"/>
    <n v="1550"/>
    <n v="51"/>
    <n v="412"/>
    <n v="0.3"/>
    <n v="0.3"/>
    <n v="1.9867549668874172"/>
    <m/>
    <n v="4.8222207934160615E-3"/>
    <s v="Falta salida gases molde"/>
  </r>
  <r>
    <x v="6"/>
    <s v="21100-3"/>
    <n v="1879"/>
    <s v="Tapa tarro rectagular 50 ml"/>
    <s v="#23 (50 ml)"/>
    <n v="8.6"/>
    <x v="4"/>
    <m/>
    <n v="0"/>
    <n v="0"/>
    <n v="581"/>
    <n v="20"/>
    <n v="581"/>
    <n v="5"/>
    <n v="5"/>
    <n v="581.39534883720933"/>
    <m/>
    <n v="1.0006804627146459"/>
    <s v="Purga material inicio producción"/>
  </r>
  <r>
    <x v="6"/>
    <s v="21135-4"/>
    <n v="1880"/>
    <s v="Int. tapa tarro rectangular 50ml"/>
    <s v=""/>
    <n v="22.33"/>
    <x v="5"/>
    <m/>
    <n v="3870"/>
    <n v="6654"/>
    <n v="9598"/>
    <n v="19"/>
    <n v="5728"/>
    <n v="0.1"/>
    <n v="0.1"/>
    <n v="4.4782803403493059"/>
    <m/>
    <n v="7.8182268511684807E-4"/>
    <m/>
  </r>
  <r>
    <x v="6"/>
    <s v="21120-5"/>
    <n v="1825"/>
    <s v="OBTURADOR 200 A/ LLENG."/>
    <s v=""/>
    <n v="2.73"/>
    <x v="5"/>
    <m/>
    <n v="11102"/>
    <n v="12866"/>
    <n v="15816"/>
    <n v="48"/>
    <n v="4714"/>
    <n v="0.1"/>
    <n v="0.1"/>
    <n v="36.630036630036628"/>
    <m/>
    <n v="7.7704787081112918E-3"/>
    <m/>
  </r>
  <r>
    <x v="6"/>
    <n v="20135"/>
    <n v="1997"/>
    <e v="#N/A"/>
    <e v="#N/A"/>
    <n v="2.65"/>
    <x v="5"/>
    <m/>
    <n v="725481"/>
    <n v="729873"/>
    <n v="734403"/>
    <n v="9"/>
    <n v="8922"/>
    <n v="0.01"/>
    <n v="0.01"/>
    <n v="3.7735849056603774"/>
    <m/>
    <n v="4.2295280269674706E-4"/>
    <m/>
  </r>
  <r>
    <x v="7"/>
    <s v="21116-1"/>
    <s v="1708/1/0"/>
    <s v="Tarro 150 ml"/>
    <s v="T057"/>
    <n v="168"/>
    <x v="0"/>
    <m/>
    <n v="14624"/>
    <n v="15098"/>
    <n v="15648"/>
    <n v="43"/>
    <n v="1024"/>
    <n v="8.5"/>
    <n v="8.5"/>
    <n v="50.595238095238095"/>
    <m/>
    <n v="4.9409412202380952E-2"/>
    <m/>
  </r>
  <r>
    <x v="7"/>
    <s v="21127-1"/>
    <s v="1898/2"/>
    <s v="Tarro 200ml Quadrat estret (Tapa Rodona)"/>
    <n v="0"/>
    <n v="220.84"/>
    <x v="1"/>
    <m/>
    <n v="15045"/>
    <n v="15248"/>
    <n v="15486"/>
    <n v="41"/>
    <n v="441"/>
    <n v="3"/>
    <n v="3"/>
    <n v="13.584495562398116"/>
    <m/>
    <n v="3.0803844812694142E-2"/>
    <m/>
  </r>
  <r>
    <x v="7"/>
    <s v="21128-1"/>
    <n v="1790"/>
    <s v="Tarro 100ml"/>
    <s v="T029"/>
    <n v="151"/>
    <x v="1"/>
    <m/>
    <n v="1758"/>
    <n v="1944"/>
    <n v="2127"/>
    <n v="51"/>
    <n v="369"/>
    <n v="0.3"/>
    <n v="0.3"/>
    <n v="1.9867549668874172"/>
    <m/>
    <n v="5.3841598018629193E-3"/>
    <s v="Falta salida de gases molde"/>
  </r>
  <r>
    <x v="7"/>
    <s v="21136-3"/>
    <s v="1860/0/1"/>
    <s v="Tapa 50 ml mar-mar prima"/>
    <s v="#24"/>
    <n v="20.86"/>
    <x v="0"/>
    <m/>
    <n v="0"/>
    <n v="650"/>
    <n v="1548"/>
    <n v="45"/>
    <n v="1548"/>
    <n v="10"/>
    <n v="10"/>
    <n v="479.38638542665387"/>
    <m/>
    <n v="0.3096811275365981"/>
    <s v="Problema camara molde (requemadas)"/>
  </r>
  <r>
    <x v="7"/>
    <s v="21135-4"/>
    <n v="1880"/>
    <s v="Int. tapa tarro rectangular 50ml"/>
    <s v=""/>
    <n v="22.33"/>
    <x v="5"/>
    <m/>
    <n v="12644"/>
    <n v="15326"/>
    <n v="18286"/>
    <n v="19"/>
    <n v="5642"/>
    <n v="0.1"/>
    <n v="0.1"/>
    <n v="4.4782803403493059"/>
    <m/>
    <n v="7.9373986890274827E-4"/>
    <m/>
  </r>
  <r>
    <x v="7"/>
    <s v="21102-2"/>
    <n v="1884"/>
    <s v="Cubilet 200ml bola "/>
    <s v=""/>
    <n v="20.09"/>
    <x v="5"/>
    <m/>
    <n v="1310"/>
    <n v="3126"/>
    <n v="5102"/>
    <n v="24"/>
    <n v="3792"/>
    <n v="0.1"/>
    <n v="0.1"/>
    <n v="4.9776007964161275"/>
    <m/>
    <n v="1.3126584378734514E-3"/>
    <m/>
  </r>
  <r>
    <x v="7"/>
    <s v="21120-5"/>
    <n v="1825"/>
    <s v="OBTURADOR 200 A/ LLENG."/>
    <s v=""/>
    <n v="2.73"/>
    <x v="5"/>
    <m/>
    <n v="19122"/>
    <n v="22140"/>
    <n v="25006"/>
    <n v="48"/>
    <n v="5884"/>
    <n v="0.1"/>
    <n v="0.1"/>
    <n v="36.630036630036628"/>
    <m/>
    <n v="6.2253631254311059E-3"/>
    <m/>
  </r>
  <r>
    <x v="7"/>
    <n v="20135"/>
    <n v="1997"/>
    <e v="#N/A"/>
    <e v="#N/A"/>
    <n v="2.65"/>
    <x v="5"/>
    <m/>
    <n v="739389"/>
    <n v="743331"/>
    <n v="747681"/>
    <n v="9"/>
    <n v="8292"/>
    <n v="0.01"/>
    <n v="0.01"/>
    <n v="3.7735849056603774"/>
    <m/>
    <n v="4.5508742229382265E-4"/>
    <m/>
  </r>
  <r>
    <x v="8"/>
    <s v="21116-1"/>
    <s v="1708/1/0"/>
    <s v="Tarro 150 ml"/>
    <s v="T057"/>
    <n v="168"/>
    <x v="0"/>
    <m/>
    <n v="16244"/>
    <n v="16720"/>
    <n v="17280"/>
    <n v="43"/>
    <n v="1036"/>
    <n v="2.5"/>
    <n v="2.5"/>
    <n v="14.880952380952381"/>
    <m/>
    <n v="1.4363853649567935E-2"/>
    <m/>
  </r>
  <r>
    <x v="8"/>
    <s v="21128-1"/>
    <n v="1790"/>
    <s v="Tarro 100ml"/>
    <s v="T029"/>
    <n v="151"/>
    <x v="1"/>
    <m/>
    <n v="2127"/>
    <n v="2550"/>
    <n v="2783"/>
    <n v="51"/>
    <n v="656"/>
    <n v="0.2"/>
    <n v="0.2"/>
    <n v="1.3245033112582782"/>
    <m/>
    <n v="2.0190599256985947E-3"/>
    <m/>
  </r>
  <r>
    <x v="8"/>
    <s v="21127-1"/>
    <s v="1898/2"/>
    <s v="Tarro 200ml Quadrat estret (Tapa Rodona)"/>
    <n v="0"/>
    <n v="220.84"/>
    <x v="1"/>
    <m/>
    <n v="15473"/>
    <n v="15950"/>
    <n v="16192"/>
    <n v="41"/>
    <n v="719"/>
    <n v="10"/>
    <n v="10"/>
    <n v="45.28165187466039"/>
    <m/>
    <n v="6.2978653511349639E-2"/>
    <m/>
  </r>
  <r>
    <x v="8"/>
    <s v="21112-3"/>
    <s v="1540/0/1"/>
    <s v="Tapa 7 ml gruixuda"/>
    <s v="#6(7 ml)"/>
    <n v="3.3"/>
    <x v="2"/>
    <m/>
    <n v="4944"/>
    <n v="7860"/>
    <n v="7860"/>
    <n v="47"/>
    <n v="2916"/>
    <n v="9.5"/>
    <n v="9.5"/>
    <n v="2878.787878787879"/>
    <m/>
    <n v="0.98723864155962926"/>
    <s v="Purga inyectora incluida. Piezas fabricadas en blanco, molde NOK para ABS"/>
  </r>
  <r>
    <x v="8"/>
    <s v="21135-1"/>
    <s v="1877/0/1"/>
    <s v="Tarro 50ml Tinter Quadrat"/>
    <s v="T116"/>
    <n v="121.5"/>
    <x v="4"/>
    <m/>
    <n v="0"/>
    <n v="422"/>
    <n v="862"/>
    <n v="30"/>
    <n v="862"/>
    <n v="20"/>
    <n v="20"/>
    <n v="164.6090534979424"/>
    <m/>
    <n v="0.19096177899993316"/>
    <s v="Inicio producción"/>
  </r>
  <r>
    <x v="8"/>
    <s v="21119-1"/>
    <n v="1597"/>
    <e v="#N/A"/>
    <e v="#N/A"/>
    <n v="65"/>
    <x v="5"/>
    <m/>
    <n v="0"/>
    <m/>
    <n v="100"/>
    <n v="31"/>
    <n v="100"/>
    <n v="0.1"/>
    <n v="0.1"/>
    <n v="1.5384615384615385"/>
    <m/>
    <n v="1.5384615384615385E-2"/>
    <m/>
  </r>
  <r>
    <x v="8"/>
    <s v="21135-4"/>
    <n v="1880"/>
    <s v="Int. tapa tarro rectangular 50ml"/>
    <s v=""/>
    <n v="22.33"/>
    <x v="5"/>
    <m/>
    <n v="21224"/>
    <n v="21434"/>
    <n v="21434"/>
    <n v="19"/>
    <n v="210"/>
    <n v="0.01"/>
    <n v="0.01"/>
    <n v="0.4478280340349306"/>
    <m/>
    <n v="2.1325144477853837E-3"/>
    <m/>
  </r>
  <r>
    <x v="8"/>
    <s v="21102-2"/>
    <n v="1884"/>
    <s v="Cubilet 200ml bola "/>
    <s v=""/>
    <n v="20.09"/>
    <x v="5"/>
    <m/>
    <n v="0"/>
    <n v="0"/>
    <n v="5922"/>
    <n v="22"/>
    <n v="5922"/>
    <n v="0.1"/>
    <n v="0.1"/>
    <n v="4.9776007964161275"/>
    <m/>
    <n v="8.4052698352180477E-4"/>
    <m/>
  </r>
  <r>
    <x v="8"/>
    <s v="21120-5"/>
    <n v="1825"/>
    <s v="OBTURADOR 200 A/ LLENG."/>
    <s v=""/>
    <n v="2.73"/>
    <x v="5"/>
    <m/>
    <n v="28222"/>
    <n v="31180"/>
    <n v="34336"/>
    <n v="48"/>
    <n v="6114"/>
    <n v="0.01"/>
    <n v="0.01"/>
    <n v="3.6630036630036629"/>
    <m/>
    <n v="5.9911738027537827E-4"/>
    <m/>
  </r>
  <r>
    <x v="8"/>
    <n v="20135"/>
    <n v="1997"/>
    <e v="#N/A"/>
    <e v="#N/A"/>
    <n v="2.65"/>
    <x v="5"/>
    <m/>
    <n v="752583"/>
    <m/>
    <n v="756399"/>
    <n v="9"/>
    <n v="3816"/>
    <n v="0.01"/>
    <n v="0.01"/>
    <n v="3.7735849056603774"/>
    <m/>
    <n v="9.8888493334915555E-4"/>
    <m/>
  </r>
  <r>
    <x v="8"/>
    <s v="11027-1"/>
    <s v="1817/0/1"/>
    <s v="Tapeta difusor 30/50ml"/>
    <s v=""/>
    <n v="2.95"/>
    <x v="1"/>
    <m/>
    <n v="87"/>
    <n v="823"/>
    <n v="1342"/>
    <n v="9"/>
    <n v="1255"/>
    <n v="0.01"/>
    <n v="0.01"/>
    <n v="3.3898305084745761"/>
    <m/>
    <n v="2.7010601661152001E-3"/>
    <m/>
  </r>
  <r>
    <x v="9"/>
    <s v="21135-1"/>
    <s v="1877/0/1"/>
    <s v="Tarro 50ml Tinter Quadrat"/>
    <s v="T116"/>
    <n v="121.5"/>
    <x v="4"/>
    <m/>
    <n v="1264"/>
    <n v="1526"/>
    <n v="1956"/>
    <n v="30"/>
    <n v="692"/>
    <n v="10"/>
    <n v="10"/>
    <n v="82.304526748971199"/>
    <m/>
    <n v="0.11893717738290635"/>
    <s v="Piezas rechazadas por calidad, marca interior"/>
  </r>
  <r>
    <x v="9"/>
    <s v="21116-1"/>
    <s v="1708/1/0"/>
    <s v="Tarro 150 ml"/>
    <s v="T057"/>
    <n v="168"/>
    <x v="0"/>
    <m/>
    <n v="17832"/>
    <n v="18352"/>
    <n v="18914"/>
    <n v="43"/>
    <n v="1082"/>
    <n v="2.5"/>
    <n v="2.5"/>
    <n v="14.880952380952381"/>
    <m/>
    <n v="1.3753190740251739E-2"/>
    <m/>
  </r>
  <r>
    <x v="9"/>
    <s v="21136-1"/>
    <n v="1861"/>
    <s v="Tarro 50ml Standard 8 unitats"/>
    <s v="T022"/>
    <n v="92"/>
    <x v="0"/>
    <m/>
    <n v="0"/>
    <n v="1792"/>
    <n v="3912"/>
    <n v="40"/>
    <n v="3912"/>
    <n v="55"/>
    <n v="55"/>
    <n v="597.82608695652175"/>
    <m/>
    <n v="0.15281852938561394"/>
    <s v="Problemas molde, revision càmara caliente"/>
  </r>
  <r>
    <x v="9"/>
    <s v="21115-3"/>
    <n v="1897"/>
    <s v="Tapa 50 cc mar mar (6 unit)"/>
    <s v="#6(50 ml)"/>
    <n v="32"/>
    <x v="4"/>
    <m/>
    <n v="582"/>
    <n v="2580"/>
    <n v="4770"/>
    <n v="52"/>
    <n v="4188"/>
    <n v="120"/>
    <n v="120"/>
    <n v="3750"/>
    <m/>
    <n v="0.89541547277936961"/>
    <s v="Piezas inicio produccion"/>
  </r>
  <r>
    <x v="9"/>
    <s v="21120-5"/>
    <n v="1825"/>
    <s v="OBTURADOR 200 A/ LLENG."/>
    <s v=""/>
    <n v="2.73"/>
    <x v="5"/>
    <m/>
    <n v="37496"/>
    <n v="38666"/>
    <n v="38666"/>
    <n v="48"/>
    <n v="1170"/>
    <n v="0.01"/>
    <n v="0.01"/>
    <n v="3.6630036630036629"/>
    <m/>
    <n v="3.1307723615415922E-3"/>
    <m/>
  </r>
  <r>
    <x v="9"/>
    <s v="21127-5"/>
    <n v="1825"/>
    <s v="OBTURADOR 200 A/ LLENG."/>
    <s v=""/>
    <n v="2.73"/>
    <x v="5"/>
    <m/>
    <n v="0"/>
    <n v="1508"/>
    <n v="4646"/>
    <n v="48"/>
    <n v="4646"/>
    <n v="0.01"/>
    <n v="0.01"/>
    <n v="3.6630036630036629"/>
    <m/>
    <n v="7.8842093478339714E-4"/>
    <m/>
  </r>
  <r>
    <x v="9"/>
    <s v="21131-2"/>
    <n v="1305"/>
    <s v="Funda cruz verde 400 ml"/>
    <s v=""/>
    <n v="9.01"/>
    <x v="5"/>
    <m/>
    <n v="0"/>
    <n v="1196"/>
    <n v="4860"/>
    <n v="39"/>
    <n v="4860"/>
    <n v="0.01"/>
    <n v="0.01"/>
    <n v="1.1098779134295227"/>
    <m/>
    <n v="2.283699410348812E-4"/>
    <m/>
  </r>
  <r>
    <x v="10"/>
    <s v="21116-1"/>
    <s v="1708/1/0"/>
    <s v="Tarro 150 ml"/>
    <s v="T057"/>
    <n v="168"/>
    <x v="0"/>
    <m/>
    <n v="19484"/>
    <n v="19980"/>
    <n v="20418"/>
    <n v="43"/>
    <n v="934"/>
    <n v="2.5"/>
    <n v="2.5"/>
    <n v="14.880952380952381"/>
    <m/>
    <n v="1.5932497195880493E-2"/>
    <m/>
  </r>
  <r>
    <x v="10"/>
    <s v="21136-1"/>
    <n v="1861"/>
    <s v="Tarro 50ml Standard 8 unitats"/>
    <s v="T022"/>
    <n v="92"/>
    <x v="0"/>
    <m/>
    <n v="5774"/>
    <n v="7244"/>
    <n v="8133"/>
    <n v="40"/>
    <n v="2359"/>
    <n v="60"/>
    <n v="60"/>
    <n v="652.17391304347825"/>
    <m/>
    <n v="0.27646202333339476"/>
    <s v="Problemas càmara molde."/>
  </r>
  <r>
    <x v="10"/>
    <s v="21135-1"/>
    <s v="1877/0/1"/>
    <s v="Tarro 50ml Tinter Quadrat"/>
    <s v="T116"/>
    <n v="121.5"/>
    <x v="4"/>
    <m/>
    <n v="2376"/>
    <n v="2774"/>
    <n v="3118"/>
    <n v="30"/>
    <n v="742"/>
    <n v="20"/>
    <n v="20"/>
    <n v="164.6090534979424"/>
    <m/>
    <n v="0.22184508557674176"/>
    <s v="Piezas rechazadas por marchas interiores marron"/>
  </r>
  <r>
    <x v="10"/>
    <s v="21127-1"/>
    <s v="1898/2"/>
    <s v="Tarro 200ml Quadrat estret (Tapa Rodona)"/>
    <n v="0"/>
    <n v="220.84"/>
    <x v="1"/>
    <m/>
    <n v="17145"/>
    <n v="17359"/>
    <n v="17539"/>
    <n v="41"/>
    <n v="394"/>
    <n v="3"/>
    <n v="3"/>
    <n v="13.584495562398116"/>
    <m/>
    <n v="3.4478415132990145E-2"/>
    <m/>
  </r>
  <r>
    <x v="10"/>
    <s v="21128-1"/>
    <n v="1790"/>
    <s v="Tarro 100ml"/>
    <s v="T029"/>
    <n v="151"/>
    <x v="1"/>
    <m/>
    <n v="2951"/>
    <n v="3121"/>
    <n v="3281"/>
    <n v="51"/>
    <n v="330"/>
    <n v="0.2"/>
    <n v="0.2"/>
    <n v="1.3245033112582782"/>
    <m/>
    <n v="4.013646397752358E-3"/>
    <s v="Culote molde mal pulido"/>
  </r>
  <r>
    <x v="10"/>
    <s v="21115-3"/>
    <n v="1897"/>
    <s v="Tapa 50 cc mar mar (6 unit)"/>
    <s v="#6(50 ml)"/>
    <n v="32"/>
    <x v="4"/>
    <m/>
    <n v="6972"/>
    <n v="8874"/>
    <n v="10644"/>
    <n v="52"/>
    <n v="3672"/>
    <n v="5"/>
    <n v="5"/>
    <n v="156.25"/>
    <m/>
    <n v="4.2551742919389977E-2"/>
    <m/>
  </r>
  <r>
    <x v="10"/>
    <s v="21136-3"/>
    <s v="1860/0/1"/>
    <s v="Tapa 50 ml mar-mar prima"/>
    <s v="#24"/>
    <n v="20.86"/>
    <x v="0"/>
    <m/>
    <n v="1548"/>
    <n v="3652"/>
    <n v="4558"/>
    <n v="45"/>
    <n v="3010"/>
    <n v="5"/>
    <n v="5"/>
    <n v="239.69319271332694"/>
    <m/>
    <n v="7.9632289937982367E-2"/>
    <m/>
  </r>
  <r>
    <x v="10"/>
    <s v="21127-5"/>
    <n v="1825"/>
    <s v="OBTURADOR 200 A/ LLENG."/>
    <s v=""/>
    <n v="2.73"/>
    <x v="5"/>
    <m/>
    <n v="7752"/>
    <n v="10516"/>
    <n v="13046"/>
    <n v="48"/>
    <n v="5294"/>
    <n v="0.01"/>
    <n v="0.01"/>
    <n v="3.6630036630036629"/>
    <m/>
    <n v="6.9191606781330997E-4"/>
    <m/>
  </r>
  <r>
    <x v="10"/>
    <s v="21131-3"/>
    <n v="1305"/>
    <s v="Funda cruz verde 400 ml"/>
    <s v=""/>
    <n v="9.01"/>
    <x v="5"/>
    <m/>
    <n v="8592"/>
    <m/>
    <n v="8900"/>
    <n v="39"/>
    <n v="308"/>
    <n v="0.01"/>
    <n v="0.01"/>
    <n v="1.1098779134295227"/>
    <m/>
    <n v="3.6034997189270217E-3"/>
    <m/>
  </r>
  <r>
    <x v="11"/>
    <s v="21136-1"/>
    <n v="1861"/>
    <s v="Tarro 50ml Standard 8 unitats"/>
    <s v="T022"/>
    <n v="92"/>
    <x v="0"/>
    <m/>
    <n v="9183"/>
    <n v="10828"/>
    <n v="12669"/>
    <n v="40"/>
    <n v="3486"/>
    <n v="85"/>
    <n v="85"/>
    <n v="923.91304347826087"/>
    <m/>
    <n v="0.26503529646536456"/>
    <s v="Problemas molde cámara."/>
  </r>
  <r>
    <x v="11"/>
    <s v="21128-1"/>
    <n v="1790"/>
    <s v="Tarro 100ml"/>
    <s v="T029"/>
    <n v="151"/>
    <x v="1"/>
    <m/>
    <n v="3403"/>
    <n v="3598"/>
    <n v="3817"/>
    <n v="51"/>
    <n v="414"/>
    <n v="0.2"/>
    <n v="0.2"/>
    <n v="1.3245033112582782"/>
    <m/>
    <n v="3.199283360527242E-3"/>
    <m/>
  </r>
  <r>
    <x v="11"/>
    <s v="2116-1"/>
    <s v="1708/1/0"/>
    <s v="Tarro 150 ml"/>
    <s v="T057"/>
    <n v="168"/>
    <x v="0"/>
    <m/>
    <n v="20830"/>
    <n v="21322"/>
    <n v="21872"/>
    <n v="43"/>
    <n v="1042"/>
    <n v="2.5"/>
    <n v="2.5"/>
    <n v="14.880952380952381"/>
    <m/>
    <n v="1.4281144319532035E-2"/>
    <m/>
  </r>
  <r>
    <x v="11"/>
    <s v="21127/1"/>
    <s v="1898/2"/>
    <s v="Tarro 200ml Quadrat estret (Tapa Rodona)"/>
    <n v="0"/>
    <n v="220.84"/>
    <x v="1"/>
    <m/>
    <n v="17739"/>
    <n v="17953"/>
    <n v="18190"/>
    <n v="41"/>
    <n v="451"/>
    <n v="3"/>
    <n v="3"/>
    <n v="13.584495562398116"/>
    <m/>
    <n v="3.0120832732590058E-2"/>
    <m/>
  </r>
  <r>
    <x v="11"/>
    <s v="21136-3"/>
    <s v="1860/0/1"/>
    <s v="Tapa 50 ml mar-mar prima"/>
    <s v="#24"/>
    <n v="20.86"/>
    <x v="0"/>
    <m/>
    <n v="7296"/>
    <n v="9364"/>
    <n v="11688"/>
    <n v="45"/>
    <n v="4392"/>
    <n v="4.5"/>
    <n v="4.5"/>
    <n v="215.72387344199424"/>
    <m/>
    <n v="4.9117457523222732E-2"/>
    <m/>
  </r>
  <r>
    <x v="11"/>
    <s v="21115-3"/>
    <n v="1897"/>
    <s v="Tapa 50 cc mar mar (6 unit)"/>
    <s v="#6(50 ml)"/>
    <n v="32"/>
    <x v="4"/>
    <m/>
    <n v="12252"/>
    <n v="14124"/>
    <n v="16188"/>
    <n v="52"/>
    <n v="3936"/>
    <n v="5"/>
    <n v="5"/>
    <n v="156.25"/>
    <m/>
    <n v="3.9697662601626015E-2"/>
    <m/>
  </r>
  <r>
    <x v="11"/>
    <s v="21135-1"/>
    <s v="1877/0/1"/>
    <s v="Tarro 50ml Tinter Quadrat"/>
    <s v="T116"/>
    <n v="121.5"/>
    <x v="4"/>
    <m/>
    <n v="3118"/>
    <n v="3896"/>
    <n v="4338"/>
    <n v="30"/>
    <n v="1220"/>
    <n v="5"/>
    <n v="5"/>
    <n v="41.152263374485599"/>
    <m/>
    <n v="3.3731363421709508E-2"/>
    <m/>
  </r>
  <r>
    <x v="11"/>
    <s v="21115-5"/>
    <s v="1933/0/1"/>
    <s v="Obturador 50 ml"/>
    <s v=""/>
    <n v="1.88"/>
    <x v="5"/>
    <m/>
    <n v="42834"/>
    <n v="0"/>
    <n v="43950"/>
    <n v="46"/>
    <n v="1116"/>
    <n v="0"/>
    <n v="0"/>
    <n v="0"/>
    <m/>
    <n v="0"/>
    <s v="Fin pedido"/>
  </r>
  <r>
    <x v="11"/>
    <s v="21121-5"/>
    <s v="1933/0/1"/>
    <s v="Obturador 50 ml"/>
    <s v=""/>
    <n v="1.88"/>
    <x v="5"/>
    <m/>
    <m/>
    <n v="1396"/>
    <n v="4720"/>
    <n v="46"/>
    <n v="4720"/>
    <n v="0"/>
    <n v="0"/>
    <n v="0"/>
    <m/>
    <n v="0"/>
    <s v="Inicio pedido"/>
  </r>
  <r>
    <x v="11"/>
    <s v="21135-2"/>
    <n v="1607"/>
    <s v="Cubilet 50 recte"/>
    <s v=""/>
    <n v="8.5399999999999991"/>
    <x v="5"/>
    <m/>
    <n v="20890"/>
    <n v="22620"/>
    <n v="24608"/>
    <n v="17"/>
    <n v="3718"/>
    <n v="0.1"/>
    <n v="0.1"/>
    <n v="11.7096018735363"/>
    <m/>
    <n v="3.1494356841141207E-3"/>
    <m/>
  </r>
  <r>
    <x v="11"/>
    <s v="21127-5"/>
    <n v="1825"/>
    <s v="OBTURADOR 200 A/ LLENG."/>
    <s v=""/>
    <n v="2.73"/>
    <x v="5"/>
    <m/>
    <n v="16330"/>
    <n v="19274"/>
    <n v="22338"/>
    <n v="48"/>
    <n v="6008"/>
    <n v="0.01"/>
    <n v="0.01"/>
    <n v="3.6630036630036629"/>
    <m/>
    <n v="6.0968769357584273E-4"/>
    <m/>
  </r>
  <r>
    <x v="12"/>
    <s v="21136-1"/>
    <n v="1861"/>
    <s v="Tarro 50ml Standard 8 unitats"/>
    <s v="T022"/>
    <n v="92"/>
    <x v="0"/>
    <m/>
    <n v="14552"/>
    <n v="16302"/>
    <n v="18108"/>
    <n v="40"/>
    <n v="3556"/>
    <n v="95"/>
    <n v="95"/>
    <n v="1032.608695652174"/>
    <m/>
    <n v="0.29038489753998142"/>
    <s v="Muchos problemas de marcas en las piezas, cámara caliente de PETG."/>
  </r>
  <r>
    <x v="12"/>
    <s v="21128-1"/>
    <n v="1790"/>
    <s v="Tarro 100ml"/>
    <s v="T029"/>
    <n v="151"/>
    <x v="1"/>
    <m/>
    <n v="4033"/>
    <n v="4231"/>
    <n v="4456"/>
    <n v="51"/>
    <n v="423"/>
    <n v="0.2"/>
    <n v="0.2"/>
    <n v="1.3245033112582782"/>
    <m/>
    <n v="3.1312135017926199E-3"/>
    <m/>
  </r>
  <r>
    <x v="12"/>
    <s v="21116-1"/>
    <s v="1708/1/0"/>
    <s v="Tarro 150 ml"/>
    <s v="T057"/>
    <n v="168"/>
    <x v="0"/>
    <m/>
    <n v="22436"/>
    <n v="22950"/>
    <n v="23506"/>
    <n v="43"/>
    <n v="1070"/>
    <n v="15"/>
    <n v="15"/>
    <n v="89.285714285714292"/>
    <m/>
    <n v="8.3444592790387184E-2"/>
    <s v="Palet caido por bandejas mezcladas en palet."/>
  </r>
  <r>
    <x v="12"/>
    <s v="21115-3"/>
    <n v="1897"/>
    <s v="Tapa 50 cc mar mar (6 unit)"/>
    <s v="#6(50 ml)"/>
    <n v="32"/>
    <x v="4"/>
    <m/>
    <n v="18282"/>
    <n v="20286"/>
    <n v="22428"/>
    <n v="52"/>
    <n v="4146"/>
    <n v="25"/>
    <n v="25"/>
    <n v="781.25"/>
    <m/>
    <n v="0.18843463579353595"/>
    <s v="Piezas con marcas cintas."/>
  </r>
  <r>
    <x v="12"/>
    <s v="21135-1"/>
    <s v="1877/0/1"/>
    <s v="Tarro 50ml Tinter Quadrat"/>
    <s v="T116"/>
    <n v="121.5"/>
    <x v="4"/>
    <m/>
    <n v="4338"/>
    <n v="5224"/>
    <n v="5690"/>
    <n v="30"/>
    <n v="1352"/>
    <n v="5"/>
    <n v="5"/>
    <n v="41.152263374485599"/>
    <m/>
    <n v="3.0438064626098816E-2"/>
    <m/>
  </r>
  <r>
    <x v="12"/>
    <s v="21136-3"/>
    <s v="1860/0/1"/>
    <s v="Tapa 50 ml mar-mar prima"/>
    <s v="#24"/>
    <n v="20.86"/>
    <x v="0"/>
    <m/>
    <n v="14048"/>
    <n v="16248"/>
    <n v="18284"/>
    <n v="45"/>
    <n v="4236"/>
    <n v="4"/>
    <n v="4"/>
    <n v="191.75455417066155"/>
    <m/>
    <n v="4.5267836206482899E-2"/>
    <m/>
  </r>
  <r>
    <x v="12"/>
    <s v="21121-5"/>
    <s v="1933/0/1"/>
    <s v="Obturador 50 ml"/>
    <s v=""/>
    <n v="1.88"/>
    <x v="5"/>
    <m/>
    <n v="8050"/>
    <n v="11452"/>
    <n v="14978"/>
    <n v="46"/>
    <n v="6928"/>
    <n v="0"/>
    <n v="0"/>
    <n v="0"/>
    <m/>
    <n v="0"/>
    <m/>
  </r>
  <r>
    <x v="12"/>
    <s v="21135-2"/>
    <n v="1607"/>
    <s v="Cubilet 50 recte"/>
    <s v=""/>
    <n v="8.5399999999999991"/>
    <x v="5"/>
    <m/>
    <n v="24608"/>
    <m/>
    <n v="26086"/>
    <n v="17"/>
    <n v="1478"/>
    <n v="0.01"/>
    <n v="0.01"/>
    <n v="1.1709601873536302"/>
    <m/>
    <n v="7.922599373163939E-4"/>
    <m/>
  </r>
  <r>
    <x v="12"/>
    <s v="21127/1"/>
    <s v="1898/2"/>
    <s v="Tarro 200ml Quadrat estret (Tapa Rodona)"/>
    <n v="0"/>
    <n v="220.84"/>
    <x v="1"/>
    <m/>
    <n v="18434"/>
    <n v="18656"/>
    <n v="18896"/>
    <n v="41"/>
    <n v="462"/>
    <n v="0"/>
    <n v="0"/>
    <n v="0"/>
    <m/>
    <n v="0"/>
    <m/>
  </r>
  <r>
    <x v="12"/>
    <s v="21127-5"/>
    <n v="1825"/>
    <s v="OBTURADOR 200 A/ LLENG."/>
    <s v=""/>
    <n v="2.73"/>
    <x v="5"/>
    <m/>
    <n v="25528"/>
    <n v="28702"/>
    <n v="32002"/>
    <n v="48"/>
    <n v="6474"/>
    <n v="0.01"/>
    <n v="0.01"/>
    <n v="3.6630036630036629"/>
    <m/>
    <n v="5.6580223401354077E-4"/>
    <m/>
  </r>
  <r>
    <x v="12"/>
    <s v="11029-1"/>
    <s v="1440/0/6"/>
    <s v="Cubilet de 50ml Refill"/>
    <n v="0"/>
    <n v="1.5"/>
    <x v="5"/>
    <m/>
    <n v="0"/>
    <n v="0"/>
    <n v="1000"/>
    <n v="49"/>
    <n v="1000"/>
    <n v="0.01"/>
    <n v="0.01"/>
    <n v="6.666666666666667"/>
    <m/>
    <n v="6.6666666666666671E-3"/>
    <m/>
  </r>
  <r>
    <x v="13"/>
    <s v="21135-1"/>
    <s v="1877/0/1"/>
    <s v="Tarro 50ml Tinter Quadrat"/>
    <s v="T116"/>
    <n v="121.5"/>
    <x v="4"/>
    <m/>
    <n v="5690"/>
    <n v="0"/>
    <n v="6150"/>
    <n v="30"/>
    <n v="460"/>
    <n v="0"/>
    <n v="0"/>
    <n v="0"/>
    <m/>
    <n v="0"/>
    <s v="Fin produccion"/>
  </r>
  <r>
    <x v="13"/>
    <s v="11102-1"/>
    <n v="1539"/>
    <e v="#N/A"/>
    <e v="#N/A"/>
    <n v="0.57999999999999996"/>
    <x v="5"/>
    <m/>
    <n v="0"/>
    <n v="0"/>
    <n v="110"/>
    <n v="49"/>
    <n v="110"/>
    <n v="1E-3"/>
    <n v="1E-3"/>
    <n v="1.7241379310344829"/>
    <m/>
    <n v="1.5673981191222573E-2"/>
    <m/>
  </r>
  <r>
    <x v="13"/>
    <s v="21136-1"/>
    <n v="1861"/>
    <s v="Tarro 50ml Standard 8 unitats"/>
    <s v="T022"/>
    <n v="92"/>
    <x v="0"/>
    <m/>
    <n v="19935"/>
    <n v="21692"/>
    <n v="23526"/>
    <n v="40"/>
    <n v="3591"/>
    <n v="160"/>
    <n v="160"/>
    <n v="1739.1304347826087"/>
    <m/>
    <n v="0.48430254379911131"/>
    <s v="Se para la inyectora por exceso de scrap, se realizaran pruebas en otra inyectora."/>
  </r>
  <r>
    <x v="12"/>
    <s v="21136-1"/>
    <n v="1861"/>
    <s v="Tarro 50ml Standard 8 unitats"/>
    <s v="T022"/>
    <n v="92"/>
    <x v="0"/>
    <m/>
    <m/>
    <m/>
    <m/>
    <n v="40"/>
    <m/>
    <m/>
    <n v="0"/>
    <n v="0"/>
    <n v="160"/>
    <s v="n/a"/>
    <s v="Piezas en cuarentena, revisadas."/>
  </r>
  <r>
    <x v="13"/>
    <s v="21136-1"/>
    <n v="1861"/>
    <s v="Tarro 50ml Standard 8 unitats"/>
    <s v="T022"/>
    <n v="92"/>
    <x v="0"/>
    <m/>
    <m/>
    <m/>
    <m/>
    <n v="40"/>
    <n v="0"/>
    <m/>
    <n v="0"/>
    <n v="0"/>
    <n v="140"/>
    <s v="n/a"/>
    <s v="Piezas en cuarentena, revisadas."/>
  </r>
  <r>
    <x v="14"/>
    <s v="21136-1"/>
    <n v="1861"/>
    <s v="Tarro 50ml Standard 8 unitats"/>
    <s v="T022"/>
    <n v="92"/>
    <x v="0"/>
    <m/>
    <m/>
    <m/>
    <m/>
    <n v="40"/>
    <n v="0"/>
    <m/>
    <n v="0"/>
    <n v="0"/>
    <n v="5"/>
    <s v="n/a"/>
    <s v="Piezas en cuarentena revisadas."/>
  </r>
  <r>
    <x v="12"/>
    <s v="21106-1"/>
    <s v="1781/0/1"/>
    <s v="Tapa 100 ml prima "/>
    <s v="#26(100 ml)"/>
    <n v="30.3"/>
    <x v="0"/>
    <m/>
    <m/>
    <m/>
    <m/>
    <n v="38"/>
    <n v="0"/>
    <m/>
    <n v="0"/>
    <n v="0"/>
    <n v="15"/>
    <s v="n/a"/>
    <s v="Pruebas molde de Cornella, problema falta de pulido."/>
  </r>
  <r>
    <x v="13"/>
    <s v="21135-1"/>
    <s v="1877/0/1"/>
    <s v="Tarro 50ml Tinter Quadrat"/>
    <s v="T116"/>
    <n v="121.5"/>
    <x v="4"/>
    <m/>
    <n v="6150"/>
    <n v="6582"/>
    <n v="7040"/>
    <n v="30"/>
    <n v="890"/>
    <n v="35"/>
    <n v="35"/>
    <n v="288.06584362139915"/>
    <m/>
    <n v="0.32366948721505523"/>
    <s v="Inicio producción"/>
  </r>
  <r>
    <x v="14"/>
    <s v="21135-1"/>
    <s v="1877/0/1"/>
    <s v="Tarro 50ml Tinter Quadrat"/>
    <s v="T116"/>
    <n v="121.5"/>
    <x v="4"/>
    <m/>
    <n v="7040"/>
    <n v="7910"/>
    <n v="8274"/>
    <n v="30"/>
    <n v="1234"/>
    <n v="5"/>
    <n v="5"/>
    <n v="41.152263374485599"/>
    <m/>
    <n v="3.3348673723246028E-2"/>
    <m/>
  </r>
  <r>
    <x v="15"/>
    <s v="21135-1"/>
    <s v="1877/0/1"/>
    <s v="Tarro 50ml Tinter Quadrat"/>
    <s v="T116"/>
    <n v="121.5"/>
    <x v="4"/>
    <m/>
    <n v="8274"/>
    <n v="9036"/>
    <n v="9494"/>
    <n v="30"/>
    <n v="1220"/>
    <n v="5"/>
    <n v="5"/>
    <n v="41.152263374485599"/>
    <m/>
    <n v="3.3731363421709508E-2"/>
    <m/>
  </r>
  <r>
    <x v="13"/>
    <s v="21121-3"/>
    <s v="1860/0/1"/>
    <s v="Tapa 50 ml mar-mar prima"/>
    <s v="#24"/>
    <n v="20.86"/>
    <x v="0"/>
    <m/>
    <n v="0"/>
    <n v="651"/>
    <n v="2454"/>
    <n v="45"/>
    <n v="2454"/>
    <n v="2.5"/>
    <n v="2.5"/>
    <n v="119.84659635666347"/>
    <n v="40"/>
    <n v="4.8837243829121219E-2"/>
    <s v="40 kg inicio producción"/>
  </r>
  <r>
    <x v="14"/>
    <s v="21121-3"/>
    <s v="1860/0/1"/>
    <s v="Tapa 50 ml mar-mar prima"/>
    <s v="#24"/>
    <n v="20.86"/>
    <x v="0"/>
    <m/>
    <n v="2454"/>
    <n v="6977"/>
    <n v="8817"/>
    <n v="45"/>
    <n v="6363"/>
    <n v="0"/>
    <n v="0"/>
    <n v="0"/>
    <n v="30"/>
    <n v="0"/>
    <s v="30 kg piezas quemadas cámara."/>
  </r>
  <r>
    <x v="15"/>
    <s v="21121-3"/>
    <s v="1860/0/1"/>
    <s v="Tapa 50 ml mar-mar prima"/>
    <s v="#24"/>
    <n v="20.86"/>
    <x v="0"/>
    <m/>
    <n v="8817"/>
    <n v="12885"/>
    <n v="15297"/>
    <n v="45"/>
    <n v="6480"/>
    <n v="15"/>
    <n v="15"/>
    <n v="719.07957813998087"/>
    <m/>
    <n v="0.11096907070061433"/>
    <m/>
  </r>
  <r>
    <x v="13"/>
    <s v="21116-1"/>
    <s v="1708/1/0"/>
    <s v="Tarro 150 ml"/>
    <s v="T057"/>
    <n v="160"/>
    <x v="4"/>
    <m/>
    <m/>
    <m/>
    <m/>
    <n v="43"/>
    <n v="0"/>
    <m/>
    <n v="0"/>
    <n v="0"/>
    <n v="2.5"/>
    <s v="n/a"/>
    <m/>
  </r>
  <r>
    <x v="14"/>
    <s v="21116-1"/>
    <s v="1708/1/0"/>
    <s v="Tarro 150 ml"/>
    <s v="T057"/>
    <n v="160"/>
    <x v="4"/>
    <m/>
    <m/>
    <m/>
    <m/>
    <n v="43"/>
    <n v="0"/>
    <m/>
    <n v="0"/>
    <n v="0"/>
    <n v="2.5"/>
    <s v="n/a"/>
    <m/>
  </r>
  <r>
    <x v="14"/>
    <s v="21134-1"/>
    <s v="1667/0/2"/>
    <s v="Tarro 50 ml labiomar "/>
    <s v="T079"/>
    <n v="82.7"/>
    <x v="0"/>
    <m/>
    <n v="244"/>
    <n v="1184"/>
    <n v="2016"/>
    <n v="44"/>
    <n v="1772"/>
    <m/>
    <n v="0"/>
    <n v="0"/>
    <n v="100"/>
    <n v="0"/>
    <s v="Aranque lunes"/>
  </r>
  <r>
    <x v="15"/>
    <s v="21134-1"/>
    <s v="1667/0/2"/>
    <s v="Tarro 50 ml labiomar "/>
    <s v="T079"/>
    <n v="82.7"/>
    <x v="0"/>
    <m/>
    <n v="2016"/>
    <n v="3209"/>
    <n v="4004"/>
    <n v="44"/>
    <n v="1988"/>
    <m/>
    <n v="0"/>
    <n v="0"/>
    <m/>
    <n v="0"/>
    <m/>
  </r>
  <r>
    <x v="13"/>
    <s v="21127-1"/>
    <s v="1898/2"/>
    <s v="Tarro 200ml Quadrat estret (Tapa Rodona)"/>
    <n v="0"/>
    <n v="220.84"/>
    <x v="1"/>
    <m/>
    <n v="19153"/>
    <n v="19362"/>
    <n v="19598"/>
    <n v="41"/>
    <n v="445"/>
    <n v="2.5"/>
    <n v="2.5"/>
    <n v="11.320412968665098"/>
    <m/>
    <n v="2.543913026666314E-2"/>
    <m/>
  </r>
  <r>
    <x v="14"/>
    <s v="21127-1"/>
    <s v="1898/2"/>
    <s v="Tarro 200ml Quadrat estret (Tapa Rodona)"/>
    <n v="0"/>
    <n v="220.84"/>
    <x v="1"/>
    <m/>
    <n v="19598"/>
    <n v="20063"/>
    <n v="20262"/>
    <n v="41"/>
    <n v="664"/>
    <m/>
    <n v="0"/>
    <n v="0"/>
    <m/>
    <n v="0"/>
    <m/>
  </r>
  <r>
    <x v="15"/>
    <s v="21127-1"/>
    <s v="1898/2"/>
    <s v="Tarro 200ml Quadrat estret (Tapa Rodona)"/>
    <n v="0"/>
    <n v="220.84"/>
    <x v="1"/>
    <m/>
    <n v="20262"/>
    <n v="20691"/>
    <n v="20926"/>
    <n v="41"/>
    <n v="664"/>
    <m/>
    <n v="0"/>
    <n v="0"/>
    <m/>
    <n v="0"/>
    <m/>
  </r>
  <r>
    <x v="13"/>
    <s v="21128-1"/>
    <n v="1790"/>
    <s v="Tarro 100ml"/>
    <s v="T029"/>
    <n v="151"/>
    <x v="1"/>
    <m/>
    <n v="4697"/>
    <n v="4887"/>
    <n v="5109"/>
    <n v="41"/>
    <n v="412"/>
    <n v="2.5"/>
    <n v="2.5"/>
    <n v="16.556291390728475"/>
    <m/>
    <n v="4.0185173278467171E-2"/>
    <m/>
  </r>
  <r>
    <x v="16"/>
    <s v="21128-1"/>
    <n v="1790"/>
    <s v="Tarro 100ml"/>
    <s v="T029"/>
    <n v="151"/>
    <x v="1"/>
    <m/>
    <n v="5109"/>
    <n v="5532"/>
    <n v="5723"/>
    <n v="41"/>
    <n v="614"/>
    <m/>
    <n v="0"/>
    <n v="0"/>
    <m/>
    <n v="0"/>
    <m/>
  </r>
  <r>
    <x v="15"/>
    <s v="21128-1"/>
    <n v="1790"/>
    <s v="Tarro 100ml"/>
    <s v="T029"/>
    <n v="151"/>
    <x v="1"/>
    <m/>
    <n v="5723"/>
    <n v="6113"/>
    <n v="6338"/>
    <n v="41"/>
    <n v="615"/>
    <m/>
    <n v="0"/>
    <n v="0"/>
    <m/>
    <n v="0"/>
    <m/>
  </r>
  <r>
    <x v="13"/>
    <s v="21115-3"/>
    <n v="1897"/>
    <s v="Tapa 50 cc mar mar (6 unit)"/>
    <s v="#6(50 ml)"/>
    <n v="32"/>
    <x v="4"/>
    <m/>
    <n v="24750"/>
    <n v="26580"/>
    <n v="28722"/>
    <n v="52"/>
    <n v="3972"/>
    <n v="2.5"/>
    <n v="2.5"/>
    <n v="78.125"/>
    <m/>
    <n v="1.9668932527693857E-2"/>
    <m/>
  </r>
  <r>
    <x v="14"/>
    <s v="21115-3"/>
    <n v="1897"/>
    <s v="Tapa 50 cc mar mar (6 unit)"/>
    <s v="#6(50 ml)"/>
    <n v="32"/>
    <x v="4"/>
    <m/>
    <n v="28722"/>
    <n v="32904"/>
    <n v="34608"/>
    <n v="52"/>
    <n v="5886"/>
    <m/>
    <n v="0"/>
    <n v="0"/>
    <m/>
    <n v="0"/>
    <m/>
  </r>
  <r>
    <x v="15"/>
    <s v="21115-1"/>
    <n v="1897"/>
    <s v="Tapa 50 cc mar mar (6 unit)"/>
    <s v="#6(50 ml)"/>
    <n v="32"/>
    <x v="1"/>
    <m/>
    <n v="34608"/>
    <n v="38208"/>
    <n v="40344"/>
    <n v="41"/>
    <n v="5736"/>
    <m/>
    <n v="0"/>
    <n v="0"/>
    <m/>
    <n v="0"/>
    <m/>
  </r>
  <r>
    <x v="15"/>
    <s v="21127-1"/>
    <s v="1898/2"/>
    <s v="Tarro 200ml Quadrat estret (Tapa Rodona)"/>
    <n v="0"/>
    <n v="220.84"/>
    <x v="1"/>
    <m/>
    <n v="20960"/>
    <n v="21392"/>
    <n v="21627"/>
    <n v="41"/>
    <n v="667"/>
    <n v="10"/>
    <n v="10"/>
    <n v="45.28165187466039"/>
    <m/>
    <n v="6.7888533545217983E-2"/>
    <m/>
  </r>
  <r>
    <x v="15"/>
    <s v="21115-3"/>
    <n v="1897"/>
    <s v="Tapa 50 cc mar mar (6 unit)"/>
    <s v="#6(50 ml)"/>
    <n v="32"/>
    <x v="4"/>
    <m/>
    <n v="34608"/>
    <n v="28208"/>
    <n v="40344"/>
    <n v="52"/>
    <n v="5736"/>
    <n v="20"/>
    <n v="20"/>
    <n v="625"/>
    <m/>
    <n v="0.10896094839609484"/>
    <m/>
  </r>
  <r>
    <x v="17"/>
    <s v="21134-1"/>
    <s v="1667/0/2"/>
    <s v="Tarro 50 ml labiomar "/>
    <s v="T079"/>
    <n v="82.7"/>
    <x v="0"/>
    <m/>
    <n v="4004"/>
    <n v="5582"/>
    <n v="6356"/>
    <n v="44"/>
    <n v="2352"/>
    <n v="30"/>
    <n v="30"/>
    <n v="362.7569528415961"/>
    <m/>
    <n v="0.15423339831700514"/>
    <s v="Inicio produccion"/>
  </r>
  <r>
    <x v="15"/>
    <s v="21121-4"/>
    <s v="1860/0/1"/>
    <s v="Tapa 50 ml mar-mar prima"/>
    <s v="#24"/>
    <n v="20.86"/>
    <x v="0"/>
    <m/>
    <m/>
    <m/>
    <m/>
    <n v="45"/>
    <n v="0"/>
    <m/>
    <n v="0"/>
    <n v="0"/>
    <n v="30"/>
    <s v="n/a"/>
    <s v="Inicio produccion"/>
  </r>
  <r>
    <x v="15"/>
    <s v="21128-1"/>
    <n v="1790"/>
    <s v="Tarro 100ml"/>
    <s v="T029"/>
    <n v="151"/>
    <x v="1"/>
    <m/>
    <n v="4456"/>
    <n v="5911"/>
    <n v="6338"/>
    <n v="51"/>
    <n v="1882"/>
    <n v="1.5"/>
    <n v="1.5"/>
    <n v="9.9337748344370862"/>
    <m/>
    <n v="5.2783075634628513E-3"/>
    <m/>
  </r>
  <r>
    <x v="17"/>
    <s v="21127-1"/>
    <s v="1898/2"/>
    <s v="Tarro 200ml Quadrat estret (Tapa Rodona)"/>
    <n v="0"/>
    <n v="220.84"/>
    <x v="1"/>
    <m/>
    <n v="21627"/>
    <n v="22089"/>
    <n v="22325"/>
    <n v="41"/>
    <n v="698"/>
    <n v="1"/>
    <n v="1"/>
    <n v="4.5281651874660387"/>
    <m/>
    <n v="6.4873426754527772E-3"/>
    <m/>
  </r>
  <r>
    <x v="17"/>
    <s v="21115-3"/>
    <n v="1897"/>
    <s v="Tapa 50 cc mar mar (6 unit)"/>
    <s v="#6(50 ml)"/>
    <n v="32"/>
    <x v="4"/>
    <m/>
    <n v="40344"/>
    <n v="44562"/>
    <n v="45186"/>
    <n v="52"/>
    <n v="4842"/>
    <n v="2"/>
    <n v="2"/>
    <n v="62.5"/>
    <m/>
    <n v="1.2907889301941346E-2"/>
    <m/>
  </r>
  <r>
    <x v="17"/>
    <s v="21134-1"/>
    <s v="1667/0/2"/>
    <s v="Tarro 50 ml labiomar "/>
    <s v="T079"/>
    <n v="82.7"/>
    <x v="0"/>
    <m/>
    <n v="7211"/>
    <n v="7715"/>
    <n v="8531"/>
    <n v="44"/>
    <n v="1320"/>
    <n v="5"/>
    <n v="5"/>
    <n v="60.459492140266022"/>
    <m/>
    <n v="4.5802645560807591E-2"/>
    <m/>
  </r>
  <r>
    <x v="18"/>
    <s v="21134-1"/>
    <s v="1667/0/2"/>
    <s v="Tarro 50 ml labiomar "/>
    <s v="T079"/>
    <n v="82.7"/>
    <x v="0"/>
    <m/>
    <n v="8531"/>
    <n v="9278"/>
    <n v="10076"/>
    <n v="44"/>
    <n v="1545"/>
    <n v="10"/>
    <n v="10"/>
    <n v="120.91898428053204"/>
    <m/>
    <n v="7.8264714744680941E-2"/>
    <m/>
  </r>
  <r>
    <x v="17"/>
    <s v="21121-3"/>
    <s v="1860/0/1"/>
    <s v="Tapa 50 ml mar-mar prima"/>
    <s v="#24"/>
    <n v="20.86"/>
    <x v="0"/>
    <m/>
    <n v="15297"/>
    <n v="20049"/>
    <n v="22441"/>
    <n v="45"/>
    <n v="7144"/>
    <n v="25"/>
    <n v="25"/>
    <n v="1198.4659635666346"/>
    <m/>
    <n v="0.16775839355635982"/>
    <s v="Goteo piezas quemadas."/>
  </r>
  <r>
    <x v="19"/>
    <s v="21121-3"/>
    <s v="1860/0/1"/>
    <s v="Tapa 50 ml mar-mar prima"/>
    <s v="#24"/>
    <n v="20.86"/>
    <x v="0"/>
    <m/>
    <n v="22441"/>
    <n v="26258"/>
    <n v="28034"/>
    <n v="45"/>
    <n v="5593"/>
    <m/>
    <n v="0"/>
    <n v="0"/>
    <m/>
    <n v="0"/>
    <m/>
  </r>
  <r>
    <x v="17"/>
    <s v="21128-1"/>
    <n v="1790"/>
    <s v="Tarro 100ml"/>
    <s v="T029"/>
    <n v="151"/>
    <x v="1"/>
    <m/>
    <n v="6338"/>
    <n v="0"/>
    <n v="6543"/>
    <n v="51"/>
    <n v="205"/>
    <n v="1"/>
    <n v="1"/>
    <n v="6.6225165562913908"/>
    <m/>
    <n v="3.2304958811177516E-2"/>
    <m/>
  </r>
  <r>
    <x v="17"/>
    <s v="21103-1"/>
    <n v="1945"/>
    <s v="Tarro 400 ml"/>
    <s v="T113"/>
    <n v="211"/>
    <x v="0"/>
    <m/>
    <n v="0"/>
    <n v="0"/>
    <n v="0"/>
    <n v="7"/>
    <n v="0"/>
    <n v="0"/>
    <n v="0"/>
    <n v="0"/>
    <n v="105"/>
    <s v="n/a"/>
    <s v="Pruebas de color FUME"/>
  </r>
  <r>
    <x v="19"/>
    <s v="21103-1"/>
    <n v="1945"/>
    <s v="Tarro 400 ml"/>
    <s v="T113"/>
    <n v="211"/>
    <x v="0"/>
    <m/>
    <n v="392"/>
    <n v="846"/>
    <n v="2148"/>
    <n v="7"/>
    <n v="1756"/>
    <n v="20"/>
    <n v="20"/>
    <n v="94.786729857819907"/>
    <m/>
    <n v="5.3978775545455528E-2"/>
    <m/>
  </r>
  <r>
    <x v="17"/>
    <s v="21127-3"/>
    <s v="1781/0/1"/>
    <s v="Tapa 100 ml prima "/>
    <s v="#26(100 ml)"/>
    <n v="30.3"/>
    <x v="0"/>
    <m/>
    <n v="344"/>
    <n v="2012"/>
    <n v="3480"/>
    <n v="38"/>
    <n v="3136"/>
    <n v="15"/>
    <n v="15"/>
    <n v="495.04950495049502"/>
    <m/>
    <n v="0.15786017377247927"/>
    <s v="Inicio producción."/>
  </r>
  <r>
    <x v="19"/>
    <s v="21127-3"/>
    <s v="1781/0/1"/>
    <s v="Tapa 100 ml prima "/>
    <s v="#26(100 ml)"/>
    <n v="30.3"/>
    <x v="0"/>
    <m/>
    <n v="4896"/>
    <n v="6312"/>
    <n v="7436"/>
    <n v="38"/>
    <n v="2540"/>
    <n v="0"/>
    <n v="0"/>
    <n v="0"/>
    <m/>
    <n v="0"/>
    <m/>
  </r>
  <r>
    <x v="17"/>
    <s v="21135-1"/>
    <s v="1877/0/1"/>
    <s v="Tarro 50ml Tinter Quadrat"/>
    <s v="T116"/>
    <n v="121.5"/>
    <x v="4"/>
    <m/>
    <n v="9936"/>
    <n v="10322"/>
    <n v="10500"/>
    <n v="30"/>
    <n v="564"/>
    <n v="0"/>
    <n v="0"/>
    <n v="0"/>
    <n v="70"/>
    <n v="0"/>
    <s v="Piezas quemadas interior, produccion por visita externa"/>
  </r>
  <r>
    <x v="19"/>
    <s v="21135-1"/>
    <s v="1877/0/1"/>
    <s v="Tarro 50ml Tinter Quadrat"/>
    <s v="T116"/>
    <n v="121.5"/>
    <x v="4"/>
    <m/>
    <n v="10726"/>
    <n v="11106"/>
    <n v="11576"/>
    <n v="30"/>
    <n v="850"/>
    <m/>
    <n v="0"/>
    <n v="0"/>
    <m/>
    <n v="0"/>
    <m/>
  </r>
  <r>
    <x v="18"/>
    <s v="21135-1"/>
    <s v="1877/0/1"/>
    <s v="Tarro 50ml Tinter Quadrat"/>
    <s v="T116"/>
    <n v="121.5"/>
    <x v="4"/>
    <m/>
    <n v="12024"/>
    <n v="12446"/>
    <n v="12912"/>
    <n v="30"/>
    <n v="888"/>
    <n v="20"/>
    <n v="20"/>
    <n v="164.6090534979424"/>
    <m/>
    <n v="0.18537055574092612"/>
    <s v="Piezas quemadas interior."/>
  </r>
  <r>
    <x v="17"/>
    <s v="21116-1"/>
    <s v="1708/1/0"/>
    <s v="Tarro 150 ml"/>
    <s v="T057"/>
    <n v="160"/>
    <x v="0"/>
    <m/>
    <n v="0"/>
    <n v="0"/>
    <n v="0"/>
    <n v="43"/>
    <n v="0"/>
    <m/>
    <n v="0"/>
    <n v="0"/>
    <n v="15"/>
    <s v="n/a"/>
    <s v="Arranque máquina por visita."/>
  </r>
  <r>
    <x v="17"/>
    <s v="21136-1"/>
    <n v="1861"/>
    <s v="Tarro 50ml Standard 8 unitats"/>
    <s v="T022"/>
    <n v="92"/>
    <x v="0"/>
    <m/>
    <n v="0"/>
    <n v="0"/>
    <n v="0"/>
    <n v="40"/>
    <n v="0"/>
    <m/>
    <n v="0"/>
    <n v="0"/>
    <n v="15"/>
    <s v="n/a"/>
    <s v="Arranque máquina por visita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C0696-0FA4-4A80-B3E0-0CC079B59252}" name="TablaDinámica1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A5:A25" firstHeaderRow="1" firstDataRow="1" firstDataCol="1"/>
  <pivotFields count="18">
    <pivotField axis="axisRow" numFmtId="14" showAll="0">
      <items count="22">
        <item h="1" m="1" x="20"/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showAll="0"/>
    <pivotField showAll="0"/>
    <pivotField showAll="0"/>
    <pivotField showAll="0"/>
    <pivotField showAll="0"/>
    <pivotField axis="axisRow" multipleItemSelectionAllowed="1" showAll="0">
      <items count="8">
        <item x="0"/>
        <item x="1"/>
        <item x="4"/>
        <item x="2"/>
        <item x="3"/>
        <item h="1" m="1" x="6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</pivotFields>
  <rowFields count="2">
    <field x="0"/>
    <field x="6"/>
  </rowFields>
  <rowItems count="20">
    <i>
      <x v="7"/>
    </i>
    <i r="1">
      <x/>
    </i>
    <i r="1">
      <x v="1"/>
    </i>
    <i r="1">
      <x v="2"/>
    </i>
    <i>
      <x v="8"/>
    </i>
    <i r="1">
      <x/>
    </i>
    <i r="1">
      <x v="1"/>
    </i>
    <i>
      <x v="9"/>
    </i>
    <i r="1">
      <x/>
    </i>
    <i r="1">
      <x v="1"/>
    </i>
    <i r="1">
      <x v="2"/>
    </i>
    <i r="1">
      <x v="3"/>
    </i>
    <i>
      <x v="10"/>
    </i>
    <i r="1">
      <x/>
    </i>
    <i r="1">
      <x v="2"/>
    </i>
    <i>
      <x v="11"/>
    </i>
    <i r="1">
      <x/>
    </i>
    <i r="1">
      <x v="1"/>
    </i>
    <i r="1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DA4903-41E2-40C3-AB18-FD0B9B45CE6D}" name="TablaDinámica2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27:A47" firstHeaderRow="1" firstDataRow="1" firstDataCol="1"/>
  <pivotFields count="20">
    <pivotField axis="axisRow" numFmtId="14" showAll="0">
      <items count="369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h="1" x="284"/>
        <item h="1" x="285"/>
        <item h="1" x="286"/>
        <item h="1" x="287"/>
        <item h="1" x="288"/>
        <item h="1" x="289"/>
        <item h="1" x="290"/>
        <item h="1" x="291"/>
        <item h="1" x="292"/>
        <item h="1" x="293"/>
        <item h="1" x="294"/>
        <item h="1" x="295"/>
        <item h="1" x="296"/>
        <item h="1" x="297"/>
        <item h="1" x="298"/>
        <item h="1" x="299"/>
        <item h="1" x="300"/>
        <item h="1" x="301"/>
        <item h="1" x="302"/>
        <item h="1" x="303"/>
        <item h="1" x="304"/>
        <item h="1" x="305"/>
        <item x="306"/>
        <item x="307"/>
        <item x="308"/>
        <item x="309"/>
        <item x="310"/>
        <item h="1" x="311"/>
        <item h="1" x="312"/>
        <item h="1" x="313"/>
        <item h="1" x="314"/>
        <item h="1" x="315"/>
        <item h="1" x="316"/>
        <item h="1" x="317"/>
        <item h="1" x="318"/>
        <item h="1" x="319"/>
        <item h="1" x="320"/>
        <item h="1" x="321"/>
        <item h="1" x="322"/>
        <item h="1" x="323"/>
        <item h="1" x="324"/>
        <item h="1" x="325"/>
        <item h="1" x="326"/>
        <item h="1" x="327"/>
        <item h="1" x="328"/>
        <item h="1" x="329"/>
        <item h="1" x="330"/>
        <item h="1" x="331"/>
        <item h="1" x="332"/>
        <item h="1" x="333"/>
        <item h="1" x="334"/>
        <item h="1" x="335"/>
        <item h="1" x="336"/>
        <item h="1" x="337"/>
        <item h="1" x="338"/>
        <item h="1" x="339"/>
        <item h="1" x="340"/>
        <item h="1" x="341"/>
        <item h="1" x="342"/>
        <item h="1" x="343"/>
        <item h="1" x="344"/>
        <item h="1" x="345"/>
        <item h="1" x="346"/>
        <item h="1" x="347"/>
        <item h="1" x="348"/>
        <item h="1" x="349"/>
        <item h="1" x="350"/>
        <item h="1" x="351"/>
        <item h="1" x="352"/>
        <item h="1" x="353"/>
        <item h="1" x="354"/>
        <item h="1" x="355"/>
        <item h="1" x="356"/>
        <item h="1" x="357"/>
        <item h="1" x="358"/>
        <item h="1" x="359"/>
        <item h="1" x="360"/>
        <item h="1" x="361"/>
        <item h="1" x="362"/>
        <item h="1" x="363"/>
        <item h="1" x="364"/>
        <item h="1" x="365"/>
        <item h="1" x="366"/>
        <item h="1" x="36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2"/>
        <item x="3"/>
        <item x="0"/>
        <item x="5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6"/>
  </rowFields>
  <rowItems count="20">
    <i>
      <x v="307"/>
    </i>
    <i r="1">
      <x v="2"/>
    </i>
    <i r="1">
      <x v="3"/>
    </i>
    <i r="1">
      <x v="4"/>
    </i>
    <i r="1">
      <x v="5"/>
    </i>
    <i>
      <x v="308"/>
    </i>
    <i r="1">
      <x v="2"/>
    </i>
    <i r="1">
      <x v="3"/>
    </i>
    <i r="1">
      <x v="4"/>
    </i>
    <i r="1">
      <x v="5"/>
    </i>
    <i>
      <x v="309"/>
    </i>
    <i r="1">
      <x v="2"/>
    </i>
    <i r="1">
      <x v="3"/>
    </i>
    <i r="1">
      <x v="4"/>
    </i>
    <i r="1">
      <x v="5"/>
    </i>
    <i>
      <x v="310"/>
    </i>
    <i r="1">
      <x v="2"/>
    </i>
    <i r="1">
      <x v="4"/>
    </i>
    <i r="1"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80243-11E5-4076-973E-FE505EC830D5}" name="Tabla1" displayName="Tabla1" ref="A1:V483" insertRowShift="1" totalsRowCount="1" totalsRowDxfId="87" totalsRowBorderDxfId="86">
  <autoFilter ref="A1:V482" xr:uid="{32F18A40-EE0C-4181-9C1E-8D6ACDD65D63}"/>
  <sortState xmlns:xlrd2="http://schemas.microsoft.com/office/spreadsheetml/2017/richdata2" ref="A2:V350">
    <sortCondition ref="A1:A350"/>
  </sortState>
  <tableColumns count="22">
    <tableColumn id="1" xr3:uid="{90A29798-A003-45C1-A1A1-CABFB3759BB6}" name="Fecha" dataDxfId="85" totalsRowDxfId="21"/>
    <tableColumn id="2" xr3:uid="{791A5846-941A-49C3-BBA3-13F650956C31}" name="Nº Pedido" dataDxfId="84" totalsRowDxfId="20"/>
    <tableColumn id="13" xr3:uid="{78F02FA5-54F9-4D1C-9411-339BE7EDE582}" name="Ref. Molde" dataDxfId="83" totalsRowDxfId="19"/>
    <tableColumn id="16" xr3:uid="{E1C2BE32-648E-4170-9B00-37651A9ED8FB}" name="Descripción pieza" dataDxfId="82" totalsRowDxfId="18">
      <calculatedColumnFormula>VLOOKUP(C:C,'LListat referències'!A:B,2,FALSE)</calculatedColumnFormula>
    </tableColumn>
    <tableColumn id="18" xr3:uid="{655B1F06-3AC7-47C1-B83A-CAF4707D950C}" name="Modelo" dataDxfId="81" totalsRowDxfId="17">
      <calculatedColumnFormula>VLOOKUP(C:C,'LListat referències'!A:D,4,FALSE)</calculatedColumnFormula>
    </tableColumn>
    <tableColumn id="17" xr3:uid="{E49D0EEA-43BE-4D4D-BC30-8E4F005A6E60}" name="Peso gr." dataDxfId="80" totalsRowDxfId="16">
      <calculatedColumnFormula>VLOOKUP(C:C,'LListat referències'!A:E,5,FALSE)</calculatedColumnFormula>
    </tableColumn>
    <tableColumn id="6" xr3:uid="{A743A76A-006E-4DF3-85E8-C549530623D1}" name="Tiempo Ciclo" dataDxfId="79" totalsRowDxfId="15"/>
    <tableColumn id="20" xr3:uid="{16BE95A3-8ABF-4396-B3CB-836C3F40526D}" name="Cavidades" dataDxfId="78" totalsRowDxfId="14"/>
    <tableColumn id="21" xr3:uid="{8BCEA5F9-1036-4E94-856A-2C582CBD1AC1}" name="Horas" totalsRowFunction="sum" dataDxfId="77" totalsRowDxfId="13">
      <calculatedColumnFormula>Tabla1[[#This Row],[Cant. Fabricada (uds)]]/Tabla1[[#This Row],[Cavidades]]*Tabla1[[#This Row],[Tiempo Ciclo]]/60/60</calculatedColumnFormula>
    </tableColumn>
    <tableColumn id="10" xr3:uid="{467DA439-26A0-414B-89A3-D03723EB3792}" name="Material" dataDxfId="76" totalsRowDxfId="12"/>
    <tableColumn id="3" xr3:uid="{7B107F9C-F60B-4F1E-861A-6513DD083D53}" name="Cliente" dataDxfId="75" totalsRowDxfId="11"/>
    <tableColumn id="8" xr3:uid="{429BA792-706B-4F5E-A5B1-9EA2B34A41B8}" name="Mañana " dataDxfId="74" totalsRowDxfId="10"/>
    <tableColumn id="7" xr3:uid="{5EF24232-63D7-4EF6-B8E3-3AE1083A7A6E}" name="Tarde" dataDxfId="73" totalsRowDxfId="9"/>
    <tableColumn id="5" xr3:uid="{5AF21FEA-ACFD-4CCB-AB48-8E67A5E0BA92}" name="Noche" dataDxfId="72" totalsRowDxfId="8"/>
    <tableColumn id="12" xr3:uid="{840346A2-FB0D-4E56-A715-760F529879CA}" name=" Máquina" dataDxfId="71" totalsRowDxfId="7"/>
    <tableColumn id="11" xr3:uid="{BCB7C526-4575-43BA-8223-964EE6857E6C}" name="Cant. Fabricada (uds)" totalsRowFunction="sum" dataDxfId="70" totalsRowDxfId="6">
      <calculatedColumnFormula>Tabla1[[#This Row],[Noche]]-Tabla1[[#This Row],[Mañana ]]</calculatedColumnFormula>
    </tableColumn>
    <tableColumn id="4" xr3:uid="{52566FA5-FE1E-4DF5-863D-47EF10C2B973}" name="Merma Salas A &amp; B" totalsRowFunction="sum" dataDxfId="69" totalsRowDxfId="5"/>
    <tableColumn id="9" xr3:uid="{0F67DDFE-28CC-4C29-A456-5068A6F37705}" name="Merma Salas A &amp; B2" totalsRowFunction="sum" dataDxfId="68" totalsRowDxfId="4">
      <calculatedColumnFormula>SUM(Q2:Q2)</calculatedColumnFormula>
    </tableColumn>
    <tableColumn id="14" xr3:uid="{3E45CEFA-1336-4E1C-9C4F-C3D157E5FDA4}" name="Total piezas NOK" totalsRowFunction="sum" dataDxfId="67" totalsRowDxfId="3">
      <calculatedColumnFormula>Tabla1[[#This Row],[Merma Salas A &amp; B2]]*1000/Tabla1[[#This Row],[Peso gr.]]</calculatedColumnFormula>
    </tableColumn>
    <tableColumn id="19" xr3:uid="{D58862A7-D6FD-45F1-B9F6-93907B5B74E8}" name="Merma arranques cambios materiales" totalsRowFunction="sum" dataDxfId="66" totalsRowDxfId="2"/>
    <tableColumn id="15" xr3:uid="{94CC679E-C4A5-477D-927B-9ED5757B6E51}" name="% Merma Producción Sala A y B" totalsRowFunction="average" totalsRowDxfId="1">
      <calculatedColumnFormula>Tabla1[[#This Row],[Total piezas NOK]]/Tabla1[[#This Row],[Cant. Fabricada (uds)]]</calculatedColumnFormula>
    </tableColumn>
    <tableColumn id="25" xr3:uid="{A1A705C7-25F4-45DE-B96D-BFC032EC94B5}" name="Observaciones " dataDxfId="65" totalsRowDxfId="0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561B01-A0F4-4063-876B-CA7544C105C3}" name="Tabla13" displayName="Tabla13" ref="A1:T351" insertRowShift="1" totalsRowCount="1" totalsRowDxfId="62" totalsRowBorderDxfId="61">
  <autoFilter ref="A1:T350" xr:uid="{32F18A40-EE0C-4181-9C1E-8D6ACDD65D63}">
    <filterColumn colId="0">
      <dynamicFilter type="thisYear" val="44197" maxVal="44562"/>
    </filterColumn>
  </autoFilter>
  <sortState xmlns:xlrd2="http://schemas.microsoft.com/office/spreadsheetml/2017/richdata2" ref="A2:T350">
    <sortCondition ref="A1:A350"/>
  </sortState>
  <tableColumns count="20">
    <tableColumn id="1" xr3:uid="{4865C2C8-9266-4CBF-8256-DB046695D690}" name="Fecha" dataDxfId="60" totalsRowDxfId="59"/>
    <tableColumn id="2" xr3:uid="{C64003F9-43DA-47B7-B32F-3ACE84360919}" name="Nº Pedido" dataDxfId="58" totalsRowDxfId="57"/>
    <tableColumn id="13" xr3:uid="{051CF0DD-E090-4D04-ACF2-5BAB85999A35}" name="Ref. Molde" dataDxfId="56" totalsRowDxfId="55"/>
    <tableColumn id="16" xr3:uid="{CE93DF21-4B58-4E1F-8760-5E8B3FE7731D}" name="Descripción pieza" dataDxfId="54" totalsRowDxfId="53">
      <calculatedColumnFormula>VLOOKUP(C:C,'LListat referències'!A:B,2,FALSE)</calculatedColumnFormula>
    </tableColumn>
    <tableColumn id="18" xr3:uid="{438B469F-0597-4194-8114-4CAEF9539462}" name="Modelo" dataDxfId="52" totalsRowDxfId="51">
      <calculatedColumnFormula>VLOOKUP(C:C,'LListat referències'!A:D,4,FALSE)</calculatedColumnFormula>
    </tableColumn>
    <tableColumn id="17" xr3:uid="{82B44272-536E-42C7-9AA6-9B9536A6E040}" name="Peso gr." dataDxfId="50" totalsRowDxfId="49">
      <calculatedColumnFormula>VLOOKUP(C:C,'LListat referències'!A:E,5,FALSE)</calculatedColumnFormula>
    </tableColumn>
    <tableColumn id="6" xr3:uid="{76310063-DA3F-4700-9A0F-5711AD887F4E}" name="Tiempo Ciclo" dataDxfId="48" totalsRowDxfId="47"/>
    <tableColumn id="10" xr3:uid="{FE7C3B1F-14A5-4F9A-8981-EAF78E67ABCD}" name="Material" dataDxfId="46" totalsRowDxfId="45"/>
    <tableColumn id="3" xr3:uid="{4D17D0F6-A7E2-4BEE-AFD6-441230E66B32}" name="Cliente" dataDxfId="44" totalsRowDxfId="43"/>
    <tableColumn id="8" xr3:uid="{FDC193D7-1485-4AD0-A354-556C20A2BB40}" name="Mañana " dataDxfId="42" totalsRowDxfId="41"/>
    <tableColumn id="7" xr3:uid="{FE282CDD-F14D-4CB3-9D6B-470D8AB3A50A}" name="Tarde" dataDxfId="40" totalsRowDxfId="39"/>
    <tableColumn id="5" xr3:uid="{7B986D04-8F23-4F90-AF74-CD3BE8DEFA40}" name="Noche" dataDxfId="38" totalsRowDxfId="37"/>
    <tableColumn id="12" xr3:uid="{83FE6C75-9946-4BFD-BE15-64666CCF0267}" name=" Máquina" dataDxfId="36" totalsRowDxfId="35"/>
    <tableColumn id="11" xr3:uid="{67B99BBD-0010-4279-9D5D-B654002DDB80}" name="Cant. Fabricada (uds)" totalsRowFunction="sum" dataDxfId="34" totalsRowDxfId="33">
      <calculatedColumnFormula>Tabla13[[#This Row],[Noche]]-Tabla13[[#This Row],[Mañana ]]</calculatedColumnFormula>
    </tableColumn>
    <tableColumn id="4" xr3:uid="{61773B81-378C-4F21-9A6F-75D66482930B}" name="Merma Salas A &amp; B" totalsRowFunction="sum" dataDxfId="32" totalsRowDxfId="31"/>
    <tableColumn id="9" xr3:uid="{D2996E23-944A-4F9A-8D9D-A3F8ADF83B15}" name="Merma Salas A &amp; B2" totalsRowFunction="sum" dataDxfId="30" totalsRowDxfId="29">
      <calculatedColumnFormula>SUM(O2:O2)</calculatedColumnFormula>
    </tableColumn>
    <tableColumn id="14" xr3:uid="{ABAD1C9A-DF7E-4E0E-BE81-33852715CE12}" name="Total piezas NOK" totalsRowFunction="sum" dataDxfId="28" totalsRowDxfId="27">
      <calculatedColumnFormula>Tabla13[[#This Row],[Merma Salas A &amp; B2]]*1000/Tabla13[[#This Row],[Peso gr.]]</calculatedColumnFormula>
    </tableColumn>
    <tableColumn id="19" xr3:uid="{42C37D9A-E55B-4D98-BDFB-68E904DA77C3}" name="Merma arranques cambios materiales" totalsRowFunction="sum" dataDxfId="26" totalsRowDxfId="25"/>
    <tableColumn id="15" xr3:uid="{6CF9CAAA-81D9-4560-874E-E088BC3B53A1}" name="% Merma Producción Sala A y B" totalsRowFunction="average" totalsRowDxfId="24">
      <calculatedColumnFormula>Tabla13[[#This Row],[Total piezas NOK]]/Tabla13[[#This Row],[Cant. Fabricada (uds)]]</calculatedColumnFormula>
    </tableColumn>
    <tableColumn id="25" xr3:uid="{7FC22779-8B14-47E9-BDAC-6AB88AA3935B}" name="Observaciones " dataDxfId="23" totalsRowDxfId="2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8AEBC-B3E8-4A72-A8D5-3B25FA5BDE22}">
  <sheetPr>
    <pageSetUpPr fitToPage="1"/>
  </sheetPr>
  <dimension ref="A1:V491"/>
  <sheetViews>
    <sheetView tabSelected="1" zoomScale="90" zoomScaleNormal="90" workbookViewId="0">
      <pane ySplit="1" topLeftCell="A461" activePane="bottomLeft" state="frozen"/>
      <selection pane="bottomLeft" activeCell="P269" sqref="P269"/>
    </sheetView>
  </sheetViews>
  <sheetFormatPr baseColWidth="10" defaultRowHeight="14.4" x14ac:dyDescent="0.3"/>
  <cols>
    <col min="1" max="1" width="12.44140625" customWidth="1"/>
    <col min="2" max="2" width="15.88671875" style="11" customWidth="1"/>
    <col min="3" max="3" width="16.6640625" style="11" customWidth="1"/>
    <col min="4" max="4" width="35.109375" style="16" customWidth="1"/>
    <col min="5" max="5" width="13.44140625" hidden="1" customWidth="1"/>
    <col min="6" max="6" width="14.44140625" style="20" customWidth="1"/>
    <col min="7" max="8" width="9.44140625" style="20" customWidth="1"/>
    <col min="9" max="9" width="9.44140625" style="76" customWidth="1"/>
    <col min="10" max="10" width="13.44140625" customWidth="1"/>
    <col min="11" max="11" width="15.6640625" hidden="1" customWidth="1"/>
    <col min="12" max="14" width="11.44140625" customWidth="1"/>
    <col min="15" max="15" width="12.88671875" customWidth="1"/>
    <col min="16" max="16" width="14.44140625" customWidth="1"/>
    <col min="17" max="17" width="19" style="57" customWidth="1"/>
    <col min="18" max="18" width="15.33203125" hidden="1" customWidth="1"/>
    <col min="19" max="19" width="1.109375" hidden="1" customWidth="1"/>
    <col min="20" max="20" width="22.5546875" style="55" customWidth="1"/>
    <col min="21" max="21" width="21.6640625" customWidth="1"/>
    <col min="22" max="22" width="51.6640625" style="19" customWidth="1"/>
  </cols>
  <sheetData>
    <row r="1" spans="1:22" s="20" customFormat="1" ht="28.8" x14ac:dyDescent="0.3">
      <c r="A1" s="64" t="s">
        <v>2</v>
      </c>
      <c r="B1" s="65" t="s">
        <v>1</v>
      </c>
      <c r="C1" s="65" t="s">
        <v>3</v>
      </c>
      <c r="D1" s="47" t="s">
        <v>751</v>
      </c>
      <c r="E1" s="48" t="s">
        <v>777</v>
      </c>
      <c r="F1" s="47" t="s">
        <v>11</v>
      </c>
      <c r="G1" s="63" t="s">
        <v>886</v>
      </c>
      <c r="H1" s="63" t="s">
        <v>933</v>
      </c>
      <c r="I1" s="74" t="s">
        <v>932</v>
      </c>
      <c r="J1" s="47" t="s">
        <v>4</v>
      </c>
      <c r="K1" s="48" t="s">
        <v>0</v>
      </c>
      <c r="L1" s="47" t="s">
        <v>773</v>
      </c>
      <c r="M1" s="47" t="s">
        <v>774</v>
      </c>
      <c r="N1" s="47" t="s">
        <v>775</v>
      </c>
      <c r="O1" s="46" t="s">
        <v>852</v>
      </c>
      <c r="P1" s="63" t="s">
        <v>784</v>
      </c>
      <c r="Q1" s="66" t="s">
        <v>846</v>
      </c>
      <c r="R1" s="66" t="s">
        <v>847</v>
      </c>
      <c r="S1" s="66" t="s">
        <v>754</v>
      </c>
      <c r="T1" s="67" t="s">
        <v>931</v>
      </c>
      <c r="U1" s="63" t="s">
        <v>850</v>
      </c>
      <c r="V1" s="63" t="s">
        <v>750</v>
      </c>
    </row>
    <row r="2" spans="1:22" x14ac:dyDescent="0.3">
      <c r="A2" s="43">
        <v>44482</v>
      </c>
      <c r="B2" s="20" t="s">
        <v>759</v>
      </c>
      <c r="C2" s="20" t="s">
        <v>513</v>
      </c>
      <c r="D2" s="13" t="str">
        <f>VLOOKUP(C:C,'LListat referències'!A:B,2,FALSE)</f>
        <v>Tarro 150 ml</v>
      </c>
      <c r="E2" s="18" t="str">
        <f>VLOOKUP(C:C,'LListat referències'!A:D,4,FALSE)</f>
        <v>T057</v>
      </c>
      <c r="F2" s="49">
        <v>168</v>
      </c>
      <c r="G2" s="49">
        <v>109.1</v>
      </c>
      <c r="H2" s="49">
        <v>2</v>
      </c>
      <c r="I2" s="75">
        <f>Tabla1[[#This Row],[Cant. Fabricada (uds)]]/Tabla1[[#This Row],[Cavidades]]*Tabla1[[#This Row],[Tiempo Ciclo]]/60/60</f>
        <v>13.607194444444444</v>
      </c>
      <c r="J2" s="1" t="s">
        <v>15</v>
      </c>
      <c r="K2" s="25" t="s">
        <v>749</v>
      </c>
      <c r="L2" s="25">
        <v>5574</v>
      </c>
      <c r="M2" s="25">
        <v>5970</v>
      </c>
      <c r="N2" s="25">
        <v>6472</v>
      </c>
      <c r="O2" s="20">
        <v>43</v>
      </c>
      <c r="P2" s="1">
        <f>Tabla1[[#This Row],[Noche]]-Tabla1[[#This Row],[Mañana ]]</f>
        <v>898</v>
      </c>
      <c r="Q2" s="58">
        <v>30</v>
      </c>
      <c r="R2" s="34">
        <f t="shared" ref="R2:R33" si="0">SUM(Q2:Q2)</f>
        <v>30</v>
      </c>
      <c r="S2" s="22">
        <f>Tabla1[[#This Row],[Merma Salas A &amp; B2]]*1000/Tabla1[[#This Row],[Peso gr.]]</f>
        <v>178.57142857142858</v>
      </c>
      <c r="T2" s="52"/>
      <c r="U2" s="24">
        <f>Tabla1[[#This Row],[Total piezas NOK]]/Tabla1[[#This Row],[Cant. Fabricada (uds)]]</f>
        <v>0.19885459751829462</v>
      </c>
      <c r="V2" s="19" t="s">
        <v>790</v>
      </c>
    </row>
    <row r="3" spans="1:22" x14ac:dyDescent="0.3">
      <c r="A3" s="43">
        <v>44482</v>
      </c>
      <c r="B3" s="35" t="s">
        <v>755</v>
      </c>
      <c r="C3" s="35">
        <v>1861</v>
      </c>
      <c r="D3" s="36" t="str">
        <f>VLOOKUP(C:C,'LListat referències'!A:B,2,FALSE)</f>
        <v>Tarro 50ml Standard 8 unitats</v>
      </c>
      <c r="E3" s="37" t="str">
        <f>VLOOKUP(C:C,'LListat referències'!A:D,4,FALSE)</f>
        <v>T022</v>
      </c>
      <c r="F3" s="49">
        <f>VLOOKUP(C:C,'LListat referències'!A:E,5,FALSE)</f>
        <v>92</v>
      </c>
      <c r="G3" s="49">
        <v>148</v>
      </c>
      <c r="H3" s="49">
        <v>8</v>
      </c>
      <c r="I3" s="75">
        <f>Tabla1[[#This Row],[Cant. Fabricada (uds)]]/Tabla1[[#This Row],[Cavidades]]*Tabla1[[#This Row],[Tiempo Ciclo]]/60/60</f>
        <v>13.489583333333334</v>
      </c>
      <c r="J3" s="38" t="s">
        <v>7</v>
      </c>
      <c r="K3" s="39" t="s">
        <v>752</v>
      </c>
      <c r="L3" s="39">
        <v>41959</v>
      </c>
      <c r="M3" s="39">
        <v>43254</v>
      </c>
      <c r="N3" s="39">
        <v>44584</v>
      </c>
      <c r="O3" s="35">
        <v>40</v>
      </c>
      <c r="P3" s="1">
        <f>Tabla1[[#This Row],[Noche]]-Tabla1[[#This Row],[Mañana ]]</f>
        <v>2625</v>
      </c>
      <c r="Q3" s="58">
        <v>15</v>
      </c>
      <c r="R3" s="34">
        <f t="shared" si="0"/>
        <v>15</v>
      </c>
      <c r="S3" s="40">
        <f>Tabla1[[#This Row],[Merma Salas A &amp; B2]]*1000/Tabla1[[#This Row],[Peso gr.]]</f>
        <v>163.04347826086956</v>
      </c>
      <c r="T3" s="53"/>
      <c r="U3" s="41">
        <f>Tabla1[[#This Row],[Total piezas NOK]]/Tabla1[[#This Row],[Cant. Fabricada (uds)]]</f>
        <v>6.2111801242236024E-2</v>
      </c>
      <c r="V3" s="42"/>
    </row>
    <row r="4" spans="1:22" x14ac:dyDescent="0.3">
      <c r="A4" s="43">
        <v>44482</v>
      </c>
      <c r="B4" s="20" t="s">
        <v>756</v>
      </c>
      <c r="C4" s="20" t="s">
        <v>644</v>
      </c>
      <c r="D4" s="13" t="str">
        <f>VLOOKUP(C:C,'LListat referències'!A:B,2,FALSE)</f>
        <v>Tarro 200ml Quadrat estret (Tapa Rodona)</v>
      </c>
      <c r="E4" s="18">
        <f>VLOOKUP(C:C,'LListat referències'!A:D,4,FALSE)</f>
        <v>0</v>
      </c>
      <c r="F4" s="49">
        <f>VLOOKUP(C:C,'LListat referències'!A:E,5,FALSE)</f>
        <v>220.84</v>
      </c>
      <c r="G4" s="49">
        <v>122.41</v>
      </c>
      <c r="H4" s="49">
        <v>1</v>
      </c>
      <c r="I4" s="75">
        <f>Tabla1[[#This Row],[Cant. Fabricada (uds)]]/Tabla1[[#This Row],[Cavidades]]*Tabla1[[#This Row],[Tiempo Ciclo]]/60/60</f>
        <v>15.879297222222222</v>
      </c>
      <c r="J4" s="1" t="s">
        <v>7</v>
      </c>
      <c r="K4" s="25"/>
      <c r="L4" s="25">
        <v>8899</v>
      </c>
      <c r="M4" s="25">
        <v>9129</v>
      </c>
      <c r="N4" s="25">
        <v>9366</v>
      </c>
      <c r="O4" s="20">
        <v>41</v>
      </c>
      <c r="P4" s="1">
        <f>Tabla1[[#This Row],[Noche]]-Tabla1[[#This Row],[Mañana ]]</f>
        <v>467</v>
      </c>
      <c r="Q4" s="58">
        <v>3</v>
      </c>
      <c r="R4" s="21">
        <f t="shared" si="0"/>
        <v>3</v>
      </c>
      <c r="S4" s="22">
        <f>Tabla1[[#This Row],[Merma Salas A &amp; B2]]*1000/Tabla1[[#This Row],[Peso gr.]]</f>
        <v>13.584495562398116</v>
      </c>
      <c r="T4" s="52"/>
      <c r="U4" s="24">
        <f>Tabla1[[#This Row],[Total piezas NOK]]/Tabla1[[#This Row],[Cant. Fabricada (uds)]]</f>
        <v>2.9088855594000249E-2</v>
      </c>
    </row>
    <row r="5" spans="1:22" x14ac:dyDescent="0.3">
      <c r="A5" s="43">
        <v>44487</v>
      </c>
      <c r="B5" s="20" t="s">
        <v>760</v>
      </c>
      <c r="C5" s="20">
        <v>1786</v>
      </c>
      <c r="D5" s="13" t="str">
        <f>VLOOKUP(C:C,'LListat referències'!A:B,2,FALSE)</f>
        <v>Tapa borghesse 50 ml</v>
      </c>
      <c r="E5" s="18" t="str">
        <f>VLOOKUP(C:C,'LListat referències'!A:D,4,FALSE)</f>
        <v>#7 (50 ml)</v>
      </c>
      <c r="F5" s="49">
        <v>8.39</v>
      </c>
      <c r="G5" s="49">
        <v>25</v>
      </c>
      <c r="H5" s="49">
        <v>2</v>
      </c>
      <c r="I5" s="75">
        <f>Tabla1[[#This Row],[Cant. Fabricada (uds)]]/Tabla1[[#This Row],[Cavidades]]*Tabla1[[#This Row],[Tiempo Ciclo]]/60/60</f>
        <v>14</v>
      </c>
      <c r="J5" s="1" t="s">
        <v>763</v>
      </c>
      <c r="K5" s="25"/>
      <c r="L5" s="25">
        <v>960</v>
      </c>
      <c r="M5" s="25">
        <v>3158</v>
      </c>
      <c r="N5" s="25">
        <v>4992</v>
      </c>
      <c r="O5" s="20">
        <v>20</v>
      </c>
      <c r="P5" s="1">
        <f>Tabla1[[#This Row],[Noche]]-Tabla1[[#This Row],[Mañana ]]</f>
        <v>4032</v>
      </c>
      <c r="Q5" s="58">
        <v>5</v>
      </c>
      <c r="R5" s="21">
        <f t="shared" si="0"/>
        <v>5</v>
      </c>
      <c r="S5" s="22">
        <f>Tabla1[[#This Row],[Merma Salas A &amp; B2]]*1000/Tabla1[[#This Row],[Peso gr.]]</f>
        <v>595.94755661501779</v>
      </c>
      <c r="T5" s="52"/>
      <c r="U5" s="24">
        <f>Tabla1[[#This Row],[Total piezas NOK]]/Tabla1[[#This Row],[Cant. Fabricada (uds)]]</f>
        <v>0.14780445352555005</v>
      </c>
    </row>
    <row r="6" spans="1:22" x14ac:dyDescent="0.3">
      <c r="A6" s="43">
        <v>44487</v>
      </c>
      <c r="B6" s="20" t="s">
        <v>761</v>
      </c>
      <c r="C6" s="20" t="s">
        <v>657</v>
      </c>
      <c r="D6" s="13" t="str">
        <f>VLOOKUP(C:C,'LListat referències'!A:B,2,FALSE)</f>
        <v>Tapa simple 200ml baixa prima</v>
      </c>
      <c r="E6" s="18" t="str">
        <f>VLOOKUP(C:C,'LListat referències'!A:D,4,FALSE)</f>
        <v>#45</v>
      </c>
      <c r="F6" s="49">
        <v>17.399999999999999</v>
      </c>
      <c r="G6" s="49">
        <v>37.700000000000003</v>
      </c>
      <c r="H6" s="49">
        <v>2</v>
      </c>
      <c r="I6" s="75">
        <f>Tabla1[[#This Row],[Cant. Fabricada (uds)]]/Tabla1[[#This Row],[Cavidades]]*Tabla1[[#This Row],[Tiempo Ciclo]]/60/60</f>
        <v>1.502763888888889</v>
      </c>
      <c r="J6" s="1" t="s">
        <v>764</v>
      </c>
      <c r="K6" s="25"/>
      <c r="L6" s="25">
        <v>0</v>
      </c>
      <c r="M6" s="25">
        <v>0</v>
      </c>
      <c r="N6" s="25">
        <v>287</v>
      </c>
      <c r="O6" s="20">
        <v>19</v>
      </c>
      <c r="P6" s="1">
        <f>Tabla1[[#This Row],[Noche]]-Tabla1[[#This Row],[Mañana ]]</f>
        <v>287</v>
      </c>
      <c r="Q6" s="58">
        <v>5</v>
      </c>
      <c r="R6" s="21">
        <f t="shared" si="0"/>
        <v>5</v>
      </c>
      <c r="S6" s="22">
        <f>Tabla1[[#This Row],[Merma Salas A &amp; B2]]*1000/Tabla1[[#This Row],[Peso gr.]]</f>
        <v>287.35632183908046</v>
      </c>
      <c r="T6" s="52"/>
      <c r="U6" s="24">
        <f>Tabla1[[#This Row],[Total piezas NOK]]/Tabla1[[#This Row],[Cant. Fabricada (uds)]]</f>
        <v>1.0012415395089911</v>
      </c>
    </row>
    <row r="7" spans="1:22" x14ac:dyDescent="0.3">
      <c r="A7" s="43">
        <v>44487</v>
      </c>
      <c r="B7" s="20" t="s">
        <v>755</v>
      </c>
      <c r="C7" s="20">
        <v>1861</v>
      </c>
      <c r="D7" s="13" t="str">
        <f>VLOOKUP(C:C,'LListat referències'!A:B,2,FALSE)</f>
        <v>Tarro 50ml Standard 8 unitats</v>
      </c>
      <c r="E7" s="18" t="str">
        <f>VLOOKUP(C:C,'LListat referències'!A:D,4,FALSE)</f>
        <v>T022</v>
      </c>
      <c r="F7" s="49">
        <f>VLOOKUP(C:C,'LListat referències'!A:E,5,FALSE)</f>
        <v>92</v>
      </c>
      <c r="G7" s="49">
        <v>148</v>
      </c>
      <c r="H7" s="49">
        <v>8</v>
      </c>
      <c r="I7" s="75">
        <f>Tabla1[[#This Row],[Cant. Fabricada (uds)]]/Tabla1[[#This Row],[Cavidades]]*Tabla1[[#This Row],[Tiempo Ciclo]]/60/60</f>
        <v>10.072222222222223</v>
      </c>
      <c r="J7" s="1" t="s">
        <v>7</v>
      </c>
      <c r="K7" s="25"/>
      <c r="L7" s="25">
        <v>49876</v>
      </c>
      <c r="M7" s="25">
        <v>51157</v>
      </c>
      <c r="N7" s="25">
        <v>51836</v>
      </c>
      <c r="O7" s="20">
        <v>40</v>
      </c>
      <c r="P7" s="1">
        <f>Tabla1[[#This Row],[Noche]]-Tabla1[[#This Row],[Mañana ]]</f>
        <v>1960</v>
      </c>
      <c r="Q7" s="58">
        <v>9</v>
      </c>
      <c r="R7" s="21">
        <f t="shared" si="0"/>
        <v>9</v>
      </c>
      <c r="S7" s="22">
        <f>Tabla1[[#This Row],[Merma Salas A &amp; B2]]*1000/Tabla1[[#This Row],[Peso gr.]]</f>
        <v>97.826086956521735</v>
      </c>
      <c r="T7" s="52"/>
      <c r="U7" s="24">
        <f>Tabla1[[#This Row],[Total piezas NOK]]/Tabla1[[#This Row],[Cant. Fabricada (uds)]]</f>
        <v>4.9911268855368229E-2</v>
      </c>
    </row>
    <row r="8" spans="1:22" x14ac:dyDescent="0.3">
      <c r="A8" s="43">
        <v>44487</v>
      </c>
      <c r="B8" s="20" t="s">
        <v>762</v>
      </c>
      <c r="C8" s="20">
        <v>1985</v>
      </c>
      <c r="D8" s="13" t="str">
        <f>VLOOKUP(C:C,'LListat referències'!A:B,2,FALSE)</f>
        <v>Tarro 200ml 2 unitats</v>
      </c>
      <c r="E8" s="18" t="str">
        <f>VLOOKUP(C:C,'LListat referències'!A:D,4,FALSE)</f>
        <v>T050</v>
      </c>
      <c r="F8" s="49">
        <v>108.12</v>
      </c>
      <c r="G8" s="49">
        <v>81.709999999999994</v>
      </c>
      <c r="H8" s="49">
        <v>6</v>
      </c>
      <c r="I8" s="75">
        <f>Tabla1[[#This Row],[Cant. Fabricada (uds)]]/Tabla1[[#This Row],[Cavidades]]*Tabla1[[#This Row],[Tiempo Ciclo]]/60/60</f>
        <v>0.17401203703703702</v>
      </c>
      <c r="J8" s="1" t="s">
        <v>8</v>
      </c>
      <c r="K8" s="25"/>
      <c r="L8" s="25">
        <v>0</v>
      </c>
      <c r="M8" s="25">
        <v>0</v>
      </c>
      <c r="N8" s="25">
        <v>46</v>
      </c>
      <c r="O8" s="20">
        <v>52</v>
      </c>
      <c r="P8" s="1">
        <f>Tabla1[[#This Row],[Noche]]-Tabla1[[#This Row],[Mañana ]]</f>
        <v>46</v>
      </c>
      <c r="Q8" s="58">
        <v>0</v>
      </c>
      <c r="R8" s="21">
        <f t="shared" si="0"/>
        <v>0</v>
      </c>
      <c r="S8" s="22">
        <f>Tabla1[[#This Row],[Merma Salas A &amp; B2]]*1000/Tabla1[[#This Row],[Peso gr.]]</f>
        <v>0</v>
      </c>
      <c r="T8" s="52">
        <v>5</v>
      </c>
      <c r="U8" s="24">
        <f>Tabla1[[#This Row],[Total piezas NOK]]/Tabla1[[#This Row],[Cant. Fabricada (uds)]]</f>
        <v>0</v>
      </c>
      <c r="V8" s="19" t="s">
        <v>783</v>
      </c>
    </row>
    <row r="9" spans="1:22" x14ac:dyDescent="0.3">
      <c r="A9" s="43">
        <v>44487</v>
      </c>
      <c r="B9" s="20" t="s">
        <v>756</v>
      </c>
      <c r="C9" s="20" t="s">
        <v>644</v>
      </c>
      <c r="D9" s="13" t="str">
        <f>VLOOKUP(C:C,'LListat referències'!A:B,2,FALSE)</f>
        <v>Tarro 200ml Quadrat estret (Tapa Rodona)</v>
      </c>
      <c r="E9" s="18">
        <f>VLOOKUP(C:C,'LListat referències'!A:D,4,FALSE)</f>
        <v>0</v>
      </c>
      <c r="F9" s="49">
        <f>VLOOKUP(C:C,'LListat referències'!A:E,5,FALSE)</f>
        <v>220.84</v>
      </c>
      <c r="G9" s="49">
        <v>122.41</v>
      </c>
      <c r="H9" s="49">
        <v>1</v>
      </c>
      <c r="I9" s="75">
        <f>Tabla1[[#This Row],[Cant. Fabricada (uds)]]/Tabla1[[#This Row],[Cavidades]]*Tabla1[[#This Row],[Tiempo Ciclo]]/60/60</f>
        <v>15.131236111111111</v>
      </c>
      <c r="J9" s="1" t="s">
        <v>7</v>
      </c>
      <c r="K9" s="25"/>
      <c r="L9" s="25">
        <v>10929</v>
      </c>
      <c r="M9" s="25">
        <v>11140</v>
      </c>
      <c r="N9" s="25">
        <v>11374</v>
      </c>
      <c r="O9" s="20">
        <v>41</v>
      </c>
      <c r="P9" s="1">
        <f>Tabla1[[#This Row],[Noche]]-Tabla1[[#This Row],[Mañana ]]</f>
        <v>445</v>
      </c>
      <c r="Q9" s="58">
        <v>3</v>
      </c>
      <c r="R9" s="21">
        <f t="shared" si="0"/>
        <v>3</v>
      </c>
      <c r="S9" s="22">
        <f>Tabla1[[#This Row],[Merma Salas A &amp; B2]]*1000/Tabla1[[#This Row],[Peso gr.]]</f>
        <v>13.584495562398116</v>
      </c>
      <c r="T9" s="52"/>
      <c r="U9" s="24">
        <f>Tabla1[[#This Row],[Total piezas NOK]]/Tabla1[[#This Row],[Cant. Fabricada (uds)]]</f>
        <v>3.0526956319995767E-2</v>
      </c>
    </row>
    <row r="10" spans="1:22" x14ac:dyDescent="0.3">
      <c r="A10" s="43">
        <v>44488</v>
      </c>
      <c r="B10" s="20" t="s">
        <v>760</v>
      </c>
      <c r="C10" s="20">
        <v>1786</v>
      </c>
      <c r="D10" s="13" t="str">
        <f>VLOOKUP(C:C,'LListat referències'!A:B,2,FALSE)</f>
        <v>Tapa borghesse 50 ml</v>
      </c>
      <c r="E10" s="18" t="str">
        <f>VLOOKUP(C:C,'LListat referències'!A:D,4,FALSE)</f>
        <v>#7 (50 ml)</v>
      </c>
      <c r="F10" s="49">
        <f>VLOOKUP(C:C,'LListat referències'!A:E,5,FALSE)</f>
        <v>8.39</v>
      </c>
      <c r="G10" s="49">
        <v>25</v>
      </c>
      <c r="H10" s="49">
        <v>2</v>
      </c>
      <c r="I10" s="75">
        <f>Tabla1[[#This Row],[Cant. Fabricada (uds)]]/Tabla1[[#This Row],[Cavidades]]*Tabla1[[#This Row],[Tiempo Ciclo]]/60/60</f>
        <v>15.979166666666666</v>
      </c>
      <c r="J10" s="1" t="s">
        <v>763</v>
      </c>
      <c r="K10" s="25"/>
      <c r="L10" s="25">
        <v>6630</v>
      </c>
      <c r="M10" s="25">
        <v>8908</v>
      </c>
      <c r="N10" s="25">
        <v>11232</v>
      </c>
      <c r="O10" s="20">
        <v>20</v>
      </c>
      <c r="P10" s="1">
        <f>Tabla1[[#This Row],[Noche]]-Tabla1[[#This Row],[Mañana ]]</f>
        <v>4602</v>
      </c>
      <c r="Q10" s="58">
        <v>10</v>
      </c>
      <c r="R10" s="21">
        <f t="shared" si="0"/>
        <v>10</v>
      </c>
      <c r="S10" s="22">
        <f>Tabla1[[#This Row],[Merma Salas A &amp; B2]]*1000/Tabla1[[#This Row],[Peso gr.]]</f>
        <v>1191.8951132300356</v>
      </c>
      <c r="T10" s="52"/>
      <c r="U10" s="24">
        <f>Tabla1[[#This Row],[Total piezas NOK]]/Tabla1[[#This Row],[Cant. Fabricada (uds)]]</f>
        <v>0.25899502677749581</v>
      </c>
      <c r="V10" s="19" t="s">
        <v>821</v>
      </c>
    </row>
    <row r="11" spans="1:22" x14ac:dyDescent="0.3">
      <c r="A11" s="43">
        <v>44488</v>
      </c>
      <c r="B11" s="20" t="s">
        <v>781</v>
      </c>
      <c r="C11" s="20" t="s">
        <v>10</v>
      </c>
      <c r="D11" s="13" t="str">
        <f>VLOOKUP(C:C,'LListat referències'!A:B,2,FALSE)</f>
        <v xml:space="preserve">Tapa 100 ml prima </v>
      </c>
      <c r="E11" s="18" t="str">
        <f>VLOOKUP(C:C,'LListat referències'!A:D,4,FALSE)</f>
        <v>#26(100 ml)</v>
      </c>
      <c r="F11" s="49">
        <f>VLOOKUP(C:C,'LListat referències'!A:E,5,FALSE)</f>
        <v>30.3</v>
      </c>
      <c r="G11" s="49">
        <v>69.400000000000006</v>
      </c>
      <c r="H11" s="49">
        <v>4</v>
      </c>
      <c r="I11" s="75">
        <f>Tabla1[[#This Row],[Cant. Fabricada (uds)]]/Tabla1[[#This Row],[Cavidades]]*Tabla1[[#This Row],[Tiempo Ciclo]]/60/60</f>
        <v>5.0941527777777784</v>
      </c>
      <c r="J11" s="1" t="s">
        <v>15</v>
      </c>
      <c r="K11" s="25"/>
      <c r="L11" s="25">
        <v>0</v>
      </c>
      <c r="M11" s="25">
        <v>0</v>
      </c>
      <c r="N11" s="25">
        <v>1057</v>
      </c>
      <c r="O11" s="20">
        <v>44</v>
      </c>
      <c r="P11" s="1">
        <f>Tabla1[[#This Row],[Noche]]-Tabla1[[#This Row],[Mañana ]]</f>
        <v>1057</v>
      </c>
      <c r="Q11" s="58">
        <v>30</v>
      </c>
      <c r="R11" s="21">
        <f t="shared" si="0"/>
        <v>30</v>
      </c>
      <c r="S11" s="22">
        <f>Tabla1[[#This Row],[Merma Salas A &amp; B2]]*1000/Tabla1[[#This Row],[Peso gr.]]</f>
        <v>990.09900990099004</v>
      </c>
      <c r="T11" s="52"/>
      <c r="U11" s="24">
        <f>Tabla1[[#This Row],[Total piezas NOK]]/Tabla1[[#This Row],[Cant. Fabricada (uds)]]</f>
        <v>0.93670672649100284</v>
      </c>
      <c r="V11" s="19" t="s">
        <v>782</v>
      </c>
    </row>
    <row r="12" spans="1:22" x14ac:dyDescent="0.3">
      <c r="A12" s="43">
        <v>44488</v>
      </c>
      <c r="B12" s="20" t="s">
        <v>759</v>
      </c>
      <c r="C12" s="20" t="s">
        <v>513</v>
      </c>
      <c r="D12" s="13" t="str">
        <f>VLOOKUP(C:C,'LListat referències'!A:B,2,FALSE)</f>
        <v>Tarro 150 ml</v>
      </c>
      <c r="E12" s="18" t="str">
        <f>VLOOKUP(C:C,'LListat referències'!A:D,4,FALSE)</f>
        <v>T057</v>
      </c>
      <c r="F12" s="49">
        <v>168</v>
      </c>
      <c r="G12" s="49">
        <v>109.1</v>
      </c>
      <c r="H12" s="49">
        <v>2</v>
      </c>
      <c r="I12" s="75">
        <f>Tabla1[[#This Row],[Cant. Fabricada (uds)]]/Tabla1[[#This Row],[Cavidades]]*Tabla1[[#This Row],[Tiempo Ciclo]]/60/60</f>
        <v>14.970944444444443</v>
      </c>
      <c r="J12" s="1" t="s">
        <v>15</v>
      </c>
      <c r="K12" s="25"/>
      <c r="L12" s="25">
        <v>7008</v>
      </c>
      <c r="M12" s="25">
        <v>7468</v>
      </c>
      <c r="N12" s="25">
        <v>7996</v>
      </c>
      <c r="O12" s="20">
        <v>43</v>
      </c>
      <c r="P12" s="1">
        <f>Tabla1[[#This Row],[Noche]]-Tabla1[[#This Row],[Mañana ]]</f>
        <v>988</v>
      </c>
      <c r="Q12" s="58">
        <v>50</v>
      </c>
      <c r="R12" s="21">
        <f t="shared" si="0"/>
        <v>50</v>
      </c>
      <c r="S12" s="22">
        <f>Tabla1[[#This Row],[Merma Salas A &amp; B2]]*1000/Tabla1[[#This Row],[Peso gr.]]</f>
        <v>297.61904761904759</v>
      </c>
      <c r="T12" s="52"/>
      <c r="U12" s="24">
        <f>Tabla1[[#This Row],[Total piezas NOK]]/Tabla1[[#This Row],[Cant. Fabricada (uds)]]</f>
        <v>0.30123385386543278</v>
      </c>
      <c r="V12" s="19" t="s">
        <v>789</v>
      </c>
    </row>
    <row r="13" spans="1:22" x14ac:dyDescent="0.3">
      <c r="A13" s="43">
        <v>44488</v>
      </c>
      <c r="B13" s="20" t="s">
        <v>756</v>
      </c>
      <c r="C13" s="20" t="s">
        <v>644</v>
      </c>
      <c r="D13" s="13" t="str">
        <f>VLOOKUP(C:C,'LListat referències'!A:B,2,FALSE)</f>
        <v>Tarro 200ml Quadrat estret (Tapa Rodona)</v>
      </c>
      <c r="E13" s="18">
        <f>VLOOKUP(C:C,'LListat referències'!A:D,4,FALSE)</f>
        <v>0</v>
      </c>
      <c r="F13" s="49">
        <f>VLOOKUP(C:C,'LListat referències'!A:E,5,FALSE)</f>
        <v>220.84</v>
      </c>
      <c r="G13" s="49">
        <v>122.41</v>
      </c>
      <c r="H13" s="49">
        <v>1</v>
      </c>
      <c r="I13" s="75">
        <f>Tabla1[[#This Row],[Cant. Fabricada (uds)]]/Tabla1[[#This Row],[Cavidades]]*Tabla1[[#This Row],[Tiempo Ciclo]]/60/60</f>
        <v>15.063230555555554</v>
      </c>
      <c r="J13" s="1" t="s">
        <v>8</v>
      </c>
      <c r="K13" s="25"/>
      <c r="L13" s="25">
        <v>11633</v>
      </c>
      <c r="M13" s="25">
        <v>11843</v>
      </c>
      <c r="N13" s="25">
        <v>12076</v>
      </c>
      <c r="O13" s="20">
        <v>41</v>
      </c>
      <c r="P13" s="1">
        <f>Tabla1[[#This Row],[Noche]]-Tabla1[[#This Row],[Mañana ]]</f>
        <v>443</v>
      </c>
      <c r="Q13" s="58">
        <v>3</v>
      </c>
      <c r="R13" s="21">
        <f t="shared" si="0"/>
        <v>3</v>
      </c>
      <c r="S13" s="22">
        <f>Tabla1[[#This Row],[Merma Salas A &amp; B2]]*1000/Tabla1[[#This Row],[Peso gr.]]</f>
        <v>13.584495562398116</v>
      </c>
      <c r="T13" s="52"/>
      <c r="U13" s="24">
        <f>Tabla1[[#This Row],[Total piezas NOK]]/Tabla1[[#This Row],[Cant. Fabricada (uds)]]</f>
        <v>3.0664775535887395E-2</v>
      </c>
    </row>
    <row r="14" spans="1:22" ht="14.4" customHeight="1" x14ac:dyDescent="0.3">
      <c r="A14" s="43">
        <v>44489</v>
      </c>
      <c r="B14" s="20" t="s">
        <v>765</v>
      </c>
      <c r="C14" s="20">
        <v>1861</v>
      </c>
      <c r="D14" s="13" t="str">
        <f>VLOOKUP(C:C,'LListat referències'!A:B,2,FALSE)</f>
        <v>Tarro 50ml Standard 8 unitats</v>
      </c>
      <c r="E14" s="18" t="str">
        <f>VLOOKUP(C:C,'LListat referències'!A:D,4,FALSE)</f>
        <v>T022</v>
      </c>
      <c r="F14" s="49">
        <f>VLOOKUP(C:C,'LListat referències'!A:E,5,FALSE)</f>
        <v>92</v>
      </c>
      <c r="G14" s="49">
        <v>148</v>
      </c>
      <c r="H14" s="49">
        <v>8</v>
      </c>
      <c r="I14" s="75">
        <f>Tabla1[[#This Row],[Cant. Fabricada (uds)]]/Tabla1[[#This Row],[Cavidades]]*Tabla1[[#This Row],[Tiempo Ciclo]]/60/60</f>
        <v>22.837222222222223</v>
      </c>
      <c r="J14" s="1" t="s">
        <v>15</v>
      </c>
      <c r="K14" s="25"/>
      <c r="L14" s="25">
        <v>0</v>
      </c>
      <c r="M14" s="25">
        <v>0</v>
      </c>
      <c r="N14" s="25">
        <v>4444</v>
      </c>
      <c r="O14" s="20">
        <v>40</v>
      </c>
      <c r="P14" s="1">
        <f>Tabla1[[#This Row],[Noche]]-Tabla1[[#This Row],[Mañana ]]</f>
        <v>4444</v>
      </c>
      <c r="Q14" s="58">
        <v>0</v>
      </c>
      <c r="R14" s="21">
        <f t="shared" si="0"/>
        <v>0</v>
      </c>
      <c r="S14" s="22">
        <f>Tabla1[[#This Row],[Merma Salas A &amp; B2]]*1000/Tabla1[[#This Row],[Peso gr.]]</f>
        <v>0</v>
      </c>
      <c r="T14" s="52">
        <v>400</v>
      </c>
      <c r="U14" s="24">
        <f>Tabla1[[#This Row],[Total piezas NOK]]/Tabla1[[#This Row],[Cant. Fabricada (uds)]]</f>
        <v>0</v>
      </c>
      <c r="V14" s="19" t="s">
        <v>849</v>
      </c>
    </row>
    <row r="15" spans="1:22" x14ac:dyDescent="0.3">
      <c r="A15" s="43">
        <v>44489</v>
      </c>
      <c r="B15" s="20" t="s">
        <v>760</v>
      </c>
      <c r="C15" s="20">
        <v>1786</v>
      </c>
      <c r="D15" s="13" t="str">
        <f>VLOOKUP(C:C,'LListat referències'!A:B,2,FALSE)</f>
        <v>Tapa borghesse 50 ml</v>
      </c>
      <c r="E15" s="18" t="str">
        <f>VLOOKUP(C:C,'LListat referències'!A:D,4,FALSE)</f>
        <v>#7 (50 ml)</v>
      </c>
      <c r="F15" s="49">
        <f>VLOOKUP(C:C,'LListat referències'!A:E,5,FALSE)</f>
        <v>8.39</v>
      </c>
      <c r="G15" s="49">
        <v>25</v>
      </c>
      <c r="H15" s="49">
        <v>2</v>
      </c>
      <c r="I15" s="75">
        <f>Tabla1[[#This Row],[Cant. Fabricada (uds)]]/Tabla1[[#This Row],[Cavidades]]*Tabla1[[#This Row],[Tiempo Ciclo]]/60/60</f>
        <v>15.756944444444445</v>
      </c>
      <c r="J15" s="1" t="s">
        <v>763</v>
      </c>
      <c r="K15" s="25"/>
      <c r="L15" s="25">
        <v>13610</v>
      </c>
      <c r="M15" s="25">
        <v>15856</v>
      </c>
      <c r="N15" s="25">
        <v>18148</v>
      </c>
      <c r="O15" s="20">
        <v>20</v>
      </c>
      <c r="P15" s="1">
        <f>Tabla1[[#This Row],[Noche]]-Tabla1[[#This Row],[Mañana ]]</f>
        <v>4538</v>
      </c>
      <c r="Q15" s="58">
        <v>5</v>
      </c>
      <c r="R15" s="21">
        <f t="shared" si="0"/>
        <v>5</v>
      </c>
      <c r="S15" s="22">
        <f>Tabla1[[#This Row],[Merma Salas A &amp; B2]]*1000/Tabla1[[#This Row],[Peso gr.]]</f>
        <v>595.94755661501779</v>
      </c>
      <c r="T15" s="52"/>
      <c r="U15" s="24">
        <f>Tabla1[[#This Row],[Total piezas NOK]]/Tabla1[[#This Row],[Cant. Fabricada (uds)]]</f>
        <v>0.13132383354231331</v>
      </c>
    </row>
    <row r="16" spans="1:22" x14ac:dyDescent="0.3">
      <c r="A16" s="43">
        <v>44489</v>
      </c>
      <c r="B16" s="20" t="s">
        <v>756</v>
      </c>
      <c r="C16" s="20" t="s">
        <v>644</v>
      </c>
      <c r="D16" s="13" t="str">
        <f>VLOOKUP(C:C,'LListat referències'!A:B,2,FALSE)</f>
        <v>Tarro 200ml Quadrat estret (Tapa Rodona)</v>
      </c>
      <c r="E16" s="18">
        <f>VLOOKUP(C:C,'LListat referències'!A:D,4,FALSE)</f>
        <v>0</v>
      </c>
      <c r="F16" s="49">
        <f>VLOOKUP(C:C,'LListat referències'!A:E,5,FALSE)</f>
        <v>220.84</v>
      </c>
      <c r="G16" s="49">
        <v>122.41</v>
      </c>
      <c r="H16" s="49">
        <v>1</v>
      </c>
      <c r="I16" s="75">
        <f>Tabla1[[#This Row],[Cant. Fabricada (uds)]]/Tabla1[[#This Row],[Cavidades]]*Tabla1[[#This Row],[Tiempo Ciclo]]/60/60</f>
        <v>15.641277777777779</v>
      </c>
      <c r="J16" s="1" t="s">
        <v>7</v>
      </c>
      <c r="K16" s="25"/>
      <c r="L16" s="25">
        <v>12320</v>
      </c>
      <c r="M16" s="25">
        <v>12545</v>
      </c>
      <c r="N16" s="25">
        <v>12780</v>
      </c>
      <c r="O16" s="20">
        <v>41</v>
      </c>
      <c r="P16" s="1">
        <f>Tabla1[[#This Row],[Noche]]-Tabla1[[#This Row],[Mañana ]]</f>
        <v>460</v>
      </c>
      <c r="Q16" s="58">
        <v>5</v>
      </c>
      <c r="R16" s="21">
        <f t="shared" si="0"/>
        <v>5</v>
      </c>
      <c r="S16" s="22">
        <f>Tabla1[[#This Row],[Merma Salas A &amp; B2]]*1000/Tabla1[[#This Row],[Peso gr.]]</f>
        <v>22.640825937330195</v>
      </c>
      <c r="T16" s="52"/>
      <c r="U16" s="24">
        <f>Tabla1[[#This Row],[Total piezas NOK]]/Tabla1[[#This Row],[Cant. Fabricada (uds)]]</f>
        <v>4.9219186820283034E-2</v>
      </c>
    </row>
    <row r="17" spans="1:22" x14ac:dyDescent="0.3">
      <c r="A17" s="43">
        <v>44489</v>
      </c>
      <c r="B17" s="20" t="s">
        <v>759</v>
      </c>
      <c r="C17" s="20" t="s">
        <v>507</v>
      </c>
      <c r="D17" s="13" t="str">
        <f>VLOOKUP(C:C,'LListat referències'!A:B,2,FALSE)</f>
        <v>Tarro 150 cc</v>
      </c>
      <c r="E17" s="18" t="str">
        <f>VLOOKUP(C:C,'LListat referències'!A:D,4,FALSE)</f>
        <v>T057</v>
      </c>
      <c r="F17" s="49">
        <v>168</v>
      </c>
      <c r="G17" s="49">
        <v>109.1</v>
      </c>
      <c r="H17" s="49">
        <v>2</v>
      </c>
      <c r="I17" s="75">
        <f>Tabla1[[#This Row],[Cant. Fabricada (uds)]]/Tabla1[[#This Row],[Cavidades]]*Tabla1[[#This Row],[Tiempo Ciclo]]/60/60</f>
        <v>15.577055555555553</v>
      </c>
      <c r="J17" s="1" t="s">
        <v>15</v>
      </c>
      <c r="K17" s="25"/>
      <c r="L17" s="25">
        <v>8540</v>
      </c>
      <c r="M17" s="25">
        <v>9042</v>
      </c>
      <c r="N17" s="25">
        <v>9568</v>
      </c>
      <c r="O17" s="20">
        <v>43</v>
      </c>
      <c r="P17" s="1">
        <f>Tabla1[[#This Row],[Noche]]-Tabla1[[#This Row],[Mañana ]]</f>
        <v>1028</v>
      </c>
      <c r="Q17" s="58">
        <v>15</v>
      </c>
      <c r="R17" s="21">
        <f t="shared" si="0"/>
        <v>15</v>
      </c>
      <c r="S17" s="22">
        <f>Tabla1[[#This Row],[Merma Salas A &amp; B2]]*1000/Tabla1[[#This Row],[Peso gr.]]</f>
        <v>89.285714285714292</v>
      </c>
      <c r="T17" s="52"/>
      <c r="U17" s="24">
        <f>Tabla1[[#This Row],[Total piezas NOK]]/Tabla1[[#This Row],[Cant. Fabricada (uds)]]</f>
        <v>8.6853807670928304E-2</v>
      </c>
    </row>
    <row r="18" spans="1:22" x14ac:dyDescent="0.3">
      <c r="A18" s="43">
        <v>44489</v>
      </c>
      <c r="B18" s="20" t="s">
        <v>766</v>
      </c>
      <c r="C18" s="20" t="s">
        <v>295</v>
      </c>
      <c r="D18" s="13" t="str">
        <f>VLOOKUP(C:C,'LListat referències'!A:B,2,FALSE)</f>
        <v>Tarro 15 ml. Tinter Quadrat</v>
      </c>
      <c r="E18" s="18" t="str">
        <f>VLOOKUP(C:C,'LListat referències'!A:D,4,FALSE)</f>
        <v>T124</v>
      </c>
      <c r="F18" s="49">
        <f>VLOOKUP(C:C,'LListat referències'!A:E,5,FALSE)</f>
        <v>69.75</v>
      </c>
      <c r="G18" s="49">
        <v>111.2</v>
      </c>
      <c r="H18" s="49">
        <v>4</v>
      </c>
      <c r="I18" s="75">
        <f>Tabla1[[#This Row],[Cant. Fabricada (uds)]]/Tabla1[[#This Row],[Cavidades]]*Tabla1[[#This Row],[Tiempo Ciclo]]/60/60</f>
        <v>7.7222222222222223</v>
      </c>
      <c r="J18" s="1" t="s">
        <v>8</v>
      </c>
      <c r="K18" s="25"/>
      <c r="L18" s="25">
        <v>8128</v>
      </c>
      <c r="M18" s="25">
        <v>8610</v>
      </c>
      <c r="N18" s="25">
        <v>9128</v>
      </c>
      <c r="O18" s="20">
        <v>38</v>
      </c>
      <c r="P18" s="1">
        <f>Tabla1[[#This Row],[Noche]]-Tabla1[[#This Row],[Mañana ]]</f>
        <v>1000</v>
      </c>
      <c r="Q18" s="58">
        <v>3.5</v>
      </c>
      <c r="R18" s="21">
        <f t="shared" si="0"/>
        <v>3.5</v>
      </c>
      <c r="S18" s="22">
        <f>Tabla1[[#This Row],[Merma Salas A &amp; B2]]*1000/Tabla1[[#This Row],[Peso gr.]]</f>
        <v>50.179211469534053</v>
      </c>
      <c r="T18" s="52"/>
      <c r="U18" s="24">
        <f>Tabla1[[#This Row],[Total piezas NOK]]/Tabla1[[#This Row],[Cant. Fabricada (uds)]]</f>
        <v>5.0179211469534052E-2</v>
      </c>
    </row>
    <row r="19" spans="1:22" x14ac:dyDescent="0.3">
      <c r="A19" s="43">
        <v>44490</v>
      </c>
      <c r="B19" s="20" t="s">
        <v>767</v>
      </c>
      <c r="C19" s="20">
        <v>1790</v>
      </c>
      <c r="D19" s="13" t="str">
        <f>VLOOKUP(C:C,'LListat referències'!A:B,2,FALSE)</f>
        <v>Tarro 100ml</v>
      </c>
      <c r="E19" s="18" t="str">
        <f>VLOOKUP(C:C,'LListat referències'!A:D,4,FALSE)</f>
        <v>T029</v>
      </c>
      <c r="F19" s="49">
        <f>VLOOKUP(C:C,'LListat referències'!A:E,5,FALSE)</f>
        <v>151</v>
      </c>
      <c r="G19" s="49">
        <v>136.1</v>
      </c>
      <c r="H19" s="49">
        <v>2</v>
      </c>
      <c r="I19" s="75">
        <f>Tabla1[[#This Row],[Cant. Fabricada (uds)]]/Tabla1[[#This Row],[Cavidades]]*Tabla1[[#This Row],[Tiempo Ciclo]]/60/60</f>
        <v>6.7671944444444438</v>
      </c>
      <c r="J19" s="1" t="s">
        <v>7</v>
      </c>
      <c r="K19" s="25"/>
      <c r="L19" s="25">
        <v>568</v>
      </c>
      <c r="M19" s="25">
        <v>753</v>
      </c>
      <c r="N19" s="25">
        <v>926</v>
      </c>
      <c r="O19" s="20">
        <v>51</v>
      </c>
      <c r="P19" s="1">
        <f>Tabla1[[#This Row],[Noche]]-Tabla1[[#This Row],[Mañana ]]</f>
        <v>358</v>
      </c>
      <c r="Q19" s="58">
        <v>20</v>
      </c>
      <c r="R19" s="21">
        <f t="shared" si="0"/>
        <v>20</v>
      </c>
      <c r="S19" s="22">
        <f>Tabla1[[#This Row],[Merma Salas A &amp; B2]]*1000/Tabla1[[#This Row],[Peso gr.]]</f>
        <v>132.4503311258278</v>
      </c>
      <c r="T19" s="52"/>
      <c r="U19" s="24">
        <f>Tabla1[[#This Row],[Total piezas NOK]]/Tabla1[[#This Row],[Cant. Fabricada (uds)]]</f>
        <v>0.36997299197158606</v>
      </c>
    </row>
    <row r="20" spans="1:22" x14ac:dyDescent="0.3">
      <c r="A20" s="43">
        <v>44490</v>
      </c>
      <c r="B20" s="20" t="s">
        <v>759</v>
      </c>
      <c r="C20" s="20" t="s">
        <v>513</v>
      </c>
      <c r="D20" s="13" t="str">
        <f>VLOOKUP(C:C,'LListat referències'!A:B,2,FALSE)</f>
        <v>Tarro 150 ml</v>
      </c>
      <c r="E20" s="18" t="str">
        <f>VLOOKUP(C:C,'LListat referències'!A:D,4,FALSE)</f>
        <v>T057</v>
      </c>
      <c r="F20" s="49">
        <v>168</v>
      </c>
      <c r="G20" s="49">
        <v>109.1</v>
      </c>
      <c r="H20" s="49">
        <v>2</v>
      </c>
      <c r="I20" s="75">
        <f>Tabla1[[#This Row],[Cant. Fabricada (uds)]]/Tabla1[[#This Row],[Cavidades]]*Tabla1[[#This Row],[Tiempo Ciclo]]/60/60</f>
        <v>15.243694444444442</v>
      </c>
      <c r="J20" s="1" t="s">
        <v>15</v>
      </c>
      <c r="K20" s="25"/>
      <c r="L20" s="25">
        <v>10134</v>
      </c>
      <c r="M20" s="25">
        <v>10608</v>
      </c>
      <c r="N20" s="25">
        <v>11140</v>
      </c>
      <c r="O20" s="20">
        <v>43</v>
      </c>
      <c r="P20" s="1">
        <f>Tabla1[[#This Row],[Noche]]-Tabla1[[#This Row],[Mañana ]]</f>
        <v>1006</v>
      </c>
      <c r="Q20" s="58">
        <v>2.5</v>
      </c>
      <c r="R20" s="21">
        <f t="shared" si="0"/>
        <v>2.5</v>
      </c>
      <c r="S20" s="22">
        <f>Tabla1[[#This Row],[Merma Salas A &amp; B2]]*1000/Tabla1[[#This Row],[Peso gr.]]</f>
        <v>14.880952380952381</v>
      </c>
      <c r="T20" s="52"/>
      <c r="U20" s="24">
        <f>Tabla1[[#This Row],[Total piezas NOK]]/Tabla1[[#This Row],[Cant. Fabricada (uds)]]</f>
        <v>1.4792199185837357E-2</v>
      </c>
    </row>
    <row r="21" spans="1:22" x14ac:dyDescent="0.3">
      <c r="A21" s="43">
        <v>44490</v>
      </c>
      <c r="B21" s="20" t="s">
        <v>766</v>
      </c>
      <c r="C21" s="20" t="s">
        <v>295</v>
      </c>
      <c r="D21" s="13" t="str">
        <f>VLOOKUP(C:C,'LListat referències'!A:B,2,FALSE)</f>
        <v>Tarro 15 ml. Tinter Quadrat</v>
      </c>
      <c r="E21" s="18" t="str">
        <f>VLOOKUP(C:C,'LListat referències'!A:D,4,FALSE)</f>
        <v>T124</v>
      </c>
      <c r="F21" s="49">
        <f>VLOOKUP(C:C,'LListat referències'!A:E,5,FALSE)</f>
        <v>69.75</v>
      </c>
      <c r="G21" s="49">
        <v>111.2</v>
      </c>
      <c r="H21" s="49">
        <v>4</v>
      </c>
      <c r="I21" s="75">
        <f>Tabla1[[#This Row],[Cant. Fabricada (uds)]]/Tabla1[[#This Row],[Cavidades]]*Tabla1[[#This Row],[Tiempo Ciclo]]/60/60</f>
        <v>7.5523333333333342</v>
      </c>
      <c r="J21" s="1" t="s">
        <v>8</v>
      </c>
      <c r="K21" s="25"/>
      <c r="L21" s="25">
        <v>9678</v>
      </c>
      <c r="M21" s="25">
        <v>10138</v>
      </c>
      <c r="N21" s="25">
        <v>10656</v>
      </c>
      <c r="O21" s="20">
        <v>38</v>
      </c>
      <c r="P21" s="1">
        <f>Tabla1[[#This Row],[Noche]]-Tabla1[[#This Row],[Mañana ]]</f>
        <v>978</v>
      </c>
      <c r="Q21" s="58">
        <v>5</v>
      </c>
      <c r="R21" s="21">
        <f t="shared" si="0"/>
        <v>5</v>
      </c>
      <c r="S21" s="22">
        <f>Tabla1[[#This Row],[Merma Salas A &amp; B2]]*1000/Tabla1[[#This Row],[Peso gr.]]</f>
        <v>71.68458781362007</v>
      </c>
      <c r="T21" s="52"/>
      <c r="U21" s="24">
        <f>Tabla1[[#This Row],[Total piezas NOK]]/Tabla1[[#This Row],[Cant. Fabricada (uds)]]</f>
        <v>7.3297124553803758E-2</v>
      </c>
    </row>
    <row r="22" spans="1:22" ht="14.4" customHeight="1" x14ac:dyDescent="0.3">
      <c r="A22" s="43">
        <v>44490</v>
      </c>
      <c r="B22" s="20" t="s">
        <v>765</v>
      </c>
      <c r="C22" s="20">
        <v>1861</v>
      </c>
      <c r="D22" s="13" t="str">
        <f>VLOOKUP(C:C,'LListat referències'!A:B,2,FALSE)</f>
        <v>Tarro 50ml Standard 8 unitats</v>
      </c>
      <c r="E22" s="18" t="str">
        <f>VLOOKUP(C:C,'LListat referències'!A:D,4,FALSE)</f>
        <v>T022</v>
      </c>
      <c r="F22" s="49">
        <f>VLOOKUP(C:C,'LListat referències'!A:E,5,FALSE)</f>
        <v>92</v>
      </c>
      <c r="G22" s="49">
        <v>148</v>
      </c>
      <c r="H22" s="49">
        <v>8</v>
      </c>
      <c r="I22" s="75">
        <f>Tabla1[[#This Row],[Cant. Fabricada (uds)]]/Tabla1[[#This Row],[Cavidades]]*Tabla1[[#This Row],[Tiempo Ciclo]]/60/60</f>
        <v>17.127916666666668</v>
      </c>
      <c r="J22" s="1" t="s">
        <v>15</v>
      </c>
      <c r="K22" s="25"/>
      <c r="L22" s="25">
        <v>0</v>
      </c>
      <c r="M22" s="25">
        <v>0</v>
      </c>
      <c r="N22" s="25">
        <v>3333</v>
      </c>
      <c r="O22" s="20">
        <v>40</v>
      </c>
      <c r="P22" s="1">
        <f>Tabla1[[#This Row],[Noche]]-Tabla1[[#This Row],[Mañana ]]</f>
        <v>3333</v>
      </c>
      <c r="Q22" s="58">
        <v>0</v>
      </c>
      <c r="R22" s="21">
        <f t="shared" si="0"/>
        <v>0</v>
      </c>
      <c r="S22" s="22">
        <f>Tabla1[[#This Row],[Merma Salas A &amp; B2]]*1000/Tabla1[[#This Row],[Peso gr.]]</f>
        <v>0</v>
      </c>
      <c r="T22" s="52">
        <v>300</v>
      </c>
      <c r="U22" s="24">
        <f>Tabla1[[#This Row],[Total piezas NOK]]/Tabla1[[#This Row],[Cant. Fabricada (uds)]]</f>
        <v>0</v>
      </c>
      <c r="V22" s="19" t="s">
        <v>779</v>
      </c>
    </row>
    <row r="23" spans="1:22" x14ac:dyDescent="0.3">
      <c r="A23" s="43">
        <v>44490</v>
      </c>
      <c r="B23" s="20" t="s">
        <v>756</v>
      </c>
      <c r="C23" s="20" t="s">
        <v>644</v>
      </c>
      <c r="D23" s="13" t="str">
        <f>VLOOKUP(C:C,'LListat referències'!A:B,2,FALSE)</f>
        <v>Tarro 200ml Quadrat estret (Tapa Rodona)</v>
      </c>
      <c r="E23" s="18">
        <f>VLOOKUP(C:C,'LListat referències'!A:D,4,FALSE)</f>
        <v>0</v>
      </c>
      <c r="F23" s="49">
        <f>VLOOKUP(C:C,'LListat referències'!A:E,5,FALSE)</f>
        <v>220.84</v>
      </c>
      <c r="G23" s="49">
        <v>122.41</v>
      </c>
      <c r="H23" s="49">
        <v>1</v>
      </c>
      <c r="I23" s="75">
        <f>Tabla1[[#This Row],[Cant. Fabricada (uds)]]/Tabla1[[#This Row],[Cavidades]]*Tabla1[[#This Row],[Tiempo Ciclo]]/60/60</f>
        <v>15.369255555555556</v>
      </c>
      <c r="J23" s="1" t="s">
        <v>7</v>
      </c>
      <c r="K23" s="25"/>
      <c r="L23" s="25">
        <v>13032</v>
      </c>
      <c r="M23" s="25">
        <v>13248</v>
      </c>
      <c r="N23" s="25">
        <v>13484</v>
      </c>
      <c r="O23" s="20">
        <v>41</v>
      </c>
      <c r="P23" s="1">
        <f>Tabla1[[#This Row],[Noche]]-Tabla1[[#This Row],[Mañana ]]</f>
        <v>452</v>
      </c>
      <c r="Q23" s="58">
        <v>3</v>
      </c>
      <c r="R23" s="21">
        <f t="shared" si="0"/>
        <v>3</v>
      </c>
      <c r="S23" s="22">
        <f>Tabla1[[#This Row],[Merma Salas A &amp; B2]]*1000/Tabla1[[#This Row],[Peso gr.]]</f>
        <v>13.584495562398116</v>
      </c>
      <c r="T23" s="52"/>
      <c r="U23" s="24">
        <f>Tabla1[[#This Row],[Total piezas NOK]]/Tabla1[[#This Row],[Cant. Fabricada (uds)]]</f>
        <v>3.0054193722119725E-2</v>
      </c>
    </row>
    <row r="24" spans="1:22" x14ac:dyDescent="0.3">
      <c r="A24" s="43">
        <v>44490</v>
      </c>
      <c r="B24" s="20" t="s">
        <v>781</v>
      </c>
      <c r="C24" s="20" t="s">
        <v>10</v>
      </c>
      <c r="D24" s="13" t="str">
        <f>VLOOKUP(C:C,'LListat referències'!A:B,2,FALSE)</f>
        <v xml:space="preserve">Tapa 100 ml prima </v>
      </c>
      <c r="E24" s="18" t="str">
        <f>VLOOKUP(C:C,'LListat referències'!A:D,4,FALSE)</f>
        <v>#26(100 ml)</v>
      </c>
      <c r="F24" s="49">
        <f>VLOOKUP(C:C,'LListat referències'!A:E,5,FALSE)</f>
        <v>30.3</v>
      </c>
      <c r="G24" s="49">
        <v>69.400000000000006</v>
      </c>
      <c r="H24" s="49">
        <v>4</v>
      </c>
      <c r="I24" s="75">
        <f>Tabla1[[#This Row],[Cant. Fabricada (uds)]]/Tabla1[[#This Row],[Cavidades]]*Tabla1[[#This Row],[Tiempo Ciclo]]/60/60</f>
        <v>2.5446666666666666</v>
      </c>
      <c r="J24" s="1" t="s">
        <v>15</v>
      </c>
      <c r="K24" s="25"/>
      <c r="L24" s="25">
        <v>0</v>
      </c>
      <c r="M24" s="25">
        <v>0</v>
      </c>
      <c r="N24" s="25">
        <v>528</v>
      </c>
      <c r="O24" s="20">
        <v>44</v>
      </c>
      <c r="P24" s="1">
        <f>Tabla1[[#This Row],[Noche]]-Tabla1[[#This Row],[Mañana ]]</f>
        <v>528</v>
      </c>
      <c r="Q24" s="58">
        <v>0</v>
      </c>
      <c r="R24" s="21">
        <f t="shared" si="0"/>
        <v>0</v>
      </c>
      <c r="S24" s="22">
        <f>Tabla1[[#This Row],[Merma Salas A &amp; B2]]*1000/Tabla1[[#This Row],[Peso gr.]]</f>
        <v>0</v>
      </c>
      <c r="T24" s="52">
        <v>15</v>
      </c>
      <c r="U24" s="24">
        <f>Tabla1[[#This Row],[Total piezas NOK]]/Tabla1[[#This Row],[Cant. Fabricada (uds)]]</f>
        <v>0</v>
      </c>
      <c r="V24" s="19" t="s">
        <v>782</v>
      </c>
    </row>
    <row r="25" spans="1:22" x14ac:dyDescent="0.3">
      <c r="A25" s="43">
        <v>44491</v>
      </c>
      <c r="B25" s="20" t="s">
        <v>759</v>
      </c>
      <c r="C25" s="20" t="s">
        <v>513</v>
      </c>
      <c r="D25" s="13" t="str">
        <f>VLOOKUP(C:C,'LListat referències'!A:B,2,FALSE)</f>
        <v>Tarro 150 ml</v>
      </c>
      <c r="E25" s="18" t="str">
        <f>VLOOKUP(C:C,'LListat referències'!A:D,4,FALSE)</f>
        <v>T057</v>
      </c>
      <c r="F25" s="49">
        <v>168</v>
      </c>
      <c r="G25" s="49">
        <v>109.1</v>
      </c>
      <c r="H25" s="49">
        <v>2</v>
      </c>
      <c r="I25" s="75">
        <f>Tabla1[[#This Row],[Cant. Fabricada (uds)]]/Tabla1[[#This Row],[Cavidades]]*Tabla1[[#This Row],[Tiempo Ciclo]]/60/60</f>
        <v>14.607277777777776</v>
      </c>
      <c r="J25" s="1" t="s">
        <v>15</v>
      </c>
      <c r="K25" s="25"/>
      <c r="L25" s="25">
        <v>11670</v>
      </c>
      <c r="M25" s="25">
        <v>12196</v>
      </c>
      <c r="N25" s="25">
        <v>12634</v>
      </c>
      <c r="O25" s="20">
        <v>43</v>
      </c>
      <c r="P25" s="1">
        <f>Tabla1[[#This Row],[Noche]]-Tabla1[[#This Row],[Mañana ]]</f>
        <v>964</v>
      </c>
      <c r="Q25" s="58">
        <v>2.5</v>
      </c>
      <c r="R25" s="21">
        <f t="shared" si="0"/>
        <v>2.5</v>
      </c>
      <c r="S25" s="22">
        <f>Tabla1[[#This Row],[Merma Salas A &amp; B2]]*1000/Tabla1[[#This Row],[Peso gr.]]</f>
        <v>14.880952380952381</v>
      </c>
      <c r="T25" s="52"/>
      <c r="U25" s="24">
        <f>Tabla1[[#This Row],[Total piezas NOK]]/Tabla1[[#This Row],[Cant. Fabricada (uds)]]</f>
        <v>1.5436672594348944E-2</v>
      </c>
    </row>
    <row r="26" spans="1:22" x14ac:dyDescent="0.3">
      <c r="A26" s="43">
        <v>44491</v>
      </c>
      <c r="B26" s="20" t="s">
        <v>756</v>
      </c>
      <c r="C26" s="20" t="s">
        <v>644</v>
      </c>
      <c r="D26" s="13" t="str">
        <f>VLOOKUP(C:C,'LListat referències'!A:B,2,FALSE)</f>
        <v>Tarro 200ml Quadrat estret (Tapa Rodona)</v>
      </c>
      <c r="E26" s="18">
        <f>VLOOKUP(C:C,'LListat referències'!A:D,4,FALSE)</f>
        <v>0</v>
      </c>
      <c r="F26" s="49">
        <f>VLOOKUP(C:C,'LListat referències'!A:E,5,FALSE)</f>
        <v>220.84</v>
      </c>
      <c r="G26" s="49">
        <v>122.41</v>
      </c>
      <c r="H26" s="49">
        <v>1</v>
      </c>
      <c r="I26" s="75">
        <f>Tabla1[[#This Row],[Cant. Fabricada (uds)]]/Tabla1[[#This Row],[Cavidades]]*Tabla1[[#This Row],[Tiempo Ciclo]]/60/60</f>
        <v>14.145155555555556</v>
      </c>
      <c r="J26" s="1" t="s">
        <v>7</v>
      </c>
      <c r="K26" s="25"/>
      <c r="L26" s="25">
        <v>13721</v>
      </c>
      <c r="M26" s="25">
        <v>13951</v>
      </c>
      <c r="N26" s="25">
        <v>14137</v>
      </c>
      <c r="O26" s="20">
        <v>41</v>
      </c>
      <c r="P26" s="1">
        <f>Tabla1[[#This Row],[Noche]]-Tabla1[[#This Row],[Mañana ]]</f>
        <v>416</v>
      </c>
      <c r="Q26" s="58">
        <v>3</v>
      </c>
      <c r="R26" s="21">
        <f t="shared" si="0"/>
        <v>3</v>
      </c>
      <c r="S26" s="22">
        <f>Tabla1[[#This Row],[Merma Salas A &amp; B2]]*1000/Tabla1[[#This Row],[Peso gr.]]</f>
        <v>13.584495562398116</v>
      </c>
      <c r="T26" s="52"/>
      <c r="U26" s="24">
        <f>Tabla1[[#This Row],[Total piezas NOK]]/Tabla1[[#This Row],[Cant. Fabricada (uds)]]</f>
        <v>3.2655037409610857E-2</v>
      </c>
    </row>
    <row r="27" spans="1:22" x14ac:dyDescent="0.3">
      <c r="A27" s="43">
        <v>44491</v>
      </c>
      <c r="B27" s="20" t="s">
        <v>768</v>
      </c>
      <c r="C27" s="20">
        <v>1786</v>
      </c>
      <c r="D27" s="13" t="str">
        <f>VLOOKUP(C:C,'LListat referències'!A:B,2,FALSE)</f>
        <v>Tapa borghesse 50 ml</v>
      </c>
      <c r="E27" s="18" t="str">
        <f>VLOOKUP(C:C,'LListat referències'!A:D,4,FALSE)</f>
        <v>#7 (50 ml)</v>
      </c>
      <c r="F27" s="49">
        <f>VLOOKUP(C:C,'LListat referències'!A:E,5,FALSE)</f>
        <v>8.39</v>
      </c>
      <c r="G27" s="49">
        <v>25</v>
      </c>
      <c r="H27" s="49">
        <v>2</v>
      </c>
      <c r="I27" s="75">
        <f>Tabla1[[#This Row],[Cant. Fabricada (uds)]]/Tabla1[[#This Row],[Cavidades]]*Tabla1[[#This Row],[Tiempo Ciclo]]/60/60</f>
        <v>13.472222222222223</v>
      </c>
      <c r="J27" s="1" t="s">
        <v>763</v>
      </c>
      <c r="K27" s="25"/>
      <c r="L27" s="25">
        <v>0</v>
      </c>
      <c r="M27" s="25">
        <v>1372</v>
      </c>
      <c r="N27" s="25">
        <v>3880</v>
      </c>
      <c r="O27" s="20">
        <v>20</v>
      </c>
      <c r="P27" s="1">
        <f>Tabla1[[#This Row],[Noche]]-Tabla1[[#This Row],[Mañana ]]</f>
        <v>3880</v>
      </c>
      <c r="Q27" s="58">
        <v>5</v>
      </c>
      <c r="R27" s="21">
        <f t="shared" si="0"/>
        <v>5</v>
      </c>
      <c r="S27" s="22">
        <f>Tabla1[[#This Row],[Merma Salas A &amp; B2]]*1000/Tabla1[[#This Row],[Peso gr.]]</f>
        <v>595.94755661501779</v>
      </c>
      <c r="T27" s="52"/>
      <c r="U27" s="24">
        <f>Tabla1[[#This Row],[Total piezas NOK]]/Tabla1[[#This Row],[Cant. Fabricada (uds)]]</f>
        <v>0.1535947310863448</v>
      </c>
    </row>
    <row r="28" spans="1:22" x14ac:dyDescent="0.3">
      <c r="A28" s="43">
        <v>44491</v>
      </c>
      <c r="B28" s="20" t="s">
        <v>766</v>
      </c>
      <c r="C28" s="20" t="s">
        <v>295</v>
      </c>
      <c r="D28" s="13" t="str">
        <f>VLOOKUP(C:C,'LListat referències'!A:B,2,FALSE)</f>
        <v>Tarro 15 ml. Tinter Quadrat</v>
      </c>
      <c r="E28" s="18" t="str">
        <f>VLOOKUP(C:C,'LListat referències'!A:D,4,FALSE)</f>
        <v>T124</v>
      </c>
      <c r="F28" s="49">
        <f>VLOOKUP(C:C,'LListat referències'!A:E,5,FALSE)</f>
        <v>69.75</v>
      </c>
      <c r="G28" s="49">
        <v>111.2</v>
      </c>
      <c r="H28" s="49">
        <v>4</v>
      </c>
      <c r="I28" s="75">
        <f>Tabla1[[#This Row],[Cant. Fabricada (uds)]]/Tabla1[[#This Row],[Cavidades]]*Tabla1[[#This Row],[Tiempo Ciclo]]/60/60</f>
        <v>2.5946666666666669</v>
      </c>
      <c r="J28" s="1" t="s">
        <v>8</v>
      </c>
      <c r="K28" s="25"/>
      <c r="L28" s="25">
        <v>11168</v>
      </c>
      <c r="M28" s="25">
        <v>11504</v>
      </c>
      <c r="N28" s="25">
        <v>11504</v>
      </c>
      <c r="O28" s="20">
        <v>38</v>
      </c>
      <c r="P28" s="1">
        <f>Tabla1[[#This Row],[Noche]]-Tabla1[[#This Row],[Mañana ]]</f>
        <v>336</v>
      </c>
      <c r="Q28" s="58">
        <v>10</v>
      </c>
      <c r="R28" s="21">
        <f t="shared" si="0"/>
        <v>10</v>
      </c>
      <c r="S28" s="22">
        <f>Tabla1[[#This Row],[Merma Salas A &amp; B2]]*1000/Tabla1[[#This Row],[Peso gr.]]</f>
        <v>143.36917562724014</v>
      </c>
      <c r="T28" s="52"/>
      <c r="U28" s="24">
        <f>Tabla1[[#This Row],[Total piezas NOK]]/Tabla1[[#This Row],[Cant. Fabricada (uds)]]</f>
        <v>0.42669397508107182</v>
      </c>
    </row>
    <row r="29" spans="1:22" x14ac:dyDescent="0.3">
      <c r="A29" s="43">
        <v>44494</v>
      </c>
      <c r="B29" s="20" t="s">
        <v>753</v>
      </c>
      <c r="C29" s="20">
        <v>1945</v>
      </c>
      <c r="D29" s="13" t="str">
        <f>VLOOKUP(C:C,'LListat referències'!A:B,2,FALSE)</f>
        <v>Tarro 400 ml</v>
      </c>
      <c r="E29" s="18" t="str">
        <f>VLOOKUP(C:C,'LListat referències'!A:D,4,FALSE)</f>
        <v>T113</v>
      </c>
      <c r="F29" s="49">
        <f>VLOOKUP(C:C,'LListat referències'!A:E,5,FALSE)</f>
        <v>211</v>
      </c>
      <c r="G29" s="49">
        <v>102</v>
      </c>
      <c r="H29" s="49">
        <v>2</v>
      </c>
      <c r="I29" s="75">
        <f>Tabla1[[#This Row],[Cant. Fabricada (uds)]]/Tabla1[[#This Row],[Cavidades]]*Tabla1[[#This Row],[Tiempo Ciclo]]/60/60</f>
        <v>2.3800000000000003</v>
      </c>
      <c r="J29" s="1" t="s">
        <v>15</v>
      </c>
      <c r="K29" s="25"/>
      <c r="L29" s="25">
        <v>0</v>
      </c>
      <c r="M29" s="25">
        <v>0</v>
      </c>
      <c r="N29" s="25">
        <v>168</v>
      </c>
      <c r="O29" s="20">
        <v>7</v>
      </c>
      <c r="P29" s="1">
        <f>Tabla1[[#This Row],[Noche]]-Tabla1[[#This Row],[Mañana ]]</f>
        <v>168</v>
      </c>
      <c r="Q29" s="58">
        <v>0</v>
      </c>
      <c r="R29" s="21">
        <f t="shared" si="0"/>
        <v>0</v>
      </c>
      <c r="S29" s="22">
        <f>Tabla1[[#This Row],[Merma Salas A &amp; B2]]*1000/Tabla1[[#This Row],[Peso gr.]]</f>
        <v>0</v>
      </c>
      <c r="T29" s="52">
        <v>35</v>
      </c>
      <c r="U29" s="24">
        <f>Tabla1[[#This Row],[Total piezas NOK]]/Tabla1[[#This Row],[Cant. Fabricada (uds)]]</f>
        <v>0</v>
      </c>
      <c r="V29" s="19" t="s">
        <v>780</v>
      </c>
    </row>
    <row r="30" spans="1:22" x14ac:dyDescent="0.3">
      <c r="A30" s="43">
        <v>44494</v>
      </c>
      <c r="B30" s="20" t="s">
        <v>759</v>
      </c>
      <c r="C30" s="20" t="s">
        <v>513</v>
      </c>
      <c r="D30" s="13" t="str">
        <f>VLOOKUP(C:C,'LListat referències'!A:B,2,FALSE)</f>
        <v>Tarro 150 ml</v>
      </c>
      <c r="E30" s="18" t="str">
        <f>VLOOKUP(C:C,'LListat referències'!A:D,4,FALSE)</f>
        <v>T057</v>
      </c>
      <c r="F30" s="49">
        <v>168</v>
      </c>
      <c r="G30" s="49">
        <v>109.1</v>
      </c>
      <c r="H30" s="49">
        <v>2</v>
      </c>
      <c r="I30" s="75">
        <f>Tabla1[[#This Row],[Cant. Fabricada (uds)]]/Tabla1[[#This Row],[Cavidades]]*Tabla1[[#This Row],[Tiempo Ciclo]]/60/60</f>
        <v>15.940722222222222</v>
      </c>
      <c r="J30" s="1" t="s">
        <v>15</v>
      </c>
      <c r="K30" s="25"/>
      <c r="L30" s="25">
        <v>12968</v>
      </c>
      <c r="M30" s="25">
        <v>13468</v>
      </c>
      <c r="N30" s="25">
        <v>14020</v>
      </c>
      <c r="O30" s="20">
        <v>43</v>
      </c>
      <c r="P30" s="1">
        <f>Tabla1[[#This Row],[Noche]]-Tabla1[[#This Row],[Mañana ]]</f>
        <v>1052</v>
      </c>
      <c r="Q30" s="58">
        <v>2.5</v>
      </c>
      <c r="R30" s="21">
        <f t="shared" si="0"/>
        <v>2.5</v>
      </c>
      <c r="S30" s="22">
        <f>Tabla1[[#This Row],[Merma Salas A &amp; B2]]*1000/Tabla1[[#This Row],[Peso gr.]]</f>
        <v>14.880952380952381</v>
      </c>
      <c r="T30" s="52"/>
      <c r="U30" s="24">
        <f>Tabla1[[#This Row],[Total piezas NOK]]/Tabla1[[#This Row],[Cant. Fabricada (uds)]]</f>
        <v>1.4145391997103024E-2</v>
      </c>
    </row>
    <row r="31" spans="1:22" x14ac:dyDescent="0.3">
      <c r="A31" s="43">
        <v>44494</v>
      </c>
      <c r="B31" s="20" t="s">
        <v>767</v>
      </c>
      <c r="C31" s="20">
        <v>1790</v>
      </c>
      <c r="D31" s="13" t="str">
        <f>VLOOKUP(C:C,'LListat referències'!A:B,2,FALSE)</f>
        <v>Tarro 100ml</v>
      </c>
      <c r="E31" s="18" t="str">
        <f>VLOOKUP(C:C,'LListat referències'!A:D,4,FALSE)</f>
        <v>T029</v>
      </c>
      <c r="F31" s="49">
        <f>VLOOKUP(C:C,'LListat referències'!A:E,5,FALSE)</f>
        <v>151</v>
      </c>
      <c r="G31" s="49">
        <v>136.1</v>
      </c>
      <c r="H31" s="49">
        <v>2</v>
      </c>
      <c r="I31" s="75">
        <f>Tabla1[[#This Row],[Cant. Fabricada (uds)]]/Tabla1[[#This Row],[Cavidades]]*Tabla1[[#This Row],[Tiempo Ciclo]]/60/60</f>
        <v>7.7879444444444443</v>
      </c>
      <c r="J31" s="1" t="s">
        <v>7</v>
      </c>
      <c r="K31" s="25"/>
      <c r="L31" s="25">
        <v>1138</v>
      </c>
      <c r="M31" s="25">
        <v>1322</v>
      </c>
      <c r="N31" s="25">
        <v>1550</v>
      </c>
      <c r="O31" s="20">
        <v>51</v>
      </c>
      <c r="P31" s="1">
        <f>Tabla1[[#This Row],[Noche]]-Tabla1[[#This Row],[Mañana ]]</f>
        <v>412</v>
      </c>
      <c r="Q31" s="58">
        <v>0.3</v>
      </c>
      <c r="R31" s="21">
        <f t="shared" si="0"/>
        <v>0.3</v>
      </c>
      <c r="S31" s="22">
        <f>Tabla1[[#This Row],[Merma Salas A &amp; B2]]*1000/Tabla1[[#This Row],[Peso gr.]]</f>
        <v>1.9867549668874172</v>
      </c>
      <c r="T31" s="52"/>
      <c r="U31" s="24">
        <f>Tabla1[[#This Row],[Total piezas NOK]]/Tabla1[[#This Row],[Cant. Fabricada (uds)]]</f>
        <v>4.8222207934160615E-3</v>
      </c>
      <c r="V31" s="19" t="s">
        <v>815</v>
      </c>
    </row>
    <row r="32" spans="1:22" x14ac:dyDescent="0.3">
      <c r="A32" s="43">
        <v>44494</v>
      </c>
      <c r="B32" s="20" t="s">
        <v>776</v>
      </c>
      <c r="C32" s="20">
        <v>1879</v>
      </c>
      <c r="D32" s="13" t="str">
        <f>VLOOKUP(C:C,'LListat referències'!A:B,2,FALSE)</f>
        <v>Tapa tarro rectagular 50 ml</v>
      </c>
      <c r="E32" s="18" t="str">
        <f>VLOOKUP(C:C,'LListat referències'!A:D,4,FALSE)</f>
        <v>#23 (50 ml)</v>
      </c>
      <c r="F32" s="49">
        <f>VLOOKUP(C:C,'LListat referències'!A:E,5,FALSE)</f>
        <v>22.6</v>
      </c>
      <c r="G32" s="49">
        <v>73.69</v>
      </c>
      <c r="H32" s="49">
        <v>4</v>
      </c>
      <c r="I32" s="75">
        <f>Tabla1[[#This Row],[Cant. Fabricada (uds)]]/Tabla1[[#This Row],[Cavidades]]*Tabla1[[#This Row],[Tiempo Ciclo]]/60/60</f>
        <v>2.9731868055555557</v>
      </c>
      <c r="J32" s="1" t="s">
        <v>8</v>
      </c>
      <c r="K32" s="25"/>
      <c r="L32" s="25">
        <v>0</v>
      </c>
      <c r="M32" s="25">
        <v>0</v>
      </c>
      <c r="N32" s="25">
        <v>581</v>
      </c>
      <c r="O32" s="20">
        <v>20</v>
      </c>
      <c r="P32" s="1">
        <f>Tabla1[[#This Row],[Noche]]-Tabla1[[#This Row],[Mañana ]]</f>
        <v>581</v>
      </c>
      <c r="Q32" s="58">
        <v>5</v>
      </c>
      <c r="R32" s="21">
        <f t="shared" si="0"/>
        <v>5</v>
      </c>
      <c r="S32" s="22">
        <f>Tabla1[[#This Row],[Merma Salas A &amp; B2]]*1000/Tabla1[[#This Row],[Peso gr.]]</f>
        <v>221.23893805309734</v>
      </c>
      <c r="T32" s="52"/>
      <c r="U32" s="24">
        <f>Tabla1[[#This Row],[Total piezas NOK]]/Tabla1[[#This Row],[Cant. Fabricada (uds)]]</f>
        <v>0.38078991059052897</v>
      </c>
      <c r="V32" s="19" t="s">
        <v>822</v>
      </c>
    </row>
    <row r="33" spans="1:22" x14ac:dyDescent="0.3">
      <c r="A33" s="43">
        <v>44494</v>
      </c>
      <c r="B33" s="20" t="s">
        <v>805</v>
      </c>
      <c r="C33" s="20">
        <v>1880</v>
      </c>
      <c r="D33" s="13" t="str">
        <f>VLOOKUP(C:C,'LListat referències'!A:B,2,FALSE)</f>
        <v>Int. tapa tarro rectangular 50ml</v>
      </c>
      <c r="E33" s="18" t="str">
        <f>VLOOKUP(C:C,'LListat referències'!A:D,4,FALSE)</f>
        <v/>
      </c>
      <c r="F33" s="49">
        <v>22.33</v>
      </c>
      <c r="G33" s="49">
        <v>19.350000000000001</v>
      </c>
      <c r="H33" s="49">
        <v>2</v>
      </c>
      <c r="I33" s="75">
        <f>Tabla1[[#This Row],[Cant. Fabricada (uds)]]/Tabla1[[#This Row],[Cavidades]]*Tabla1[[#This Row],[Tiempo Ciclo]]/60/60</f>
        <v>15.394</v>
      </c>
      <c r="J33" s="1" t="s">
        <v>797</v>
      </c>
      <c r="K33" s="25"/>
      <c r="L33" s="25">
        <v>3870</v>
      </c>
      <c r="M33" s="25">
        <v>6654</v>
      </c>
      <c r="N33" s="25">
        <v>9598</v>
      </c>
      <c r="O33" s="20">
        <v>19</v>
      </c>
      <c r="P33" s="1">
        <f>Tabla1[[#This Row],[Noche]]-Tabla1[[#This Row],[Mañana ]]</f>
        <v>5728</v>
      </c>
      <c r="Q33" s="58">
        <v>0.1</v>
      </c>
      <c r="R33" s="21">
        <f t="shared" si="0"/>
        <v>0.1</v>
      </c>
      <c r="S33" s="22">
        <f>Tabla1[[#This Row],[Merma Salas A &amp; B2]]*1000/Tabla1[[#This Row],[Peso gr.]]</f>
        <v>4.4782803403493059</v>
      </c>
      <c r="T33" s="52"/>
      <c r="U33" s="24">
        <f>Tabla1[[#This Row],[Total piezas NOK]]/Tabla1[[#This Row],[Cant. Fabricada (uds)]]</f>
        <v>7.8182268511684807E-4</v>
      </c>
    </row>
    <row r="34" spans="1:22" x14ac:dyDescent="0.3">
      <c r="A34" s="43">
        <v>44494</v>
      </c>
      <c r="B34" s="20" t="s">
        <v>807</v>
      </c>
      <c r="C34" s="20">
        <v>1825</v>
      </c>
      <c r="D34" s="13" t="str">
        <f>VLOOKUP(C:C,'LListat referències'!A:B,2,FALSE)</f>
        <v>OBTURADOR 200 A/ LLENG.</v>
      </c>
      <c r="E34" s="18" t="str">
        <f>VLOOKUP(C:C,'LListat referències'!A:D,4,FALSE)</f>
        <v/>
      </c>
      <c r="F34" s="49">
        <v>2.73</v>
      </c>
      <c r="G34" s="49">
        <v>18.5</v>
      </c>
      <c r="H34" s="49">
        <v>2</v>
      </c>
      <c r="I34" s="75">
        <f>Tabla1[[#This Row],[Cant. Fabricada (uds)]]/Tabla1[[#This Row],[Cavidades]]*Tabla1[[#This Row],[Tiempo Ciclo]]/60/60</f>
        <v>12.112361111111111</v>
      </c>
      <c r="J34" s="1" t="s">
        <v>797</v>
      </c>
      <c r="K34" s="25"/>
      <c r="L34" s="25">
        <v>11102</v>
      </c>
      <c r="M34" s="25">
        <v>12866</v>
      </c>
      <c r="N34" s="25">
        <v>15816</v>
      </c>
      <c r="O34" s="20">
        <v>48</v>
      </c>
      <c r="P34" s="1">
        <f>Tabla1[[#This Row],[Noche]]-Tabla1[[#This Row],[Mañana ]]</f>
        <v>4714</v>
      </c>
      <c r="Q34" s="58">
        <v>0.1</v>
      </c>
      <c r="R34" s="21">
        <f t="shared" ref="R34:R65" si="1">SUM(Q34:Q34)</f>
        <v>0.1</v>
      </c>
      <c r="S34" s="22">
        <f>Tabla1[[#This Row],[Merma Salas A &amp; B2]]*1000/Tabla1[[#This Row],[Peso gr.]]</f>
        <v>36.630036630036628</v>
      </c>
      <c r="T34" s="52"/>
      <c r="U34" s="24">
        <f>Tabla1[[#This Row],[Total piezas NOK]]/Tabla1[[#This Row],[Cant. Fabricada (uds)]]</f>
        <v>7.7704787081112918E-3</v>
      </c>
    </row>
    <row r="35" spans="1:22" x14ac:dyDescent="0.3">
      <c r="A35" s="43">
        <v>44494</v>
      </c>
      <c r="B35" s="20">
        <v>20135</v>
      </c>
      <c r="C35" s="20">
        <v>1997</v>
      </c>
      <c r="D35" s="13">
        <f>VLOOKUP(C:C,'LListat referències'!A:B,2,FALSE)</f>
        <v>0</v>
      </c>
      <c r="E35" s="18">
        <f>VLOOKUP(C:C,'LListat referències'!A:D,4,FALSE)</f>
        <v>0</v>
      </c>
      <c r="F35" s="49">
        <v>2.65</v>
      </c>
      <c r="G35" s="49">
        <v>38.380000000000003</v>
      </c>
      <c r="H35" s="49">
        <v>8</v>
      </c>
      <c r="I35" s="75">
        <f>Tabla1[[#This Row],[Cant. Fabricada (uds)]]/Tabla1[[#This Row],[Cavidades]]*Tabla1[[#This Row],[Tiempo Ciclo]]/60/60</f>
        <v>11.889804166666668</v>
      </c>
      <c r="J35" s="1" t="s">
        <v>797</v>
      </c>
      <c r="K35" s="25"/>
      <c r="L35" s="25">
        <v>725481</v>
      </c>
      <c r="M35" s="25">
        <v>729873</v>
      </c>
      <c r="N35" s="25">
        <v>734403</v>
      </c>
      <c r="O35" s="20">
        <v>9</v>
      </c>
      <c r="P35" s="1">
        <f>Tabla1[[#This Row],[Noche]]-Tabla1[[#This Row],[Mañana ]]</f>
        <v>8922</v>
      </c>
      <c r="Q35" s="58">
        <v>0.01</v>
      </c>
      <c r="R35" s="21">
        <f t="shared" si="1"/>
        <v>0.01</v>
      </c>
      <c r="S35" s="22">
        <f>Tabla1[[#This Row],[Merma Salas A &amp; B2]]*1000/Tabla1[[#This Row],[Peso gr.]]</f>
        <v>3.7735849056603774</v>
      </c>
      <c r="T35" s="52"/>
      <c r="U35" s="24">
        <f>Tabla1[[#This Row],[Total piezas NOK]]/Tabla1[[#This Row],[Cant. Fabricada (uds)]]</f>
        <v>4.2295280269674706E-4</v>
      </c>
    </row>
    <row r="36" spans="1:22" x14ac:dyDescent="0.3">
      <c r="A36" s="43">
        <v>44495</v>
      </c>
      <c r="B36" s="20" t="s">
        <v>759</v>
      </c>
      <c r="C36" s="20" t="s">
        <v>513</v>
      </c>
      <c r="D36" s="13" t="str">
        <f>VLOOKUP(C:C,'LListat referències'!A:B,2,FALSE)</f>
        <v>Tarro 150 ml</v>
      </c>
      <c r="E36" s="18" t="str">
        <f>VLOOKUP(C:C,'LListat referències'!A:D,4,FALSE)</f>
        <v>T057</v>
      </c>
      <c r="F36" s="49">
        <v>168</v>
      </c>
      <c r="G36" s="49">
        <v>109.1</v>
      </c>
      <c r="H36" s="49">
        <v>2</v>
      </c>
      <c r="I36" s="75">
        <f>Tabla1[[#This Row],[Cant. Fabricada (uds)]]/Tabla1[[#This Row],[Cavidades]]*Tabla1[[#This Row],[Tiempo Ciclo]]/60/60</f>
        <v>15.516444444444442</v>
      </c>
      <c r="J36" s="1" t="s">
        <v>15</v>
      </c>
      <c r="K36" s="25"/>
      <c r="L36" s="25">
        <v>14624</v>
      </c>
      <c r="M36" s="25">
        <v>15098</v>
      </c>
      <c r="N36" s="25">
        <v>15648</v>
      </c>
      <c r="O36" s="20">
        <v>43</v>
      </c>
      <c r="P36" s="1">
        <f>Tabla1[[#This Row],[Noche]]-Tabla1[[#This Row],[Mañana ]]</f>
        <v>1024</v>
      </c>
      <c r="Q36" s="58">
        <v>8.5</v>
      </c>
      <c r="R36" s="21">
        <f t="shared" si="1"/>
        <v>8.5</v>
      </c>
      <c r="S36" s="22">
        <f>Tabla1[[#This Row],[Merma Salas A &amp; B2]]*1000/Tabla1[[#This Row],[Peso gr.]]</f>
        <v>50.595238095238095</v>
      </c>
      <c r="T36" s="52"/>
      <c r="U36" s="24">
        <f>Tabla1[[#This Row],[Total piezas NOK]]/Tabla1[[#This Row],[Cant. Fabricada (uds)]]</f>
        <v>4.9409412202380952E-2</v>
      </c>
    </row>
    <row r="37" spans="1:22" x14ac:dyDescent="0.3">
      <c r="A37" s="43">
        <v>44495</v>
      </c>
      <c r="B37" s="20" t="s">
        <v>756</v>
      </c>
      <c r="C37" s="20" t="s">
        <v>644</v>
      </c>
      <c r="D37" s="13" t="str">
        <f>VLOOKUP(C:C,'LListat referències'!A:B,2,FALSE)</f>
        <v>Tarro 200ml Quadrat estret (Tapa Rodona)</v>
      </c>
      <c r="E37" s="18">
        <f>VLOOKUP(C:C,'LListat referències'!A:D,4,FALSE)</f>
        <v>0</v>
      </c>
      <c r="F37" s="49">
        <f>VLOOKUP(C:C,'LListat referències'!A:E,5,FALSE)</f>
        <v>220.84</v>
      </c>
      <c r="G37" s="49">
        <v>122.41</v>
      </c>
      <c r="H37" s="49">
        <v>1</v>
      </c>
      <c r="I37" s="75">
        <f>Tabla1[[#This Row],[Cant. Fabricada (uds)]]/Tabla1[[#This Row],[Cavidades]]*Tabla1[[#This Row],[Tiempo Ciclo]]/60/60</f>
        <v>14.995225</v>
      </c>
      <c r="J37" s="1" t="s">
        <v>7</v>
      </c>
      <c r="K37" s="25"/>
      <c r="L37" s="25">
        <v>15045</v>
      </c>
      <c r="M37" s="25">
        <v>15248</v>
      </c>
      <c r="N37" s="25">
        <v>15486</v>
      </c>
      <c r="O37" s="20">
        <v>41</v>
      </c>
      <c r="P37" s="1">
        <f>Tabla1[[#This Row],[Noche]]-Tabla1[[#This Row],[Mañana ]]</f>
        <v>441</v>
      </c>
      <c r="Q37" s="58">
        <v>3</v>
      </c>
      <c r="R37" s="21">
        <f t="shared" si="1"/>
        <v>3</v>
      </c>
      <c r="S37" s="22">
        <f>Tabla1[[#This Row],[Merma Salas A &amp; B2]]*1000/Tabla1[[#This Row],[Peso gr.]]</f>
        <v>13.584495562398116</v>
      </c>
      <c r="T37" s="52"/>
      <c r="U37" s="24">
        <f>Tabla1[[#This Row],[Total piezas NOK]]/Tabla1[[#This Row],[Cant. Fabricada (uds)]]</f>
        <v>3.0803844812694142E-2</v>
      </c>
    </row>
    <row r="38" spans="1:22" x14ac:dyDescent="0.3">
      <c r="A38" s="43">
        <v>44495</v>
      </c>
      <c r="B38" s="20" t="s">
        <v>767</v>
      </c>
      <c r="C38" s="20">
        <v>1790</v>
      </c>
      <c r="D38" s="13" t="str">
        <f>VLOOKUP(C:C,'LListat referències'!A:B,2,FALSE)</f>
        <v>Tarro 100ml</v>
      </c>
      <c r="E38" s="18" t="str">
        <f>VLOOKUP(C:C,'LListat referències'!A:D,4,FALSE)</f>
        <v>T029</v>
      </c>
      <c r="F38" s="49">
        <f>VLOOKUP(C:C,'LListat referències'!A:E,5,FALSE)</f>
        <v>151</v>
      </c>
      <c r="G38" s="49">
        <v>136.1</v>
      </c>
      <c r="H38" s="49">
        <v>2</v>
      </c>
      <c r="I38" s="75">
        <f>Tabla1[[#This Row],[Cant. Fabricada (uds)]]/Tabla1[[#This Row],[Cavidades]]*Tabla1[[#This Row],[Tiempo Ciclo]]/60/60</f>
        <v>6.9751250000000002</v>
      </c>
      <c r="J38" s="1" t="s">
        <v>7</v>
      </c>
      <c r="K38" s="25"/>
      <c r="L38" s="25">
        <v>1758</v>
      </c>
      <c r="M38" s="25">
        <v>1944</v>
      </c>
      <c r="N38" s="25">
        <v>2127</v>
      </c>
      <c r="O38" s="20">
        <v>51</v>
      </c>
      <c r="P38" s="1">
        <f>Tabla1[[#This Row],[Noche]]-Tabla1[[#This Row],[Mañana ]]</f>
        <v>369</v>
      </c>
      <c r="Q38" s="58">
        <v>0.3</v>
      </c>
      <c r="R38" s="21">
        <f t="shared" si="1"/>
        <v>0.3</v>
      </c>
      <c r="S38" s="22">
        <f>Tabla1[[#This Row],[Merma Salas A &amp; B2]]*1000/Tabla1[[#This Row],[Peso gr.]]</f>
        <v>1.9867549668874172</v>
      </c>
      <c r="T38" s="52"/>
      <c r="U38" s="24">
        <f>Tabla1[[#This Row],[Total piezas NOK]]/Tabla1[[#This Row],[Cant. Fabricada (uds)]]</f>
        <v>5.3841598018629193E-3</v>
      </c>
      <c r="V38" s="19" t="s">
        <v>816</v>
      </c>
    </row>
    <row r="39" spans="1:22" x14ac:dyDescent="0.3">
      <c r="A39" s="43">
        <v>44495</v>
      </c>
      <c r="B39" s="20" t="s">
        <v>769</v>
      </c>
      <c r="C39" s="20" t="s">
        <v>12</v>
      </c>
      <c r="D39" s="13" t="str">
        <f>VLOOKUP(C:C,'LListat referències'!A:B,2,FALSE)</f>
        <v>Tapa 50 ml mar-mar prima</v>
      </c>
      <c r="E39" s="18" t="str">
        <f>VLOOKUP(C:C,'LListat referències'!A:D,4,FALSE)</f>
        <v>#24</v>
      </c>
      <c r="F39" s="49">
        <v>20.86</v>
      </c>
      <c r="G39" s="49">
        <v>113.2</v>
      </c>
      <c r="H39" s="49">
        <v>4</v>
      </c>
      <c r="I39" s="75">
        <f>Tabla1[[#This Row],[Cant. Fabricada (uds)]]/Tabla1[[#This Row],[Cavidades]]*Tabla1[[#This Row],[Tiempo Ciclo]]/60/60</f>
        <v>12.169</v>
      </c>
      <c r="J39" s="1" t="s">
        <v>15</v>
      </c>
      <c r="K39" s="25"/>
      <c r="L39" s="25">
        <v>0</v>
      </c>
      <c r="M39" s="25">
        <v>650</v>
      </c>
      <c r="N39" s="25">
        <v>1548</v>
      </c>
      <c r="O39" s="20">
        <v>45</v>
      </c>
      <c r="P39" s="1">
        <f>Tabla1[[#This Row],[Noche]]-Tabla1[[#This Row],[Mañana ]]</f>
        <v>1548</v>
      </c>
      <c r="Q39" s="58">
        <v>10</v>
      </c>
      <c r="R39" s="21">
        <f t="shared" si="1"/>
        <v>10</v>
      </c>
      <c r="S39" s="22">
        <f>Tabla1[[#This Row],[Merma Salas A &amp; B2]]*1000/Tabla1[[#This Row],[Peso gr.]]</f>
        <v>479.38638542665387</v>
      </c>
      <c r="T39" s="52"/>
      <c r="U39" s="24">
        <f>Tabla1[[#This Row],[Total piezas NOK]]/Tabla1[[#This Row],[Cant. Fabricada (uds)]]</f>
        <v>0.3096811275365981</v>
      </c>
      <c r="V39" s="19" t="s">
        <v>814</v>
      </c>
    </row>
    <row r="40" spans="1:22" x14ac:dyDescent="0.3">
      <c r="A40" s="43">
        <v>44495</v>
      </c>
      <c r="B40" s="20" t="s">
        <v>805</v>
      </c>
      <c r="C40" s="20">
        <v>1880</v>
      </c>
      <c r="D40" s="13" t="str">
        <f>VLOOKUP(C:C,'LListat referències'!A:B,2,FALSE)</f>
        <v>Int. tapa tarro rectangular 50ml</v>
      </c>
      <c r="E40" s="18" t="str">
        <f>VLOOKUP(C:C,'LListat referències'!A:D,4,FALSE)</f>
        <v/>
      </c>
      <c r="F40" s="49">
        <v>22.33</v>
      </c>
      <c r="G40" s="49">
        <v>19.350000000000001</v>
      </c>
      <c r="H40" s="49">
        <v>2</v>
      </c>
      <c r="I40" s="75">
        <f>Tabla1[[#This Row],[Cant. Fabricada (uds)]]/Tabla1[[#This Row],[Cavidades]]*Tabla1[[#This Row],[Tiempo Ciclo]]/60/60</f>
        <v>15.162875000000003</v>
      </c>
      <c r="J40" s="1" t="s">
        <v>797</v>
      </c>
      <c r="K40" s="25"/>
      <c r="L40" s="25">
        <v>12644</v>
      </c>
      <c r="M40" s="25">
        <v>15326</v>
      </c>
      <c r="N40" s="25">
        <v>18286</v>
      </c>
      <c r="O40" s="20">
        <v>19</v>
      </c>
      <c r="P40" s="1">
        <f>Tabla1[[#This Row],[Noche]]-Tabla1[[#This Row],[Mañana ]]</f>
        <v>5642</v>
      </c>
      <c r="Q40" s="58">
        <v>0.1</v>
      </c>
      <c r="R40" s="21">
        <f t="shared" si="1"/>
        <v>0.1</v>
      </c>
      <c r="S40" s="22">
        <f>Tabla1[[#This Row],[Merma Salas A &amp; B2]]*1000/Tabla1[[#This Row],[Peso gr.]]</f>
        <v>4.4782803403493059</v>
      </c>
      <c r="T40" s="52"/>
      <c r="U40" s="24">
        <f>Tabla1[[#This Row],[Total piezas NOK]]/Tabla1[[#This Row],[Cant. Fabricada (uds)]]</f>
        <v>7.9373986890274827E-4</v>
      </c>
    </row>
    <row r="41" spans="1:22" x14ac:dyDescent="0.3">
      <c r="A41" s="43">
        <v>44495</v>
      </c>
      <c r="B41" s="20" t="s">
        <v>806</v>
      </c>
      <c r="C41" s="20">
        <v>1884</v>
      </c>
      <c r="D41" s="13" t="str">
        <f>VLOOKUP(C:C,'LListat referències'!A:B,2,FALSE)</f>
        <v xml:space="preserve">Cubilet 200ml bola </v>
      </c>
      <c r="E41" s="18" t="str">
        <f>VLOOKUP(C:C,'LListat referències'!A:D,4,FALSE)</f>
        <v/>
      </c>
      <c r="F41" s="49">
        <v>20.09</v>
      </c>
      <c r="G41" s="49">
        <v>21.93</v>
      </c>
      <c r="H41" s="49">
        <v>2</v>
      </c>
      <c r="I41" s="75">
        <f>Tabla1[[#This Row],[Cant. Fabricada (uds)]]/Tabla1[[#This Row],[Cavidades]]*Tabla1[[#This Row],[Tiempo Ciclo]]/60/60</f>
        <v>11.549799999999999</v>
      </c>
      <c r="J41" s="1" t="s">
        <v>797</v>
      </c>
      <c r="K41" s="25"/>
      <c r="L41" s="25">
        <v>1310</v>
      </c>
      <c r="M41" s="25">
        <v>3126</v>
      </c>
      <c r="N41" s="25">
        <v>5102</v>
      </c>
      <c r="O41" s="20">
        <v>24</v>
      </c>
      <c r="P41" s="1">
        <f>Tabla1[[#This Row],[Noche]]-Tabla1[[#This Row],[Mañana ]]</f>
        <v>3792</v>
      </c>
      <c r="Q41" s="58">
        <v>0.1</v>
      </c>
      <c r="R41" s="21">
        <f t="shared" si="1"/>
        <v>0.1</v>
      </c>
      <c r="S41" s="22">
        <f>Tabla1[[#This Row],[Merma Salas A &amp; B2]]*1000/Tabla1[[#This Row],[Peso gr.]]</f>
        <v>4.9776007964161275</v>
      </c>
      <c r="T41" s="52"/>
      <c r="U41" s="24">
        <f>Tabla1[[#This Row],[Total piezas NOK]]/Tabla1[[#This Row],[Cant. Fabricada (uds)]]</f>
        <v>1.3126584378734514E-3</v>
      </c>
    </row>
    <row r="42" spans="1:22" x14ac:dyDescent="0.3">
      <c r="A42" s="43">
        <v>44495</v>
      </c>
      <c r="B42" s="20" t="s">
        <v>807</v>
      </c>
      <c r="C42" s="20">
        <v>1825</v>
      </c>
      <c r="D42" s="13" t="str">
        <f>VLOOKUP(C:C,'LListat referències'!A:B,2,FALSE)</f>
        <v>OBTURADOR 200 A/ LLENG.</v>
      </c>
      <c r="E42" s="18" t="str">
        <f>VLOOKUP(C:C,'LListat referències'!A:D,4,FALSE)</f>
        <v/>
      </c>
      <c r="F42" s="49">
        <f>VLOOKUP(C:C,'LListat referències'!A:E,5,FALSE)</f>
        <v>2.73</v>
      </c>
      <c r="G42" s="49">
        <v>18.5</v>
      </c>
      <c r="H42" s="49">
        <v>2</v>
      </c>
      <c r="I42" s="75">
        <f>Tabla1[[#This Row],[Cant. Fabricada (uds)]]/Tabla1[[#This Row],[Cavidades]]*Tabla1[[#This Row],[Tiempo Ciclo]]/60/60</f>
        <v>15.118611111111111</v>
      </c>
      <c r="J42" s="1" t="s">
        <v>797</v>
      </c>
      <c r="K42" s="25"/>
      <c r="L42" s="25">
        <v>19122</v>
      </c>
      <c r="M42" s="25">
        <v>22140</v>
      </c>
      <c r="N42" s="25">
        <v>25006</v>
      </c>
      <c r="O42" s="20">
        <v>48</v>
      </c>
      <c r="P42" s="1">
        <f>Tabla1[[#This Row],[Noche]]-Tabla1[[#This Row],[Mañana ]]</f>
        <v>5884</v>
      </c>
      <c r="Q42" s="58">
        <v>0.1</v>
      </c>
      <c r="R42" s="21">
        <f t="shared" si="1"/>
        <v>0.1</v>
      </c>
      <c r="S42" s="22">
        <f>Tabla1[[#This Row],[Merma Salas A &amp; B2]]*1000/Tabla1[[#This Row],[Peso gr.]]</f>
        <v>36.630036630036628</v>
      </c>
      <c r="T42" s="52"/>
      <c r="U42" s="24">
        <f>Tabla1[[#This Row],[Total piezas NOK]]/Tabla1[[#This Row],[Cant. Fabricada (uds)]]</f>
        <v>6.2253631254311059E-3</v>
      </c>
    </row>
    <row r="43" spans="1:22" x14ac:dyDescent="0.3">
      <c r="A43" s="43">
        <v>44495</v>
      </c>
      <c r="B43" s="20">
        <v>20135</v>
      </c>
      <c r="C43" s="20">
        <v>1997</v>
      </c>
      <c r="D43" s="13">
        <f>VLOOKUP(C:C,'LListat referències'!A:B,2,FALSE)</f>
        <v>0</v>
      </c>
      <c r="E43" s="18">
        <f>VLOOKUP(C:C,'LListat referències'!A:D,4,FALSE)</f>
        <v>0</v>
      </c>
      <c r="F43" s="49">
        <v>2.65</v>
      </c>
      <c r="G43" s="49">
        <v>38.380000000000003</v>
      </c>
      <c r="H43" s="49">
        <v>8</v>
      </c>
      <c r="I43" s="75">
        <f>Tabla1[[#This Row],[Cant. Fabricada (uds)]]/Tabla1[[#This Row],[Cavidades]]*Tabla1[[#This Row],[Tiempo Ciclo]]/60/60</f>
        <v>11.050241666666667</v>
      </c>
      <c r="J43" s="1" t="s">
        <v>797</v>
      </c>
      <c r="K43" s="25"/>
      <c r="L43" s="25">
        <v>739389</v>
      </c>
      <c r="M43" s="25">
        <v>743331</v>
      </c>
      <c r="N43" s="25">
        <v>747681</v>
      </c>
      <c r="O43" s="20">
        <v>9</v>
      </c>
      <c r="P43" s="1">
        <f>Tabla1[[#This Row],[Noche]]-Tabla1[[#This Row],[Mañana ]]</f>
        <v>8292</v>
      </c>
      <c r="Q43" s="58">
        <v>0.01</v>
      </c>
      <c r="R43" s="21">
        <f t="shared" si="1"/>
        <v>0.01</v>
      </c>
      <c r="S43" s="22">
        <f>Tabla1[[#This Row],[Merma Salas A &amp; B2]]*1000/Tabla1[[#This Row],[Peso gr.]]</f>
        <v>3.7735849056603774</v>
      </c>
      <c r="T43" s="52"/>
      <c r="U43" s="24">
        <f>Tabla1[[#This Row],[Total piezas NOK]]/Tabla1[[#This Row],[Cant. Fabricada (uds)]]</f>
        <v>4.5508742229382265E-4</v>
      </c>
    </row>
    <row r="44" spans="1:22" x14ac:dyDescent="0.3">
      <c r="A44" s="43">
        <v>44496</v>
      </c>
      <c r="B44" s="20" t="s">
        <v>759</v>
      </c>
      <c r="C44" s="20" t="s">
        <v>513</v>
      </c>
      <c r="D44" s="13" t="str">
        <f>VLOOKUP(C:C,'LListat referències'!A:B,2,FALSE)</f>
        <v>Tarro 150 ml</v>
      </c>
      <c r="E44" s="18" t="str">
        <f>VLOOKUP(C:C,'LListat referències'!A:D,4,FALSE)</f>
        <v>T057</v>
      </c>
      <c r="F44" s="49">
        <v>168</v>
      </c>
      <c r="G44" s="49">
        <v>109.1</v>
      </c>
      <c r="H44" s="49">
        <v>2</v>
      </c>
      <c r="I44" s="75">
        <f>Tabla1[[#This Row],[Cant. Fabricada (uds)]]/Tabla1[[#This Row],[Cavidades]]*Tabla1[[#This Row],[Tiempo Ciclo]]/60/60</f>
        <v>15.698277777777777</v>
      </c>
      <c r="J44" s="1" t="s">
        <v>15</v>
      </c>
      <c r="K44" s="25"/>
      <c r="L44" s="25">
        <v>16244</v>
      </c>
      <c r="M44" s="25">
        <v>16720</v>
      </c>
      <c r="N44" s="25">
        <v>17280</v>
      </c>
      <c r="O44" s="20">
        <v>43</v>
      </c>
      <c r="P44" s="1">
        <f>Tabla1[[#This Row],[Noche]]-Tabla1[[#This Row],[Mañana ]]</f>
        <v>1036</v>
      </c>
      <c r="Q44" s="58">
        <v>2.5</v>
      </c>
      <c r="R44" s="21">
        <f t="shared" si="1"/>
        <v>2.5</v>
      </c>
      <c r="S44" s="22">
        <f>Tabla1[[#This Row],[Merma Salas A &amp; B2]]*1000/Tabla1[[#This Row],[Peso gr.]]</f>
        <v>14.880952380952381</v>
      </c>
      <c r="T44" s="52"/>
      <c r="U44" s="24">
        <f>Tabla1[[#This Row],[Total piezas NOK]]/Tabla1[[#This Row],[Cant. Fabricada (uds)]]</f>
        <v>1.4363853649567935E-2</v>
      </c>
    </row>
    <row r="45" spans="1:22" ht="14.4" customHeight="1" x14ac:dyDescent="0.3">
      <c r="A45" s="43">
        <v>44496</v>
      </c>
      <c r="B45" s="20" t="s">
        <v>767</v>
      </c>
      <c r="C45" s="20">
        <v>1790</v>
      </c>
      <c r="D45" s="13" t="str">
        <f>VLOOKUP(C:C,'LListat referències'!A:B,2,FALSE)</f>
        <v>Tarro 100ml</v>
      </c>
      <c r="E45" s="18" t="str">
        <f>VLOOKUP(C:C,'LListat referències'!A:D,4,FALSE)</f>
        <v>T029</v>
      </c>
      <c r="F45" s="49">
        <f>VLOOKUP(C:C,'LListat referències'!A:E,5,FALSE)</f>
        <v>151</v>
      </c>
      <c r="G45" s="49">
        <v>136.1</v>
      </c>
      <c r="H45" s="49">
        <v>2</v>
      </c>
      <c r="I45" s="75">
        <f>Tabla1[[#This Row],[Cant. Fabricada (uds)]]/Tabla1[[#This Row],[Cavidades]]*Tabla1[[#This Row],[Tiempo Ciclo]]/60/60</f>
        <v>12.40022222222222</v>
      </c>
      <c r="J45" s="1" t="s">
        <v>7</v>
      </c>
      <c r="K45" s="25"/>
      <c r="L45" s="25">
        <v>2127</v>
      </c>
      <c r="M45" s="25">
        <v>2550</v>
      </c>
      <c r="N45" s="25">
        <v>2783</v>
      </c>
      <c r="O45" s="20">
        <v>51</v>
      </c>
      <c r="P45" s="1">
        <f>Tabla1[[#This Row],[Noche]]-Tabla1[[#This Row],[Mañana ]]</f>
        <v>656</v>
      </c>
      <c r="Q45" s="58">
        <v>0.2</v>
      </c>
      <c r="R45" s="21">
        <f t="shared" si="1"/>
        <v>0.2</v>
      </c>
      <c r="S45" s="22">
        <f>Tabla1[[#This Row],[Merma Salas A &amp; B2]]*1000/Tabla1[[#This Row],[Peso gr.]]</f>
        <v>1.3245033112582782</v>
      </c>
      <c r="T45" s="52"/>
      <c r="U45" s="24">
        <f>Tabla1[[#This Row],[Total piezas NOK]]/Tabla1[[#This Row],[Cant. Fabricada (uds)]]</f>
        <v>2.0190599256985947E-3</v>
      </c>
    </row>
    <row r="46" spans="1:22" x14ac:dyDescent="0.3">
      <c r="A46" s="43">
        <v>44496</v>
      </c>
      <c r="B46" s="20" t="s">
        <v>756</v>
      </c>
      <c r="C46" s="20" t="s">
        <v>644</v>
      </c>
      <c r="D46" s="13" t="str">
        <f>VLOOKUP(C:C,'LListat referències'!A:B,2,FALSE)</f>
        <v>Tarro 200ml Quadrat estret (Tapa Rodona)</v>
      </c>
      <c r="E46" s="18">
        <f>VLOOKUP(C:C,'LListat referències'!A:D,4,FALSE)</f>
        <v>0</v>
      </c>
      <c r="F46" s="49">
        <f>VLOOKUP(C:C,'LListat referències'!A:E,5,FALSE)</f>
        <v>220.84</v>
      </c>
      <c r="G46" s="49">
        <v>122.41</v>
      </c>
      <c r="H46" s="49">
        <v>1</v>
      </c>
      <c r="I46" s="75">
        <f>Tabla1[[#This Row],[Cant. Fabricada (uds)]]/Tabla1[[#This Row],[Cavidades]]*Tabla1[[#This Row],[Tiempo Ciclo]]/60/60</f>
        <v>24.44799722222222</v>
      </c>
      <c r="J46" s="1" t="s">
        <v>7</v>
      </c>
      <c r="K46" s="25"/>
      <c r="L46" s="25">
        <v>15473</v>
      </c>
      <c r="M46" s="25">
        <v>15950</v>
      </c>
      <c r="N46" s="25">
        <v>16192</v>
      </c>
      <c r="O46" s="20">
        <v>41</v>
      </c>
      <c r="P46" s="1">
        <f>Tabla1[[#This Row],[Noche]]-Tabla1[[#This Row],[Mañana ]]</f>
        <v>719</v>
      </c>
      <c r="Q46" s="58">
        <v>10</v>
      </c>
      <c r="R46" s="21">
        <f t="shared" si="1"/>
        <v>10</v>
      </c>
      <c r="S46" s="22">
        <f>Tabla1[[#This Row],[Merma Salas A &amp; B2]]*1000/Tabla1[[#This Row],[Peso gr.]]</f>
        <v>45.28165187466039</v>
      </c>
      <c r="T46" s="52"/>
      <c r="U46" s="24">
        <f>Tabla1[[#This Row],[Total piezas NOK]]/Tabla1[[#This Row],[Cant. Fabricada (uds)]]</f>
        <v>6.2978653511349639E-2</v>
      </c>
    </row>
    <row r="47" spans="1:22" s="20" customFormat="1" ht="28.8" x14ac:dyDescent="0.3">
      <c r="A47" s="43">
        <v>44496</v>
      </c>
      <c r="B47" s="20" t="s">
        <v>770</v>
      </c>
      <c r="C47" s="20" t="s">
        <v>438</v>
      </c>
      <c r="D47" s="13" t="str">
        <f>VLOOKUP(C:C,'LListat referències'!A:B,2,FALSE)</f>
        <v>Tapa 7 ml gruixuda</v>
      </c>
      <c r="E47" s="18" t="str">
        <f>VLOOKUP(C:C,'LListat referències'!A:D,4,FALSE)</f>
        <v>#6(7 ml)</v>
      </c>
      <c r="F47" s="49">
        <f>VLOOKUP(C:C,'LListat referències'!A:E,5,FALSE)</f>
        <v>3.3</v>
      </c>
      <c r="G47" s="49">
        <v>22.41</v>
      </c>
      <c r="H47" s="49">
        <v>4</v>
      </c>
      <c r="I47" s="75">
        <f>Tabla1[[#This Row],[Cant. Fabricada (uds)]]/Tabla1[[#This Row],[Cavidades]]*Tabla1[[#This Row],[Tiempo Ciclo]]/60/60</f>
        <v>4.5380250000000002</v>
      </c>
      <c r="J47" s="20" t="s">
        <v>763</v>
      </c>
      <c r="K47" s="25"/>
      <c r="L47" s="25">
        <v>4944</v>
      </c>
      <c r="M47" s="25">
        <v>7860</v>
      </c>
      <c r="N47" s="25">
        <v>7860</v>
      </c>
      <c r="O47" s="20">
        <v>47</v>
      </c>
      <c r="P47" s="20">
        <f>Tabla1[[#This Row],[Noche]]-Tabla1[[#This Row],[Mañana ]]</f>
        <v>2916</v>
      </c>
      <c r="Q47" s="59">
        <v>0</v>
      </c>
      <c r="R47" s="21">
        <f t="shared" si="1"/>
        <v>0</v>
      </c>
      <c r="S47" s="22">
        <f>Tabla1[[#This Row],[Merma Salas A &amp; B2]]*1000/Tabla1[[#This Row],[Peso gr.]]</f>
        <v>0</v>
      </c>
      <c r="T47" s="52">
        <v>9.5</v>
      </c>
      <c r="U47" s="24">
        <f>Tabla1[[#This Row],[Total piezas NOK]]/Tabla1[[#This Row],[Cant. Fabricada (uds)]]</f>
        <v>0</v>
      </c>
      <c r="V47" s="51" t="s">
        <v>818</v>
      </c>
    </row>
    <row r="48" spans="1:22" ht="14.4" customHeight="1" x14ac:dyDescent="0.3">
      <c r="A48" s="43">
        <v>44496</v>
      </c>
      <c r="B48" s="20" t="s">
        <v>771</v>
      </c>
      <c r="C48" s="20" t="s">
        <v>615</v>
      </c>
      <c r="D48" s="13" t="str">
        <f>VLOOKUP(C:C,'LListat referències'!A:B,2,FALSE)</f>
        <v>Tarro 50ml Tinter Quadrat</v>
      </c>
      <c r="E48" s="18" t="str">
        <f>VLOOKUP(C:C,'LListat referències'!A:D,4,FALSE)</f>
        <v>T116</v>
      </c>
      <c r="F48" s="49">
        <v>121.5</v>
      </c>
      <c r="G48" s="49">
        <v>126.1</v>
      </c>
      <c r="H48" s="49">
        <v>2</v>
      </c>
      <c r="I48" s="75">
        <f>Tabla1[[#This Row],[Cant. Fabricada (uds)]]/Tabla1[[#This Row],[Cavidades]]*Tabla1[[#This Row],[Tiempo Ciclo]]/60/60</f>
        <v>15.096972222222222</v>
      </c>
      <c r="J48" s="1" t="s">
        <v>8</v>
      </c>
      <c r="K48" s="25"/>
      <c r="L48" s="25">
        <v>0</v>
      </c>
      <c r="M48" s="25">
        <v>422</v>
      </c>
      <c r="N48" s="25">
        <v>862</v>
      </c>
      <c r="O48" s="20">
        <v>30</v>
      </c>
      <c r="P48" s="1">
        <f>Tabla1[[#This Row],[Noche]]-Tabla1[[#This Row],[Mañana ]]</f>
        <v>862</v>
      </c>
      <c r="Q48" s="58">
        <v>20</v>
      </c>
      <c r="R48" s="21">
        <f t="shared" si="1"/>
        <v>20</v>
      </c>
      <c r="S48" s="22">
        <f>Tabla1[[#This Row],[Merma Salas A &amp; B2]]*1000/Tabla1[[#This Row],[Peso gr.]]</f>
        <v>164.6090534979424</v>
      </c>
      <c r="T48" s="52"/>
      <c r="U48" s="24">
        <f>Tabla1[[#This Row],[Total piezas NOK]]/Tabla1[[#This Row],[Cant. Fabricada (uds)]]</f>
        <v>0.19096177899993316</v>
      </c>
      <c r="V48" s="19" t="s">
        <v>803</v>
      </c>
    </row>
    <row r="49" spans="1:22" x14ac:dyDescent="0.3">
      <c r="A49" s="43">
        <v>44496</v>
      </c>
      <c r="B49" s="20" t="s">
        <v>801</v>
      </c>
      <c r="C49" s="20">
        <v>1597</v>
      </c>
      <c r="D49" s="13" t="e">
        <f>VLOOKUP(C:C,'LListat referències'!A:B,2,FALSE)</f>
        <v>#N/A</v>
      </c>
      <c r="E49" s="18" t="e">
        <f>VLOOKUP(C:C,'LListat referències'!A:D,4,FALSE)</f>
        <v>#N/A</v>
      </c>
      <c r="F49" s="49">
        <v>65</v>
      </c>
      <c r="G49" s="49"/>
      <c r="H49" s="49"/>
      <c r="I49" s="75" t="s">
        <v>842</v>
      </c>
      <c r="J49" s="1" t="s">
        <v>797</v>
      </c>
      <c r="K49" s="25"/>
      <c r="L49" s="25">
        <v>0</v>
      </c>
      <c r="M49" s="25"/>
      <c r="N49" s="25">
        <v>100</v>
      </c>
      <c r="O49" s="20">
        <v>31</v>
      </c>
      <c r="P49" s="1">
        <f>Tabla1[[#This Row],[Noche]]-Tabla1[[#This Row],[Mañana ]]</f>
        <v>100</v>
      </c>
      <c r="Q49" s="58">
        <v>0.1</v>
      </c>
      <c r="R49" s="21">
        <f t="shared" si="1"/>
        <v>0.1</v>
      </c>
      <c r="S49" s="22">
        <f>Tabla1[[#This Row],[Merma Salas A &amp; B2]]*1000/Tabla1[[#This Row],[Peso gr.]]</f>
        <v>1.5384615384615385</v>
      </c>
      <c r="T49" s="52"/>
      <c r="U49" s="24">
        <f>Tabla1[[#This Row],[Total piezas NOK]]/Tabla1[[#This Row],[Cant. Fabricada (uds)]]</f>
        <v>1.5384615384615385E-2</v>
      </c>
    </row>
    <row r="50" spans="1:22" x14ac:dyDescent="0.3">
      <c r="A50" s="43">
        <v>44496</v>
      </c>
      <c r="B50" s="20" t="s">
        <v>805</v>
      </c>
      <c r="C50" s="20">
        <v>1880</v>
      </c>
      <c r="D50" s="13" t="str">
        <f>VLOOKUP(C:C,'LListat referències'!A:B,2,FALSE)</f>
        <v>Int. tapa tarro rectangular 50ml</v>
      </c>
      <c r="E50" s="18" t="str">
        <f>VLOOKUP(C:C,'LListat referències'!A:D,4,FALSE)</f>
        <v/>
      </c>
      <c r="F50" s="49">
        <f>VLOOKUP(C:C,'LListat referències'!A:E,5,FALSE)</f>
        <v>22.33</v>
      </c>
      <c r="G50" s="49">
        <v>19.350000000000001</v>
      </c>
      <c r="H50" s="49">
        <v>2</v>
      </c>
      <c r="I50" s="75">
        <f>Tabla1[[#This Row],[Cant. Fabricada (uds)]]/Tabla1[[#This Row],[Cavidades]]*Tabla1[[#This Row],[Tiempo Ciclo]]/60/60</f>
        <v>0.56437500000000007</v>
      </c>
      <c r="J50" s="1" t="s">
        <v>797</v>
      </c>
      <c r="K50" s="25"/>
      <c r="L50" s="25">
        <v>21224</v>
      </c>
      <c r="M50" s="25">
        <v>21434</v>
      </c>
      <c r="N50" s="25">
        <v>21434</v>
      </c>
      <c r="O50" s="20">
        <v>19</v>
      </c>
      <c r="P50" s="1">
        <f>Tabla1[[#This Row],[Noche]]-Tabla1[[#This Row],[Mañana ]]</f>
        <v>210</v>
      </c>
      <c r="Q50" s="58">
        <v>0.01</v>
      </c>
      <c r="R50" s="21">
        <f t="shared" si="1"/>
        <v>0.01</v>
      </c>
      <c r="S50" s="22">
        <f>Tabla1[[#This Row],[Merma Salas A &amp; B2]]*1000/Tabla1[[#This Row],[Peso gr.]]</f>
        <v>0.4478280340349306</v>
      </c>
      <c r="T50" s="52"/>
      <c r="U50" s="24">
        <f>Tabla1[[#This Row],[Total piezas NOK]]/Tabla1[[#This Row],[Cant. Fabricada (uds)]]</f>
        <v>2.1325144477853837E-3</v>
      </c>
    </row>
    <row r="51" spans="1:22" x14ac:dyDescent="0.3">
      <c r="A51" s="43">
        <v>44496</v>
      </c>
      <c r="B51" s="20" t="s">
        <v>806</v>
      </c>
      <c r="C51" s="20">
        <v>1884</v>
      </c>
      <c r="D51" s="13" t="str">
        <f>VLOOKUP(C:C,'LListat referències'!A:B,2,FALSE)</f>
        <v xml:space="preserve">Cubilet 200ml bola </v>
      </c>
      <c r="E51" s="18" t="str">
        <f>VLOOKUP(C:C,'LListat referències'!A:D,4,FALSE)</f>
        <v/>
      </c>
      <c r="F51" s="49">
        <f>VLOOKUP(C:C,'LListat referències'!A:E,5,FALSE)</f>
        <v>20.09</v>
      </c>
      <c r="G51" s="49"/>
      <c r="H51" s="49"/>
      <c r="I51" s="75" t="s">
        <v>842</v>
      </c>
      <c r="J51" s="1" t="s">
        <v>797</v>
      </c>
      <c r="K51" s="25"/>
      <c r="L51" s="25">
        <v>0</v>
      </c>
      <c r="M51" s="25">
        <v>0</v>
      </c>
      <c r="N51" s="25">
        <v>5922</v>
      </c>
      <c r="O51" s="20">
        <v>22</v>
      </c>
      <c r="P51" s="1">
        <f>Tabla1[[#This Row],[Noche]]-Tabla1[[#This Row],[Mañana ]]</f>
        <v>5922</v>
      </c>
      <c r="Q51" s="58">
        <v>0.1</v>
      </c>
      <c r="R51" s="21">
        <f t="shared" si="1"/>
        <v>0.1</v>
      </c>
      <c r="S51" s="22">
        <f>Tabla1[[#This Row],[Merma Salas A &amp; B2]]*1000/Tabla1[[#This Row],[Peso gr.]]</f>
        <v>4.9776007964161275</v>
      </c>
      <c r="T51" s="52"/>
      <c r="U51" s="24">
        <f>Tabla1[[#This Row],[Total piezas NOK]]/Tabla1[[#This Row],[Cant. Fabricada (uds)]]</f>
        <v>8.4052698352180477E-4</v>
      </c>
    </row>
    <row r="52" spans="1:22" x14ac:dyDescent="0.3">
      <c r="A52" s="43">
        <v>44496</v>
      </c>
      <c r="B52" s="20" t="s">
        <v>807</v>
      </c>
      <c r="C52" s="20">
        <v>1825</v>
      </c>
      <c r="D52" s="13" t="str">
        <f>VLOOKUP(C:C,'LListat referències'!A:B,2,FALSE)</f>
        <v>OBTURADOR 200 A/ LLENG.</v>
      </c>
      <c r="E52" s="18" t="str">
        <f>VLOOKUP(C:C,'LListat referències'!A:D,4,FALSE)</f>
        <v/>
      </c>
      <c r="F52" s="49">
        <f>VLOOKUP(C:C,'LListat referències'!A:E,5,FALSE)</f>
        <v>2.73</v>
      </c>
      <c r="G52" s="49">
        <v>18.5</v>
      </c>
      <c r="H52" s="49">
        <v>2</v>
      </c>
      <c r="I52" s="75">
        <f>Tabla1[[#This Row],[Cant. Fabricada (uds)]]/Tabla1[[#This Row],[Cavidades]]*Tabla1[[#This Row],[Tiempo Ciclo]]/60/60</f>
        <v>15.709583333333335</v>
      </c>
      <c r="J52" s="1" t="s">
        <v>797</v>
      </c>
      <c r="K52" s="25"/>
      <c r="L52" s="25">
        <v>28222</v>
      </c>
      <c r="M52" s="25">
        <v>31180</v>
      </c>
      <c r="N52" s="25">
        <v>34336</v>
      </c>
      <c r="O52" s="20">
        <v>48</v>
      </c>
      <c r="P52" s="1">
        <f>Tabla1[[#This Row],[Noche]]-Tabla1[[#This Row],[Mañana ]]</f>
        <v>6114</v>
      </c>
      <c r="Q52" s="58">
        <v>0.01</v>
      </c>
      <c r="R52" s="21">
        <f t="shared" si="1"/>
        <v>0.01</v>
      </c>
      <c r="S52" s="22">
        <f>Tabla1[[#This Row],[Merma Salas A &amp; B2]]*1000/Tabla1[[#This Row],[Peso gr.]]</f>
        <v>3.6630036630036629</v>
      </c>
      <c r="T52" s="52"/>
      <c r="U52" s="24">
        <f>Tabla1[[#This Row],[Total piezas NOK]]/Tabla1[[#This Row],[Cant. Fabricada (uds)]]</f>
        <v>5.9911738027537827E-4</v>
      </c>
    </row>
    <row r="53" spans="1:22" x14ac:dyDescent="0.3">
      <c r="A53" s="43">
        <v>44496</v>
      </c>
      <c r="B53" s="20">
        <v>20135</v>
      </c>
      <c r="C53" s="20">
        <v>1997</v>
      </c>
      <c r="D53" s="13">
        <f>VLOOKUP(C:C,'LListat referències'!A:B,2,FALSE)</f>
        <v>0</v>
      </c>
      <c r="E53" s="18">
        <f>VLOOKUP(C:C,'LListat referències'!A:D,4,FALSE)</f>
        <v>0</v>
      </c>
      <c r="F53" s="49">
        <v>2.65</v>
      </c>
      <c r="G53" s="49">
        <v>38.380000000000003</v>
      </c>
      <c r="H53" s="49">
        <v>8</v>
      </c>
      <c r="I53" s="75">
        <f>Tabla1[[#This Row],[Cant. Fabricada (uds)]]/Tabla1[[#This Row],[Cavidades]]*Tabla1[[#This Row],[Tiempo Ciclo]]/60/60</f>
        <v>5.0853500000000009</v>
      </c>
      <c r="J53" s="1" t="s">
        <v>797</v>
      </c>
      <c r="K53" s="25"/>
      <c r="L53" s="25">
        <v>752583</v>
      </c>
      <c r="M53" s="25"/>
      <c r="N53" s="25">
        <v>756399</v>
      </c>
      <c r="O53" s="20">
        <v>9</v>
      </c>
      <c r="P53" s="1">
        <f>Tabla1[[#This Row],[Noche]]-Tabla1[[#This Row],[Mañana ]]</f>
        <v>3816</v>
      </c>
      <c r="Q53" s="58">
        <v>0.01</v>
      </c>
      <c r="R53" s="21">
        <f t="shared" si="1"/>
        <v>0.01</v>
      </c>
      <c r="S53" s="22">
        <f>Tabla1[[#This Row],[Merma Salas A &amp; B2]]*1000/Tabla1[[#This Row],[Peso gr.]]</f>
        <v>3.7735849056603774</v>
      </c>
      <c r="T53" s="52"/>
      <c r="U53" s="24">
        <f>Tabla1[[#This Row],[Total piezas NOK]]/Tabla1[[#This Row],[Cant. Fabricada (uds)]]</f>
        <v>9.8888493334915555E-4</v>
      </c>
    </row>
    <row r="54" spans="1:22" x14ac:dyDescent="0.3">
      <c r="A54" s="43">
        <v>44496</v>
      </c>
      <c r="B54" s="20" t="s">
        <v>811</v>
      </c>
      <c r="C54" s="20" t="s">
        <v>579</v>
      </c>
      <c r="D54" s="13" t="str">
        <f>VLOOKUP(C:C,'LListat referències'!A:B,2,FALSE)</f>
        <v>Tapeta difusor 30/50ml</v>
      </c>
      <c r="E54" s="18" t="str">
        <f>VLOOKUP(C:C,'LListat referències'!A:D,4,FALSE)</f>
        <v/>
      </c>
      <c r="F54" s="49">
        <v>2.95</v>
      </c>
      <c r="G54" s="49"/>
      <c r="H54" s="49"/>
      <c r="I54" s="75" t="s">
        <v>842</v>
      </c>
      <c r="J54" s="1" t="s">
        <v>7</v>
      </c>
      <c r="K54" s="25"/>
      <c r="L54" s="25">
        <v>87</v>
      </c>
      <c r="M54" s="25">
        <v>823</v>
      </c>
      <c r="N54" s="25">
        <v>1342</v>
      </c>
      <c r="O54" s="20">
        <v>9</v>
      </c>
      <c r="P54" s="1">
        <f>Tabla1[[#This Row],[Noche]]-Tabla1[[#This Row],[Mañana ]]</f>
        <v>1255</v>
      </c>
      <c r="Q54" s="58">
        <v>0.01</v>
      </c>
      <c r="R54" s="21">
        <f t="shared" si="1"/>
        <v>0.01</v>
      </c>
      <c r="S54" s="22">
        <f>Tabla1[[#This Row],[Merma Salas A &amp; B2]]*1000/Tabla1[[#This Row],[Peso gr.]]</f>
        <v>3.3898305084745761</v>
      </c>
      <c r="T54" s="52"/>
      <c r="U54" s="24">
        <f>Tabla1[[#This Row],[Total piezas NOK]]/Tabla1[[#This Row],[Cant. Fabricada (uds)]]</f>
        <v>2.7010601661152001E-3</v>
      </c>
    </row>
    <row r="55" spans="1:22" x14ac:dyDescent="0.3">
      <c r="A55" s="43">
        <v>44497</v>
      </c>
      <c r="B55" s="20" t="s">
        <v>771</v>
      </c>
      <c r="C55" s="20" t="s">
        <v>615</v>
      </c>
      <c r="D55" s="13" t="str">
        <f>VLOOKUP(C:C,'LListat referències'!A:B,2,FALSE)</f>
        <v>Tarro 50ml Tinter Quadrat</v>
      </c>
      <c r="E55" s="18" t="str">
        <f>VLOOKUP(C:C,'LListat referències'!A:D,4,FALSE)</f>
        <v>T116</v>
      </c>
      <c r="F55" s="49">
        <v>121.5</v>
      </c>
      <c r="G55" s="49">
        <v>126.1</v>
      </c>
      <c r="H55" s="49">
        <v>2</v>
      </c>
      <c r="I55" s="75">
        <f>Tabla1[[#This Row],[Cant. Fabricada (uds)]]/Tabla1[[#This Row],[Cavidades]]*Tabla1[[#This Row],[Tiempo Ciclo]]/60/60</f>
        <v>12.11961111111111</v>
      </c>
      <c r="J55" s="1" t="s">
        <v>8</v>
      </c>
      <c r="K55" s="25"/>
      <c r="L55" s="25">
        <v>1264</v>
      </c>
      <c r="M55" s="25">
        <v>1526</v>
      </c>
      <c r="N55" s="25">
        <v>1956</v>
      </c>
      <c r="O55" s="20">
        <v>30</v>
      </c>
      <c r="P55" s="1">
        <f>Tabla1[[#This Row],[Noche]]-Tabla1[[#This Row],[Mañana ]]</f>
        <v>692</v>
      </c>
      <c r="Q55" s="58">
        <v>10</v>
      </c>
      <c r="R55" s="21">
        <f t="shared" si="1"/>
        <v>10</v>
      </c>
      <c r="S55" s="22">
        <f>Tabla1[[#This Row],[Merma Salas A &amp; B2]]*1000/Tabla1[[#This Row],[Peso gr.]]</f>
        <v>82.304526748971199</v>
      </c>
      <c r="T55" s="52"/>
      <c r="U55" s="24">
        <f>Tabla1[[#This Row],[Total piezas NOK]]/Tabla1[[#This Row],[Cant. Fabricada (uds)]]</f>
        <v>0.11893717738290635</v>
      </c>
      <c r="V55" s="19" t="s">
        <v>795</v>
      </c>
    </row>
    <row r="56" spans="1:22" x14ac:dyDescent="0.3">
      <c r="A56" s="43">
        <v>44497</v>
      </c>
      <c r="B56" s="20" t="s">
        <v>759</v>
      </c>
      <c r="C56" s="20" t="s">
        <v>513</v>
      </c>
      <c r="D56" s="13" t="str">
        <f>VLOOKUP(C:C,'LListat referències'!A:B,2,FALSE)</f>
        <v>Tarro 150 ml</v>
      </c>
      <c r="E56" s="18" t="str">
        <f>VLOOKUP(C:C,'LListat referències'!A:D,4,FALSE)</f>
        <v>T057</v>
      </c>
      <c r="F56" s="49">
        <v>168</v>
      </c>
      <c r="G56" s="49">
        <v>109.1</v>
      </c>
      <c r="H56" s="49">
        <v>2</v>
      </c>
      <c r="I56" s="75">
        <f>Tabla1[[#This Row],[Cant. Fabricada (uds)]]/Tabla1[[#This Row],[Cavidades]]*Tabla1[[#This Row],[Tiempo Ciclo]]/60/60</f>
        <v>16.395305555555556</v>
      </c>
      <c r="J56" s="1" t="s">
        <v>15</v>
      </c>
      <c r="K56" s="25"/>
      <c r="L56" s="25">
        <v>17832</v>
      </c>
      <c r="M56" s="25">
        <v>18352</v>
      </c>
      <c r="N56" s="25">
        <v>18914</v>
      </c>
      <c r="O56" s="20">
        <v>43</v>
      </c>
      <c r="P56" s="1">
        <f>Tabla1[[#This Row],[Noche]]-Tabla1[[#This Row],[Mañana ]]</f>
        <v>1082</v>
      </c>
      <c r="Q56" s="58">
        <v>2.5</v>
      </c>
      <c r="R56" s="21">
        <f t="shared" si="1"/>
        <v>2.5</v>
      </c>
      <c r="S56" s="22">
        <f>Tabla1[[#This Row],[Merma Salas A &amp; B2]]*1000/Tabla1[[#This Row],[Peso gr.]]</f>
        <v>14.880952380952381</v>
      </c>
      <c r="T56" s="52"/>
      <c r="U56" s="24">
        <f>Tabla1[[#This Row],[Total piezas NOK]]/Tabla1[[#This Row],[Cant. Fabricada (uds)]]</f>
        <v>1.3753190740251739E-2</v>
      </c>
    </row>
    <row r="57" spans="1:22" x14ac:dyDescent="0.3">
      <c r="A57" s="43">
        <v>44497</v>
      </c>
      <c r="B57" s="20" t="s">
        <v>765</v>
      </c>
      <c r="C57" s="20">
        <v>1861</v>
      </c>
      <c r="D57" s="13" t="str">
        <f>VLOOKUP(C:C,'LListat referències'!A:B,2,FALSE)</f>
        <v>Tarro 50ml Standard 8 unitats</v>
      </c>
      <c r="E57" s="18" t="str">
        <f>VLOOKUP(C:C,'LListat referències'!A:D,4,FALSE)</f>
        <v>T022</v>
      </c>
      <c r="F57" s="49">
        <f>VLOOKUP(C:C,'LListat referències'!A:E,5,FALSE)</f>
        <v>92</v>
      </c>
      <c r="G57" s="49">
        <v>148</v>
      </c>
      <c r="H57" s="49">
        <v>8</v>
      </c>
      <c r="I57" s="75">
        <f>Tabla1[[#This Row],[Cant. Fabricada (uds)]]/Tabla1[[#This Row],[Cavidades]]*Tabla1[[#This Row],[Tiempo Ciclo]]/60/60</f>
        <v>20.103333333333335</v>
      </c>
      <c r="J57" s="1" t="s">
        <v>15</v>
      </c>
      <c r="K57" s="25"/>
      <c r="L57" s="25">
        <v>0</v>
      </c>
      <c r="M57" s="25">
        <v>1792</v>
      </c>
      <c r="N57" s="25">
        <v>3912</v>
      </c>
      <c r="O57" s="20">
        <v>40</v>
      </c>
      <c r="P57" s="1">
        <f>Tabla1[[#This Row],[Noche]]-Tabla1[[#This Row],[Mañana ]]</f>
        <v>3912</v>
      </c>
      <c r="Q57" s="58">
        <v>55</v>
      </c>
      <c r="R57" s="21">
        <f t="shared" si="1"/>
        <v>55</v>
      </c>
      <c r="S57" s="22">
        <f>Tabla1[[#This Row],[Merma Salas A &amp; B2]]*1000/Tabla1[[#This Row],[Peso gr.]]</f>
        <v>597.82608695652175</v>
      </c>
      <c r="T57" s="52"/>
      <c r="U57" s="24">
        <f>Tabla1[[#This Row],[Total piezas NOK]]/Tabla1[[#This Row],[Cant. Fabricada (uds)]]</f>
        <v>0.15281852938561394</v>
      </c>
      <c r="V57" s="19" t="s">
        <v>785</v>
      </c>
    </row>
    <row r="58" spans="1:22" x14ac:dyDescent="0.3">
      <c r="A58" s="43">
        <v>44497</v>
      </c>
      <c r="B58" s="20" t="s">
        <v>772</v>
      </c>
      <c r="C58" s="20">
        <v>1897</v>
      </c>
      <c r="D58" s="13" t="str">
        <f>VLOOKUP(C:C,'LListat referències'!A:B,2,FALSE)</f>
        <v>Tapa 50 cc mar mar (6 unit)</v>
      </c>
      <c r="E58" s="18" t="str">
        <f>VLOOKUP(C:C,'LListat referències'!A:D,4,FALSE)</f>
        <v>#6(50 ml)</v>
      </c>
      <c r="F58" s="49">
        <f>VLOOKUP(C:C,'LListat referències'!A:E,5,FALSE)</f>
        <v>32</v>
      </c>
      <c r="G58" s="49">
        <v>81.709999999999994</v>
      </c>
      <c r="H58" s="49">
        <v>6</v>
      </c>
      <c r="I58" s="75">
        <f>Tabla1[[#This Row],[Cant. Fabricada (uds)]]/Tabla1[[#This Row],[Cavidades]]*Tabla1[[#This Row],[Tiempo Ciclo]]/60/60</f>
        <v>15.842661111111109</v>
      </c>
      <c r="J58" s="1" t="s">
        <v>8</v>
      </c>
      <c r="K58" s="25"/>
      <c r="L58" s="25">
        <v>582</v>
      </c>
      <c r="M58" s="25">
        <v>2580</v>
      </c>
      <c r="N58" s="25">
        <v>4770</v>
      </c>
      <c r="O58" s="20">
        <v>52</v>
      </c>
      <c r="P58" s="1">
        <f>Tabla1[[#This Row],[Noche]]-Tabla1[[#This Row],[Mañana ]]</f>
        <v>4188</v>
      </c>
      <c r="Q58" s="58">
        <v>0</v>
      </c>
      <c r="R58" s="21">
        <f t="shared" si="1"/>
        <v>0</v>
      </c>
      <c r="S58" s="22">
        <f>Tabla1[[#This Row],[Merma Salas A &amp; B2]]*1000/Tabla1[[#This Row],[Peso gr.]]</f>
        <v>0</v>
      </c>
      <c r="T58" s="52">
        <v>120</v>
      </c>
      <c r="U58" s="24">
        <f>Tabla1[[#This Row],[Total piezas NOK]]/Tabla1[[#This Row],[Cant. Fabricada (uds)]]</f>
        <v>0</v>
      </c>
      <c r="V58" s="19" t="s">
        <v>792</v>
      </c>
    </row>
    <row r="59" spans="1:22" x14ac:dyDescent="0.3">
      <c r="A59" s="43">
        <v>44497</v>
      </c>
      <c r="B59" s="20" t="s">
        <v>807</v>
      </c>
      <c r="C59" s="20">
        <v>1825</v>
      </c>
      <c r="D59" s="13" t="str">
        <f>VLOOKUP(C:C,'LListat referències'!A:B,2,FALSE)</f>
        <v>OBTURADOR 200 A/ LLENG.</v>
      </c>
      <c r="E59" s="18" t="str">
        <f>VLOOKUP(C:C,'LListat referències'!A:D,4,FALSE)</f>
        <v/>
      </c>
      <c r="F59" s="49">
        <f>VLOOKUP(C:C,'LListat referències'!A:E,5,FALSE)</f>
        <v>2.73</v>
      </c>
      <c r="G59" s="49">
        <v>18.5</v>
      </c>
      <c r="H59" s="49">
        <v>2</v>
      </c>
      <c r="I59" s="75">
        <f>Tabla1[[#This Row],[Cant. Fabricada (uds)]]/Tabla1[[#This Row],[Cavidades]]*Tabla1[[#This Row],[Tiempo Ciclo]]/60/60</f>
        <v>3.0062500000000001</v>
      </c>
      <c r="J59" s="1" t="s">
        <v>797</v>
      </c>
      <c r="K59" s="25"/>
      <c r="L59" s="25">
        <v>37496</v>
      </c>
      <c r="M59" s="25">
        <v>38666</v>
      </c>
      <c r="N59" s="25">
        <v>38666</v>
      </c>
      <c r="O59" s="20">
        <v>48</v>
      </c>
      <c r="P59" s="1">
        <f>Tabla1[[#This Row],[Noche]]-Tabla1[[#This Row],[Mañana ]]</f>
        <v>1170</v>
      </c>
      <c r="Q59" s="58">
        <v>0.01</v>
      </c>
      <c r="R59" s="21">
        <f t="shared" si="1"/>
        <v>0.01</v>
      </c>
      <c r="S59" s="22">
        <f>Tabla1[[#This Row],[Merma Salas A &amp; B2]]*1000/Tabla1[[#This Row],[Peso gr.]]</f>
        <v>3.6630036630036629</v>
      </c>
      <c r="T59" s="52"/>
      <c r="U59" s="24">
        <f>Tabla1[[#This Row],[Total piezas NOK]]/Tabla1[[#This Row],[Cant. Fabricada (uds)]]</f>
        <v>3.1307723615415922E-3</v>
      </c>
    </row>
    <row r="60" spans="1:22" x14ac:dyDescent="0.3">
      <c r="A60" s="43">
        <v>44497</v>
      </c>
      <c r="B60" s="20" t="s">
        <v>808</v>
      </c>
      <c r="C60" s="20">
        <v>1825</v>
      </c>
      <c r="D60" s="13" t="str">
        <f>VLOOKUP(C:C,'LListat referències'!A:B,2,FALSE)</f>
        <v>OBTURADOR 200 A/ LLENG.</v>
      </c>
      <c r="E60" s="18" t="str">
        <f>VLOOKUP(C:C,'LListat referències'!A:D,4,FALSE)</f>
        <v/>
      </c>
      <c r="F60" s="49">
        <f>VLOOKUP(C:C,'LListat referències'!A:E,5,FALSE)</f>
        <v>2.73</v>
      </c>
      <c r="G60" s="49">
        <v>18.5</v>
      </c>
      <c r="H60" s="49">
        <v>2</v>
      </c>
      <c r="I60" s="75">
        <f>Tabla1[[#This Row],[Cant. Fabricada (uds)]]/Tabla1[[#This Row],[Cavidades]]*Tabla1[[#This Row],[Tiempo Ciclo]]/60/60</f>
        <v>11.937638888888889</v>
      </c>
      <c r="J60" s="1" t="s">
        <v>797</v>
      </c>
      <c r="K60" s="25"/>
      <c r="L60" s="25">
        <v>0</v>
      </c>
      <c r="M60" s="25">
        <v>1508</v>
      </c>
      <c r="N60" s="25">
        <v>4646</v>
      </c>
      <c r="O60" s="20">
        <v>48</v>
      </c>
      <c r="P60" s="1">
        <f>Tabla1[[#This Row],[Noche]]-Tabla1[[#This Row],[Mañana ]]</f>
        <v>4646</v>
      </c>
      <c r="Q60" s="58">
        <v>0.01</v>
      </c>
      <c r="R60" s="21">
        <f t="shared" si="1"/>
        <v>0.01</v>
      </c>
      <c r="S60" s="22">
        <f>Tabla1[[#This Row],[Merma Salas A &amp; B2]]*1000/Tabla1[[#This Row],[Peso gr.]]</f>
        <v>3.6630036630036629</v>
      </c>
      <c r="T60" s="52"/>
      <c r="U60" s="24">
        <f>Tabla1[[#This Row],[Total piezas NOK]]/Tabla1[[#This Row],[Cant. Fabricada (uds)]]</f>
        <v>7.8842093478339714E-4</v>
      </c>
    </row>
    <row r="61" spans="1:22" x14ac:dyDescent="0.3">
      <c r="A61" s="43">
        <v>44497</v>
      </c>
      <c r="B61" s="20" t="s">
        <v>812</v>
      </c>
      <c r="C61" s="20">
        <v>1305</v>
      </c>
      <c r="D61" s="13" t="str">
        <f>VLOOKUP(C:C,'LListat referències'!A:B,2,FALSE)</f>
        <v>Funda cruz verde 400 ml</v>
      </c>
      <c r="E61" s="18" t="str">
        <f>VLOOKUP(C:C,'LListat referències'!A:D,4,FALSE)</f>
        <v/>
      </c>
      <c r="F61" s="49">
        <v>9.01</v>
      </c>
      <c r="G61" s="49">
        <v>30.9</v>
      </c>
      <c r="H61" s="49">
        <v>6</v>
      </c>
      <c r="I61" s="75">
        <f>Tabla1[[#This Row],[Cant. Fabricada (uds)]]/Tabla1[[#This Row],[Cavidades]]*Tabla1[[#This Row],[Tiempo Ciclo]]/60/60</f>
        <v>6.9524999999999997</v>
      </c>
      <c r="J61" s="1" t="s">
        <v>797</v>
      </c>
      <c r="K61" s="25"/>
      <c r="L61" s="25">
        <v>0</v>
      </c>
      <c r="M61" s="25">
        <v>1196</v>
      </c>
      <c r="N61" s="25">
        <v>4860</v>
      </c>
      <c r="O61" s="20">
        <v>39</v>
      </c>
      <c r="P61" s="1">
        <f>Tabla1[[#This Row],[Noche]]-Tabla1[[#This Row],[Mañana ]]</f>
        <v>4860</v>
      </c>
      <c r="Q61" s="58">
        <v>0.01</v>
      </c>
      <c r="R61" s="21">
        <f t="shared" si="1"/>
        <v>0.01</v>
      </c>
      <c r="S61" s="22">
        <f>Tabla1[[#This Row],[Merma Salas A &amp; B2]]*1000/Tabla1[[#This Row],[Peso gr.]]</f>
        <v>1.1098779134295227</v>
      </c>
      <c r="T61" s="52"/>
      <c r="U61" s="24">
        <f>Tabla1[[#This Row],[Total piezas NOK]]/Tabla1[[#This Row],[Cant. Fabricada (uds)]]</f>
        <v>2.283699410348812E-4</v>
      </c>
    </row>
    <row r="62" spans="1:22" x14ac:dyDescent="0.3">
      <c r="A62" s="43">
        <v>44498</v>
      </c>
      <c r="B62" s="20" t="s">
        <v>759</v>
      </c>
      <c r="C62" s="20" t="s">
        <v>513</v>
      </c>
      <c r="D62" s="13" t="str">
        <f>VLOOKUP(C:C,'LListat referències'!A:B,2,FALSE)</f>
        <v>Tarro 150 ml</v>
      </c>
      <c r="E62" s="18" t="str">
        <f>VLOOKUP(C:C,'LListat referències'!A:D,4,FALSE)</f>
        <v>T057</v>
      </c>
      <c r="F62" s="49">
        <v>168</v>
      </c>
      <c r="G62" s="49">
        <v>109.1</v>
      </c>
      <c r="H62" s="49">
        <v>2</v>
      </c>
      <c r="I62" s="75">
        <f>Tabla1[[#This Row],[Cant. Fabricada (uds)]]/Tabla1[[#This Row],[Cavidades]]*Tabla1[[#This Row],[Tiempo Ciclo]]/60/60</f>
        <v>14.152694444444444</v>
      </c>
      <c r="J62" s="1" t="s">
        <v>15</v>
      </c>
      <c r="K62" s="25"/>
      <c r="L62" s="25">
        <v>19484</v>
      </c>
      <c r="M62" s="25">
        <v>19980</v>
      </c>
      <c r="N62" s="25">
        <v>20418</v>
      </c>
      <c r="O62" s="20">
        <v>43</v>
      </c>
      <c r="P62" s="1">
        <f>Tabla1[[#This Row],[Noche]]-Tabla1[[#This Row],[Mañana ]]</f>
        <v>934</v>
      </c>
      <c r="Q62" s="58">
        <v>2.5</v>
      </c>
      <c r="R62" s="21">
        <f t="shared" si="1"/>
        <v>2.5</v>
      </c>
      <c r="S62" s="22">
        <f>Tabla1[[#This Row],[Merma Salas A &amp; B2]]*1000/Tabla1[[#This Row],[Peso gr.]]</f>
        <v>14.880952380952381</v>
      </c>
      <c r="T62" s="52"/>
      <c r="U62" s="24">
        <f>Tabla1[[#This Row],[Total piezas NOK]]/Tabla1[[#This Row],[Cant. Fabricada (uds)]]</f>
        <v>1.5932497195880493E-2</v>
      </c>
    </row>
    <row r="63" spans="1:22" x14ac:dyDescent="0.3">
      <c r="A63" s="43">
        <v>44498</v>
      </c>
      <c r="B63" s="20" t="s">
        <v>765</v>
      </c>
      <c r="C63" s="20">
        <v>1861</v>
      </c>
      <c r="D63" s="13" t="str">
        <f>VLOOKUP(C:C,'LListat referències'!A:B,2,FALSE)</f>
        <v>Tarro 50ml Standard 8 unitats</v>
      </c>
      <c r="E63" s="18" t="str">
        <f>VLOOKUP(C:C,'LListat referències'!A:D,4,FALSE)</f>
        <v>T022</v>
      </c>
      <c r="F63" s="49">
        <f>VLOOKUP(C:C,'LListat referències'!A:E,5,FALSE)</f>
        <v>92</v>
      </c>
      <c r="G63" s="49">
        <v>148</v>
      </c>
      <c r="H63" s="49">
        <v>8</v>
      </c>
      <c r="I63" s="75">
        <f>Tabla1[[#This Row],[Cant. Fabricada (uds)]]/Tabla1[[#This Row],[Cavidades]]*Tabla1[[#This Row],[Tiempo Ciclo]]/60/60</f>
        <v>12.12263888888889</v>
      </c>
      <c r="J63" s="1" t="s">
        <v>15</v>
      </c>
      <c r="K63" s="25"/>
      <c r="L63" s="25">
        <v>5774</v>
      </c>
      <c r="M63" s="25">
        <v>7244</v>
      </c>
      <c r="N63" s="25">
        <v>8133</v>
      </c>
      <c r="O63" s="20">
        <v>40</v>
      </c>
      <c r="P63" s="1">
        <f>Tabla1[[#This Row],[Noche]]-Tabla1[[#This Row],[Mañana ]]</f>
        <v>2359</v>
      </c>
      <c r="Q63" s="58">
        <v>60</v>
      </c>
      <c r="R63" s="21">
        <f t="shared" si="1"/>
        <v>60</v>
      </c>
      <c r="S63" s="22">
        <f>Tabla1[[#This Row],[Merma Salas A &amp; B2]]*1000/Tabla1[[#This Row],[Peso gr.]]</f>
        <v>652.17391304347825</v>
      </c>
      <c r="T63" s="52"/>
      <c r="U63" s="24">
        <f>Tabla1[[#This Row],[Total piezas NOK]]/Tabla1[[#This Row],[Cant. Fabricada (uds)]]</f>
        <v>0.27646202333339476</v>
      </c>
      <c r="V63" s="19" t="s">
        <v>787</v>
      </c>
    </row>
    <row r="64" spans="1:22" x14ac:dyDescent="0.3">
      <c r="A64" s="43">
        <v>44498</v>
      </c>
      <c r="B64" s="20" t="s">
        <v>771</v>
      </c>
      <c r="C64" s="20" t="s">
        <v>615</v>
      </c>
      <c r="D64" s="13" t="str">
        <f>VLOOKUP(C:C,'LListat referències'!A:B,2,FALSE)</f>
        <v>Tarro 50ml Tinter Quadrat</v>
      </c>
      <c r="E64" s="18" t="str">
        <f>VLOOKUP(C:C,'LListat referències'!A:D,4,FALSE)</f>
        <v>T116</v>
      </c>
      <c r="F64" s="49">
        <v>121.5</v>
      </c>
      <c r="G64" s="49">
        <v>126.1</v>
      </c>
      <c r="H64" s="49">
        <v>2</v>
      </c>
      <c r="I64" s="75">
        <f>Tabla1[[#This Row],[Cant. Fabricada (uds)]]/Tabla1[[#This Row],[Cavidades]]*Tabla1[[#This Row],[Tiempo Ciclo]]/60/60</f>
        <v>12.995305555555555</v>
      </c>
      <c r="J64" s="1" t="s">
        <v>8</v>
      </c>
      <c r="K64" s="25"/>
      <c r="L64" s="25">
        <v>2376</v>
      </c>
      <c r="M64" s="25">
        <v>2774</v>
      </c>
      <c r="N64" s="25">
        <v>3118</v>
      </c>
      <c r="O64" s="20">
        <v>30</v>
      </c>
      <c r="P64" s="1">
        <f>Tabla1[[#This Row],[Noche]]-Tabla1[[#This Row],[Mañana ]]</f>
        <v>742</v>
      </c>
      <c r="Q64" s="58">
        <v>20</v>
      </c>
      <c r="R64" s="21">
        <f t="shared" si="1"/>
        <v>20</v>
      </c>
      <c r="S64" s="22">
        <f>Tabla1[[#This Row],[Merma Salas A &amp; B2]]*1000/Tabla1[[#This Row],[Peso gr.]]</f>
        <v>164.6090534979424</v>
      </c>
      <c r="T64" s="52"/>
      <c r="U64" s="24">
        <f>Tabla1[[#This Row],[Total piezas NOK]]/Tabla1[[#This Row],[Cant. Fabricada (uds)]]</f>
        <v>0.22184508557674176</v>
      </c>
      <c r="V64" s="19" t="s">
        <v>794</v>
      </c>
    </row>
    <row r="65" spans="1:22" x14ac:dyDescent="0.3">
      <c r="A65" s="43">
        <v>44498</v>
      </c>
      <c r="B65" s="20" t="s">
        <v>756</v>
      </c>
      <c r="C65" s="20" t="s">
        <v>644</v>
      </c>
      <c r="D65" s="13" t="str">
        <f>VLOOKUP(C:C,'LListat referències'!A:B,2,FALSE)</f>
        <v>Tarro 200ml Quadrat estret (Tapa Rodona)</v>
      </c>
      <c r="E65" s="18">
        <f>VLOOKUP(C:C,'LListat referències'!A:D,4,FALSE)</f>
        <v>0</v>
      </c>
      <c r="F65" s="49">
        <f>VLOOKUP(C:C,'LListat referències'!A:E,5,FALSE)</f>
        <v>220.84</v>
      </c>
      <c r="G65" s="49">
        <v>122.41</v>
      </c>
      <c r="H65" s="49">
        <v>1</v>
      </c>
      <c r="I65" s="75">
        <f>Tabla1[[#This Row],[Cant. Fabricada (uds)]]/Tabla1[[#This Row],[Cavidades]]*Tabla1[[#This Row],[Tiempo Ciclo]]/60/60</f>
        <v>13.397094444444445</v>
      </c>
      <c r="J65" s="1" t="s">
        <v>7</v>
      </c>
      <c r="K65" s="25"/>
      <c r="L65" s="25">
        <v>17145</v>
      </c>
      <c r="M65" s="25">
        <v>17359</v>
      </c>
      <c r="N65" s="25">
        <v>17539</v>
      </c>
      <c r="O65" s="20">
        <v>41</v>
      </c>
      <c r="P65" s="1">
        <f>Tabla1[[#This Row],[Noche]]-Tabla1[[#This Row],[Mañana ]]</f>
        <v>394</v>
      </c>
      <c r="Q65" s="58">
        <v>3</v>
      </c>
      <c r="R65" s="21">
        <f t="shared" si="1"/>
        <v>3</v>
      </c>
      <c r="S65" s="22">
        <f>Tabla1[[#This Row],[Merma Salas A &amp; B2]]*1000/Tabla1[[#This Row],[Peso gr.]]</f>
        <v>13.584495562398116</v>
      </c>
      <c r="T65" s="52"/>
      <c r="U65" s="24">
        <f>Tabla1[[#This Row],[Total piezas NOK]]/Tabla1[[#This Row],[Cant. Fabricada (uds)]]</f>
        <v>3.4478415132990145E-2</v>
      </c>
    </row>
    <row r="66" spans="1:22" x14ac:dyDescent="0.3">
      <c r="A66" s="43">
        <v>44498</v>
      </c>
      <c r="B66" s="20" t="s">
        <v>767</v>
      </c>
      <c r="C66" s="20">
        <v>1790</v>
      </c>
      <c r="D66" s="13" t="str">
        <f>VLOOKUP(C:C,'LListat referències'!A:B,2,FALSE)</f>
        <v>Tarro 100ml</v>
      </c>
      <c r="E66" s="18" t="str">
        <f>VLOOKUP(C:C,'LListat referències'!A:D,4,FALSE)</f>
        <v>T029</v>
      </c>
      <c r="F66" s="49">
        <f>VLOOKUP(C:C,'LListat referències'!A:E,5,FALSE)</f>
        <v>151</v>
      </c>
      <c r="G66" s="49">
        <v>136.1</v>
      </c>
      <c r="H66" s="49">
        <v>2</v>
      </c>
      <c r="I66" s="75">
        <f>Tabla1[[#This Row],[Cant. Fabricada (uds)]]/Tabla1[[#This Row],[Cavidades]]*Tabla1[[#This Row],[Tiempo Ciclo]]/60/60</f>
        <v>6.2379166666666661</v>
      </c>
      <c r="J66" s="1" t="s">
        <v>7</v>
      </c>
      <c r="K66" s="25"/>
      <c r="L66" s="25">
        <v>2951</v>
      </c>
      <c r="M66" s="25">
        <v>3121</v>
      </c>
      <c r="N66" s="25">
        <v>3281</v>
      </c>
      <c r="O66" s="20">
        <v>51</v>
      </c>
      <c r="P66" s="1">
        <f>Tabla1[[#This Row],[Noche]]-Tabla1[[#This Row],[Mañana ]]</f>
        <v>330</v>
      </c>
      <c r="Q66" s="58">
        <v>0.2</v>
      </c>
      <c r="R66" s="21">
        <f t="shared" ref="R66:R97" si="2">SUM(Q66:Q66)</f>
        <v>0.2</v>
      </c>
      <c r="S66" s="22">
        <f>Tabla1[[#This Row],[Merma Salas A &amp; B2]]*1000/Tabla1[[#This Row],[Peso gr.]]</f>
        <v>1.3245033112582782</v>
      </c>
      <c r="T66" s="52"/>
      <c r="U66" s="24">
        <f>Tabla1[[#This Row],[Total piezas NOK]]/Tabla1[[#This Row],[Cant. Fabricada (uds)]]</f>
        <v>4.013646397752358E-3</v>
      </c>
      <c r="V66" s="19" t="s">
        <v>817</v>
      </c>
    </row>
    <row r="67" spans="1:22" x14ac:dyDescent="0.3">
      <c r="A67" s="43">
        <v>44498</v>
      </c>
      <c r="B67" s="20" t="s">
        <v>772</v>
      </c>
      <c r="C67" s="20">
        <v>1897</v>
      </c>
      <c r="D67" s="13" t="str">
        <f>VLOOKUP(C:C,'LListat referències'!A:B,2,FALSE)</f>
        <v>Tapa 50 cc mar mar (6 unit)</v>
      </c>
      <c r="E67" s="18" t="str">
        <f>VLOOKUP(C:C,'LListat referències'!A:D,4,FALSE)</f>
        <v>#6(50 ml)</v>
      </c>
      <c r="F67" s="49">
        <f>VLOOKUP(C:C,'LListat referències'!A:E,5,FALSE)</f>
        <v>32</v>
      </c>
      <c r="G67" s="49">
        <v>81.709999999999994</v>
      </c>
      <c r="H67" s="49">
        <v>6</v>
      </c>
      <c r="I67" s="75">
        <f>Tabla1[[#This Row],[Cant. Fabricada (uds)]]/Tabla1[[#This Row],[Cavidades]]*Tabla1[[#This Row],[Tiempo Ciclo]]/60/60</f>
        <v>13.890699999999999</v>
      </c>
      <c r="J67" s="1" t="s">
        <v>8</v>
      </c>
      <c r="K67" s="25"/>
      <c r="L67" s="25">
        <v>6972</v>
      </c>
      <c r="M67" s="25">
        <v>8874</v>
      </c>
      <c r="N67" s="25">
        <v>10644</v>
      </c>
      <c r="O67" s="20">
        <v>52</v>
      </c>
      <c r="P67" s="1">
        <f>Tabla1[[#This Row],[Noche]]-Tabla1[[#This Row],[Mañana ]]</f>
        <v>3672</v>
      </c>
      <c r="Q67" s="58">
        <v>5</v>
      </c>
      <c r="R67" s="21">
        <f t="shared" si="2"/>
        <v>5</v>
      </c>
      <c r="S67" s="22">
        <f>Tabla1[[#This Row],[Merma Salas A &amp; B2]]*1000/Tabla1[[#This Row],[Peso gr.]]</f>
        <v>156.25</v>
      </c>
      <c r="T67" s="52"/>
      <c r="U67" s="24">
        <f>Tabla1[[#This Row],[Total piezas NOK]]/Tabla1[[#This Row],[Cant. Fabricada (uds)]]</f>
        <v>4.2551742919389977E-2</v>
      </c>
    </row>
    <row r="68" spans="1:22" x14ac:dyDescent="0.3">
      <c r="A68" s="43">
        <v>44498</v>
      </c>
      <c r="B68" s="20" t="s">
        <v>769</v>
      </c>
      <c r="C68" s="20" t="s">
        <v>12</v>
      </c>
      <c r="D68" s="13" t="str">
        <f>VLOOKUP(C:C,'LListat referències'!A:B,2,FALSE)</f>
        <v>Tapa 50 ml mar-mar prima</v>
      </c>
      <c r="E68" s="18" t="str">
        <f>VLOOKUP(C:C,'LListat referències'!A:D,4,FALSE)</f>
        <v>#24</v>
      </c>
      <c r="F68" s="49">
        <v>20.86</v>
      </c>
      <c r="G68" s="49">
        <v>113.2</v>
      </c>
      <c r="H68" s="49">
        <v>4</v>
      </c>
      <c r="I68" s="75">
        <f>Tabla1[[#This Row],[Cant. Fabricada (uds)]]/Tabla1[[#This Row],[Cavidades]]*Tabla1[[#This Row],[Tiempo Ciclo]]/60/60</f>
        <v>23.661944444444444</v>
      </c>
      <c r="J68" s="1" t="s">
        <v>15</v>
      </c>
      <c r="K68" s="25"/>
      <c r="L68" s="25">
        <v>1548</v>
      </c>
      <c r="M68" s="25">
        <v>3652</v>
      </c>
      <c r="N68" s="25">
        <v>4558</v>
      </c>
      <c r="O68" s="20">
        <v>45</v>
      </c>
      <c r="P68" s="1">
        <f>Tabla1[[#This Row],[Noche]]-Tabla1[[#This Row],[Mañana ]]</f>
        <v>3010</v>
      </c>
      <c r="Q68" s="58">
        <v>5</v>
      </c>
      <c r="R68" s="21">
        <f t="shared" si="2"/>
        <v>5</v>
      </c>
      <c r="S68" s="22">
        <f>Tabla1[[#This Row],[Merma Salas A &amp; B2]]*1000/Tabla1[[#This Row],[Peso gr.]]</f>
        <v>239.69319271332694</v>
      </c>
      <c r="T68" s="52"/>
      <c r="U68" s="24">
        <f>Tabla1[[#This Row],[Total piezas NOK]]/Tabla1[[#This Row],[Cant. Fabricada (uds)]]</f>
        <v>7.9632289937982367E-2</v>
      </c>
    </row>
    <row r="69" spans="1:22" x14ac:dyDescent="0.3">
      <c r="A69" s="43">
        <v>44498</v>
      </c>
      <c r="B69" s="20" t="s">
        <v>808</v>
      </c>
      <c r="C69" s="20">
        <v>1825</v>
      </c>
      <c r="D69" s="13" t="str">
        <f>VLOOKUP(C:C,'LListat referències'!A:B,2,FALSE)</f>
        <v>OBTURADOR 200 A/ LLENG.</v>
      </c>
      <c r="E69" s="18" t="str">
        <f>VLOOKUP(C:C,'LListat referències'!A:D,4,FALSE)</f>
        <v/>
      </c>
      <c r="F69" s="49">
        <f>VLOOKUP(C:C,'LListat referències'!A:E,5,FALSE)</f>
        <v>2.73</v>
      </c>
      <c r="G69" s="49">
        <v>18.5</v>
      </c>
      <c r="H69" s="49">
        <v>2</v>
      </c>
      <c r="I69" s="75">
        <f>Tabla1[[#This Row],[Cant. Fabricada (uds)]]/Tabla1[[#This Row],[Cavidades]]*Tabla1[[#This Row],[Tiempo Ciclo]]/60/60</f>
        <v>13.602638888888889</v>
      </c>
      <c r="J69" s="1" t="s">
        <v>797</v>
      </c>
      <c r="K69" s="25"/>
      <c r="L69" s="25">
        <v>7752</v>
      </c>
      <c r="M69" s="25">
        <v>10516</v>
      </c>
      <c r="N69" s="25">
        <v>13046</v>
      </c>
      <c r="O69" s="20">
        <v>48</v>
      </c>
      <c r="P69" s="1">
        <f>Tabla1[[#This Row],[Noche]]-Tabla1[[#This Row],[Mañana ]]</f>
        <v>5294</v>
      </c>
      <c r="Q69" s="58">
        <v>0.01</v>
      </c>
      <c r="R69" s="21">
        <f t="shared" si="2"/>
        <v>0.01</v>
      </c>
      <c r="S69" s="22">
        <f>Tabla1[[#This Row],[Merma Salas A &amp; B2]]*1000/Tabla1[[#This Row],[Peso gr.]]</f>
        <v>3.6630036630036629</v>
      </c>
      <c r="T69" s="52"/>
      <c r="U69" s="24">
        <f>Tabla1[[#This Row],[Total piezas NOK]]/Tabla1[[#This Row],[Cant. Fabricada (uds)]]</f>
        <v>6.9191606781330997E-4</v>
      </c>
    </row>
    <row r="70" spans="1:22" x14ac:dyDescent="0.3">
      <c r="A70" s="43">
        <v>44498</v>
      </c>
      <c r="B70" s="20" t="s">
        <v>813</v>
      </c>
      <c r="C70" s="20">
        <v>1305</v>
      </c>
      <c r="D70" s="13" t="str">
        <f>VLOOKUP(C:C,'LListat referències'!A:B,2,FALSE)</f>
        <v>Funda cruz verde 400 ml</v>
      </c>
      <c r="E70" s="18" t="str">
        <f>VLOOKUP(C:C,'LListat referències'!A:D,4,FALSE)</f>
        <v/>
      </c>
      <c r="F70" s="49">
        <v>9.01</v>
      </c>
      <c r="G70" s="49">
        <v>30.9</v>
      </c>
      <c r="H70" s="49">
        <v>6</v>
      </c>
      <c r="I70" s="75">
        <f>Tabla1[[#This Row],[Cant. Fabricada (uds)]]/Tabla1[[#This Row],[Cavidades]]*Tabla1[[#This Row],[Tiempo Ciclo]]/60/60</f>
        <v>0.44061111111111112</v>
      </c>
      <c r="J70" s="1" t="s">
        <v>797</v>
      </c>
      <c r="K70" s="25"/>
      <c r="L70" s="25">
        <v>8592</v>
      </c>
      <c r="M70" s="25"/>
      <c r="N70" s="25">
        <v>8900</v>
      </c>
      <c r="O70" s="20">
        <v>39</v>
      </c>
      <c r="P70" s="1">
        <f>Tabla1[[#This Row],[Noche]]-Tabla1[[#This Row],[Mañana ]]</f>
        <v>308</v>
      </c>
      <c r="Q70" s="58">
        <v>0.01</v>
      </c>
      <c r="R70" s="21">
        <f t="shared" si="2"/>
        <v>0.01</v>
      </c>
      <c r="S70" s="22">
        <f>Tabla1[[#This Row],[Merma Salas A &amp; B2]]*1000/Tabla1[[#This Row],[Peso gr.]]</f>
        <v>1.1098779134295227</v>
      </c>
      <c r="T70" s="52"/>
      <c r="U70" s="24">
        <f>Tabla1[[#This Row],[Total piezas NOK]]/Tabla1[[#This Row],[Cant. Fabricada (uds)]]</f>
        <v>3.6034997189270217E-3</v>
      </c>
    </row>
    <row r="71" spans="1:22" x14ac:dyDescent="0.3">
      <c r="A71" s="43">
        <v>44502</v>
      </c>
      <c r="B71" s="20" t="s">
        <v>765</v>
      </c>
      <c r="C71" s="20">
        <v>1861</v>
      </c>
      <c r="D71" s="13" t="str">
        <f>VLOOKUP(C:C,'LListat referències'!A:B,2,FALSE)</f>
        <v>Tarro 50ml Standard 8 unitats</v>
      </c>
      <c r="E71" s="18" t="str">
        <f>VLOOKUP(C:C,'LListat referències'!A:D,4,FALSE)</f>
        <v>T022</v>
      </c>
      <c r="F71" s="49">
        <f>VLOOKUP(C:C,'LListat referències'!A:E,5,FALSE)</f>
        <v>92</v>
      </c>
      <c r="G71" s="49">
        <v>148</v>
      </c>
      <c r="H71" s="49">
        <v>8</v>
      </c>
      <c r="I71" s="75">
        <f>Tabla1[[#This Row],[Cant. Fabricada (uds)]]/Tabla1[[#This Row],[Cavidades]]*Tabla1[[#This Row],[Tiempo Ciclo]]/60/60</f>
        <v>17.914166666666667</v>
      </c>
      <c r="J71" s="1" t="s">
        <v>15</v>
      </c>
      <c r="K71" s="25"/>
      <c r="L71" s="25">
        <v>9183</v>
      </c>
      <c r="M71" s="25">
        <v>10828</v>
      </c>
      <c r="N71" s="25">
        <v>12669</v>
      </c>
      <c r="O71" s="20">
        <v>40</v>
      </c>
      <c r="P71" s="1">
        <f>Tabla1[[#This Row],[Noche]]-Tabla1[[#This Row],[Mañana ]]</f>
        <v>3486</v>
      </c>
      <c r="Q71" s="58">
        <v>85</v>
      </c>
      <c r="R71" s="21">
        <f t="shared" si="2"/>
        <v>85</v>
      </c>
      <c r="S71" s="22">
        <f>Tabla1[[#This Row],[Merma Salas A &amp; B2]]*1000/Tabla1[[#This Row],[Peso gr.]]</f>
        <v>923.91304347826087</v>
      </c>
      <c r="T71" s="52"/>
      <c r="U71" s="24">
        <f>Tabla1[[#This Row],[Total piezas NOK]]/Tabla1[[#This Row],[Cant. Fabricada (uds)]]</f>
        <v>0.26503529646536456</v>
      </c>
      <c r="V71" s="19" t="s">
        <v>786</v>
      </c>
    </row>
    <row r="72" spans="1:22" x14ac:dyDescent="0.3">
      <c r="A72" s="43">
        <v>44502</v>
      </c>
      <c r="B72" s="20" t="s">
        <v>767</v>
      </c>
      <c r="C72" s="20">
        <v>1790</v>
      </c>
      <c r="D72" s="13" t="str">
        <f>VLOOKUP(C:C,'LListat referències'!A:B,2,FALSE)</f>
        <v>Tarro 100ml</v>
      </c>
      <c r="E72" s="18" t="str">
        <f>VLOOKUP(C:C,'LListat referències'!A:D,4,FALSE)</f>
        <v>T029</v>
      </c>
      <c r="F72" s="49">
        <f>VLOOKUP(C:C,'LListat referències'!A:E,5,FALSE)</f>
        <v>151</v>
      </c>
      <c r="G72" s="49">
        <v>136.1</v>
      </c>
      <c r="H72" s="49">
        <v>2</v>
      </c>
      <c r="I72" s="75">
        <f>Tabla1[[#This Row],[Cant. Fabricada (uds)]]/Tabla1[[#This Row],[Cavidades]]*Tabla1[[#This Row],[Tiempo Ciclo]]/60/60</f>
        <v>7.8257499999999993</v>
      </c>
      <c r="J72" s="1" t="s">
        <v>7</v>
      </c>
      <c r="K72" s="25"/>
      <c r="L72" s="25">
        <v>3403</v>
      </c>
      <c r="M72" s="25">
        <v>3598</v>
      </c>
      <c r="N72" s="25">
        <v>3817</v>
      </c>
      <c r="O72" s="20">
        <v>51</v>
      </c>
      <c r="P72" s="1">
        <f>Tabla1[[#This Row],[Noche]]-Tabla1[[#This Row],[Mañana ]]</f>
        <v>414</v>
      </c>
      <c r="Q72" s="58">
        <v>0.2</v>
      </c>
      <c r="R72" s="21">
        <f t="shared" si="2"/>
        <v>0.2</v>
      </c>
      <c r="S72" s="22">
        <f>Tabla1[[#This Row],[Merma Salas A &amp; B2]]*1000/Tabla1[[#This Row],[Peso gr.]]</f>
        <v>1.3245033112582782</v>
      </c>
      <c r="T72" s="52"/>
      <c r="U72" s="24">
        <f>Tabla1[[#This Row],[Total piezas NOK]]/Tabla1[[#This Row],[Cant. Fabricada (uds)]]</f>
        <v>3.199283360527242E-3</v>
      </c>
    </row>
    <row r="73" spans="1:22" x14ac:dyDescent="0.3">
      <c r="A73" s="43">
        <v>44502</v>
      </c>
      <c r="B73" s="20" t="s">
        <v>759</v>
      </c>
      <c r="C73" s="20" t="s">
        <v>513</v>
      </c>
      <c r="D73" s="13" t="str">
        <f>VLOOKUP(C:C,'LListat referències'!A:B,2,FALSE)</f>
        <v>Tarro 150 ml</v>
      </c>
      <c r="E73" s="18" t="str">
        <f>VLOOKUP(C:C,'LListat referències'!A:D,4,FALSE)</f>
        <v>T057</v>
      </c>
      <c r="F73" s="49">
        <v>168</v>
      </c>
      <c r="G73" s="49">
        <v>109.1</v>
      </c>
      <c r="H73" s="49">
        <v>2</v>
      </c>
      <c r="I73" s="75">
        <f>Tabla1[[#This Row],[Cant. Fabricada (uds)]]/Tabla1[[#This Row],[Cavidades]]*Tabla1[[#This Row],[Tiempo Ciclo]]/60/60</f>
        <v>15.789194444444444</v>
      </c>
      <c r="J73" s="1" t="s">
        <v>15</v>
      </c>
      <c r="K73" s="25"/>
      <c r="L73" s="25">
        <v>20830</v>
      </c>
      <c r="M73" s="25">
        <v>21322</v>
      </c>
      <c r="N73" s="25">
        <v>21872</v>
      </c>
      <c r="O73" s="20">
        <v>43</v>
      </c>
      <c r="P73" s="1">
        <f>Tabla1[[#This Row],[Noche]]-Tabla1[[#This Row],[Mañana ]]</f>
        <v>1042</v>
      </c>
      <c r="Q73" s="58">
        <v>2.5</v>
      </c>
      <c r="R73" s="21">
        <f t="shared" si="2"/>
        <v>2.5</v>
      </c>
      <c r="S73" s="22">
        <f>Tabla1[[#This Row],[Merma Salas A &amp; B2]]*1000/Tabla1[[#This Row],[Peso gr.]]</f>
        <v>14.880952380952381</v>
      </c>
      <c r="T73" s="52"/>
      <c r="U73" s="24">
        <f>Tabla1[[#This Row],[Total piezas NOK]]/Tabla1[[#This Row],[Cant. Fabricada (uds)]]</f>
        <v>1.4281144319532035E-2</v>
      </c>
    </row>
    <row r="74" spans="1:22" x14ac:dyDescent="0.3">
      <c r="A74" s="43">
        <v>44502</v>
      </c>
      <c r="B74" s="20" t="s">
        <v>788</v>
      </c>
      <c r="C74" s="20" t="s">
        <v>644</v>
      </c>
      <c r="D74" s="13" t="str">
        <f>VLOOKUP(C:C,'LListat referències'!A:B,2,FALSE)</f>
        <v>Tarro 200ml Quadrat estret (Tapa Rodona)</v>
      </c>
      <c r="E74" s="18">
        <f>VLOOKUP(C:C,'LListat referències'!A:D,4,FALSE)</f>
        <v>0</v>
      </c>
      <c r="F74" s="49">
        <f>VLOOKUP(C:C,'LListat referències'!A:E,5,FALSE)</f>
        <v>220.84</v>
      </c>
      <c r="G74" s="49">
        <v>122.41</v>
      </c>
      <c r="H74" s="49">
        <v>1</v>
      </c>
      <c r="I74" s="75">
        <f>Tabla1[[#This Row],[Cant. Fabricada (uds)]]/Tabla1[[#This Row],[Cavidades]]*Tabla1[[#This Row],[Tiempo Ciclo]]/60/60</f>
        <v>15.335252777777777</v>
      </c>
      <c r="J74" s="1" t="s">
        <v>7</v>
      </c>
      <c r="K74" s="25"/>
      <c r="L74" s="25">
        <v>17739</v>
      </c>
      <c r="M74" s="25">
        <v>17953</v>
      </c>
      <c r="N74" s="25">
        <v>18190</v>
      </c>
      <c r="O74" s="20">
        <v>41</v>
      </c>
      <c r="P74" s="1">
        <f>Tabla1[[#This Row],[Noche]]-Tabla1[[#This Row],[Mañana ]]</f>
        <v>451</v>
      </c>
      <c r="Q74" s="58">
        <v>3</v>
      </c>
      <c r="R74" s="21">
        <f t="shared" si="2"/>
        <v>3</v>
      </c>
      <c r="S74" s="22">
        <f>Tabla1[[#This Row],[Merma Salas A &amp; B2]]*1000/Tabla1[[#This Row],[Peso gr.]]</f>
        <v>13.584495562398116</v>
      </c>
      <c r="T74" s="52"/>
      <c r="U74" s="24">
        <f>Tabla1[[#This Row],[Total piezas NOK]]/Tabla1[[#This Row],[Cant. Fabricada (uds)]]</f>
        <v>3.0120832732590058E-2</v>
      </c>
    </row>
    <row r="75" spans="1:22" x14ac:dyDescent="0.3">
      <c r="A75" s="43">
        <v>44502</v>
      </c>
      <c r="B75" s="20" t="s">
        <v>769</v>
      </c>
      <c r="C75" s="20" t="s">
        <v>12</v>
      </c>
      <c r="D75" s="13" t="str">
        <f>VLOOKUP(C:C,'LListat referències'!A:B,2,FALSE)</f>
        <v>Tapa 50 ml mar-mar prima</v>
      </c>
      <c r="E75" s="18" t="str">
        <f>VLOOKUP(C:C,'LListat referències'!A:D,4,FALSE)</f>
        <v>#24</v>
      </c>
      <c r="F75" s="49">
        <f>VLOOKUP(C:C,'LListat referències'!A:E,5,FALSE)</f>
        <v>20.86</v>
      </c>
      <c r="G75" s="49">
        <v>113.2</v>
      </c>
      <c r="H75" s="49">
        <v>4</v>
      </c>
      <c r="I75" s="75">
        <f>Tabla1[[#This Row],[Cant. Fabricada (uds)]]/Tabla1[[#This Row],[Cavidades]]*Tabla1[[#This Row],[Tiempo Ciclo]]/60/60</f>
        <v>34.525999999999996</v>
      </c>
      <c r="J75" s="1" t="s">
        <v>15</v>
      </c>
      <c r="K75" s="25"/>
      <c r="L75" s="25">
        <v>7296</v>
      </c>
      <c r="M75" s="25">
        <v>9364</v>
      </c>
      <c r="N75" s="25">
        <v>11688</v>
      </c>
      <c r="O75" s="20">
        <v>45</v>
      </c>
      <c r="P75" s="1">
        <f>Tabla1[[#This Row],[Noche]]-Tabla1[[#This Row],[Mañana ]]</f>
        <v>4392</v>
      </c>
      <c r="Q75" s="58">
        <v>4.5</v>
      </c>
      <c r="R75" s="21">
        <f t="shared" si="2"/>
        <v>4.5</v>
      </c>
      <c r="S75" s="22">
        <f>Tabla1[[#This Row],[Merma Salas A &amp; B2]]*1000/Tabla1[[#This Row],[Peso gr.]]</f>
        <v>215.72387344199424</v>
      </c>
      <c r="T75" s="52"/>
      <c r="U75" s="24">
        <f>Tabla1[[#This Row],[Total piezas NOK]]/Tabla1[[#This Row],[Cant. Fabricada (uds)]]</f>
        <v>4.9117457523222732E-2</v>
      </c>
    </row>
    <row r="76" spans="1:22" x14ac:dyDescent="0.3">
      <c r="A76" s="43">
        <v>44502</v>
      </c>
      <c r="B76" s="20" t="s">
        <v>772</v>
      </c>
      <c r="C76" s="20">
        <v>1897</v>
      </c>
      <c r="D76" s="13" t="str">
        <f>VLOOKUP(C:C,'LListat referències'!A:B,2,FALSE)</f>
        <v>Tapa 50 cc mar mar (6 unit)</v>
      </c>
      <c r="E76" s="18" t="str">
        <f>VLOOKUP(C:C,'LListat referències'!A:D,4,FALSE)</f>
        <v>#6(50 ml)</v>
      </c>
      <c r="F76" s="49">
        <f>VLOOKUP(C:C,'LListat referències'!A:E,5,FALSE)</f>
        <v>32</v>
      </c>
      <c r="G76" s="49">
        <v>81.709999999999994</v>
      </c>
      <c r="H76" s="49">
        <v>6</v>
      </c>
      <c r="I76" s="75">
        <f>Tabla1[[#This Row],[Cant. Fabricada (uds)]]/Tabla1[[#This Row],[Cavidades]]*Tabla1[[#This Row],[Tiempo Ciclo]]/60/60</f>
        <v>14.889377777777776</v>
      </c>
      <c r="J76" s="1" t="s">
        <v>8</v>
      </c>
      <c r="K76" s="25"/>
      <c r="L76" s="25">
        <v>12252</v>
      </c>
      <c r="M76" s="25">
        <v>14124</v>
      </c>
      <c r="N76" s="25">
        <v>16188</v>
      </c>
      <c r="O76" s="20">
        <v>52</v>
      </c>
      <c r="P76" s="1">
        <f>Tabla1[[#This Row],[Noche]]-Tabla1[[#This Row],[Mañana ]]</f>
        <v>3936</v>
      </c>
      <c r="Q76" s="58">
        <v>5</v>
      </c>
      <c r="R76" s="21">
        <f t="shared" si="2"/>
        <v>5</v>
      </c>
      <c r="S76" s="22">
        <f>Tabla1[[#This Row],[Merma Salas A &amp; B2]]*1000/Tabla1[[#This Row],[Peso gr.]]</f>
        <v>156.25</v>
      </c>
      <c r="T76" s="52"/>
      <c r="U76" s="24">
        <f>Tabla1[[#This Row],[Total piezas NOK]]/Tabla1[[#This Row],[Cant. Fabricada (uds)]]</f>
        <v>3.9697662601626015E-2</v>
      </c>
    </row>
    <row r="77" spans="1:22" x14ac:dyDescent="0.3">
      <c r="A77" s="43">
        <v>44502</v>
      </c>
      <c r="B77" s="20" t="s">
        <v>771</v>
      </c>
      <c r="C77" s="20" t="s">
        <v>615</v>
      </c>
      <c r="D77" s="13" t="str">
        <f>VLOOKUP(C:C,'LListat referències'!A:B,2,FALSE)</f>
        <v>Tarro 50ml Tinter Quadrat</v>
      </c>
      <c r="E77" s="18" t="str">
        <f>VLOOKUP(C:C,'LListat referències'!A:D,4,FALSE)</f>
        <v>T116</v>
      </c>
      <c r="F77" s="49">
        <f>VLOOKUP(C:C,'LListat referències'!A:E,5,FALSE)</f>
        <v>121.5</v>
      </c>
      <c r="G77" s="49">
        <v>126.1</v>
      </c>
      <c r="H77" s="49">
        <v>2</v>
      </c>
      <c r="I77" s="75">
        <f>Tabla1[[#This Row],[Cant. Fabricada (uds)]]/Tabla1[[#This Row],[Cavidades]]*Tabla1[[#This Row],[Tiempo Ciclo]]/60/60</f>
        <v>21.366944444444446</v>
      </c>
      <c r="J77" s="1" t="s">
        <v>8</v>
      </c>
      <c r="K77" s="25"/>
      <c r="L77" s="25">
        <v>3118</v>
      </c>
      <c r="M77" s="25">
        <v>3896</v>
      </c>
      <c r="N77" s="25">
        <v>4338</v>
      </c>
      <c r="O77" s="20">
        <v>30</v>
      </c>
      <c r="P77" s="1">
        <f>Tabla1[[#This Row],[Noche]]-Tabla1[[#This Row],[Mañana ]]</f>
        <v>1220</v>
      </c>
      <c r="Q77" s="58">
        <v>5</v>
      </c>
      <c r="R77" s="21">
        <f t="shared" si="2"/>
        <v>5</v>
      </c>
      <c r="S77" s="22">
        <f>Tabla1[[#This Row],[Merma Salas A &amp; B2]]*1000/Tabla1[[#This Row],[Peso gr.]]</f>
        <v>41.152263374485599</v>
      </c>
      <c r="T77" s="52"/>
      <c r="U77" s="24">
        <f>Tabla1[[#This Row],[Total piezas NOK]]/Tabla1[[#This Row],[Cant. Fabricada (uds)]]</f>
        <v>3.3731363421709508E-2</v>
      </c>
    </row>
    <row r="78" spans="1:22" x14ac:dyDescent="0.3">
      <c r="A78" s="43">
        <v>44502</v>
      </c>
      <c r="B78" s="20" t="s">
        <v>796</v>
      </c>
      <c r="C78" s="20" t="s">
        <v>684</v>
      </c>
      <c r="D78" s="13" t="str">
        <f>VLOOKUP(C:C,'LListat referències'!A:B,2,FALSE)</f>
        <v>Obturador 50 ml</v>
      </c>
      <c r="E78" s="18" t="str">
        <f>VLOOKUP(C:C,'LListat referències'!A:D,4,FALSE)</f>
        <v/>
      </c>
      <c r="F78" s="49">
        <f>VLOOKUP(C:C,'LListat referències'!A:E,5,FALSE)</f>
        <v>1.88</v>
      </c>
      <c r="G78" s="49">
        <v>16.29</v>
      </c>
      <c r="H78" s="49">
        <v>2</v>
      </c>
      <c r="I78" s="75">
        <f>Tabla1[[#This Row],[Cant. Fabricada (uds)]]/Tabla1[[#This Row],[Cavidades]]*Tabla1[[#This Row],[Tiempo Ciclo]]/60/60</f>
        <v>2.5249499999999996</v>
      </c>
      <c r="J78" s="1" t="s">
        <v>797</v>
      </c>
      <c r="K78" s="25"/>
      <c r="L78" s="25">
        <v>42834</v>
      </c>
      <c r="M78" s="25">
        <v>0</v>
      </c>
      <c r="N78" s="25">
        <v>43950</v>
      </c>
      <c r="O78" s="20">
        <v>46</v>
      </c>
      <c r="P78" s="1">
        <f>Tabla1[[#This Row],[Noche]]-Tabla1[[#This Row],[Mañana ]]</f>
        <v>1116</v>
      </c>
      <c r="Q78" s="58">
        <v>0</v>
      </c>
      <c r="R78" s="21">
        <f t="shared" si="2"/>
        <v>0</v>
      </c>
      <c r="S78" s="22">
        <f>Tabla1[[#This Row],[Merma Salas A &amp; B2]]*1000/Tabla1[[#This Row],[Peso gr.]]</f>
        <v>0</v>
      </c>
      <c r="T78" s="52"/>
      <c r="U78" s="24">
        <f>Tabla1[[#This Row],[Total piezas NOK]]/Tabla1[[#This Row],[Cant. Fabricada (uds)]]</f>
        <v>0</v>
      </c>
      <c r="V78" s="19" t="s">
        <v>798</v>
      </c>
    </row>
    <row r="79" spans="1:22" x14ac:dyDescent="0.3">
      <c r="A79" s="43">
        <v>44502</v>
      </c>
      <c r="B79" s="20" t="s">
        <v>799</v>
      </c>
      <c r="C79" s="20" t="s">
        <v>684</v>
      </c>
      <c r="D79" s="13" t="str">
        <f>VLOOKUP(C:C,'LListat referències'!A:B,2,FALSE)</f>
        <v>Obturador 50 ml</v>
      </c>
      <c r="E79" s="18" t="str">
        <f>VLOOKUP(C:C,'LListat referències'!A:D,4,FALSE)</f>
        <v/>
      </c>
      <c r="F79" s="49">
        <f>VLOOKUP(C:C,'LListat referències'!A:E,5,FALSE)</f>
        <v>1.88</v>
      </c>
      <c r="G79" s="49">
        <v>16.29</v>
      </c>
      <c r="H79" s="49">
        <v>2</v>
      </c>
      <c r="I79" s="75">
        <f>Tabla1[[#This Row],[Cant. Fabricada (uds)]]/Tabla1[[#This Row],[Cavidades]]*Tabla1[[#This Row],[Tiempo Ciclo]]/60/60</f>
        <v>10.679</v>
      </c>
      <c r="J79" s="1" t="s">
        <v>797</v>
      </c>
      <c r="K79" s="25"/>
      <c r="L79" s="25"/>
      <c r="M79" s="25">
        <v>1396</v>
      </c>
      <c r="N79" s="25">
        <v>4720</v>
      </c>
      <c r="O79" s="20">
        <v>46</v>
      </c>
      <c r="P79" s="1">
        <f>Tabla1[[#This Row],[Noche]]-Tabla1[[#This Row],[Mañana ]]</f>
        <v>4720</v>
      </c>
      <c r="Q79" s="58">
        <v>0</v>
      </c>
      <c r="R79" s="21">
        <f t="shared" si="2"/>
        <v>0</v>
      </c>
      <c r="S79" s="22">
        <f>Tabla1[[#This Row],[Merma Salas A &amp; B2]]*1000/Tabla1[[#This Row],[Peso gr.]]</f>
        <v>0</v>
      </c>
      <c r="T79" s="52"/>
      <c r="U79" s="24">
        <f>Tabla1[[#This Row],[Total piezas NOK]]/Tabla1[[#This Row],[Cant. Fabricada (uds)]]</f>
        <v>0</v>
      </c>
      <c r="V79" s="19" t="s">
        <v>800</v>
      </c>
    </row>
    <row r="80" spans="1:22" x14ac:dyDescent="0.3">
      <c r="A80" s="43">
        <v>44502</v>
      </c>
      <c r="B80" s="20" t="s">
        <v>802</v>
      </c>
      <c r="C80" s="20">
        <v>1607</v>
      </c>
      <c r="D80" s="13" t="str">
        <f>VLOOKUP(C:C,'LListat referències'!A:B,2,FALSE)</f>
        <v>Cubilet 50 recte</v>
      </c>
      <c r="E80" s="18" t="str">
        <f>VLOOKUP(C:C,'LListat referències'!A:D,4,FALSE)</f>
        <v/>
      </c>
      <c r="F80" s="49">
        <f>VLOOKUP(C:C,'LListat referències'!A:E,5,FALSE)</f>
        <v>8.5399999999999991</v>
      </c>
      <c r="G80" s="49">
        <v>29.39</v>
      </c>
      <c r="H80" s="49">
        <v>2</v>
      </c>
      <c r="I80" s="75">
        <f>Tabla1[[#This Row],[Cant. Fabricada (uds)]]/Tabla1[[#This Row],[Cavidades]]*Tabla1[[#This Row],[Tiempo Ciclo]]/60/60</f>
        <v>15.176669444444446</v>
      </c>
      <c r="J80" s="1" t="s">
        <v>797</v>
      </c>
      <c r="K80" s="25"/>
      <c r="L80" s="25">
        <v>20890</v>
      </c>
      <c r="M80" s="25">
        <v>22620</v>
      </c>
      <c r="N80" s="25">
        <v>24608</v>
      </c>
      <c r="O80" s="20">
        <v>17</v>
      </c>
      <c r="P80" s="1">
        <f>Tabla1[[#This Row],[Noche]]-Tabla1[[#This Row],[Mañana ]]</f>
        <v>3718</v>
      </c>
      <c r="Q80" s="58">
        <v>0.1</v>
      </c>
      <c r="R80" s="21">
        <f t="shared" si="2"/>
        <v>0.1</v>
      </c>
      <c r="S80" s="22">
        <f>Tabla1[[#This Row],[Merma Salas A &amp; B2]]*1000/Tabla1[[#This Row],[Peso gr.]]</f>
        <v>11.7096018735363</v>
      </c>
      <c r="T80" s="52"/>
      <c r="U80" s="24">
        <f>Tabla1[[#This Row],[Total piezas NOK]]/Tabla1[[#This Row],[Cant. Fabricada (uds)]]</f>
        <v>3.1494356841141207E-3</v>
      </c>
    </row>
    <row r="81" spans="1:22" x14ac:dyDescent="0.3">
      <c r="A81" s="43">
        <v>44502</v>
      </c>
      <c r="B81" s="20" t="s">
        <v>808</v>
      </c>
      <c r="C81" s="20">
        <v>1825</v>
      </c>
      <c r="D81" s="13" t="str">
        <f>VLOOKUP(C:C,'LListat referències'!A:B,2,FALSE)</f>
        <v>OBTURADOR 200 A/ LLENG.</v>
      </c>
      <c r="E81" s="18" t="str">
        <f>VLOOKUP(C:C,'LListat referències'!A:D,4,FALSE)</f>
        <v/>
      </c>
      <c r="F81" s="49">
        <f>VLOOKUP(C:C,'LListat referències'!A:E,5,FALSE)</f>
        <v>2.73</v>
      </c>
      <c r="G81" s="49">
        <v>18.5</v>
      </c>
      <c r="H81" s="49">
        <v>2</v>
      </c>
      <c r="I81" s="75">
        <f>Tabla1[[#This Row],[Cant. Fabricada (uds)]]/Tabla1[[#This Row],[Cavidades]]*Tabla1[[#This Row],[Tiempo Ciclo]]/60/60</f>
        <v>15.437222222222223</v>
      </c>
      <c r="J81" s="1" t="s">
        <v>797</v>
      </c>
      <c r="K81" s="25"/>
      <c r="L81" s="25">
        <v>16330</v>
      </c>
      <c r="M81" s="25">
        <v>19274</v>
      </c>
      <c r="N81" s="25">
        <v>22338</v>
      </c>
      <c r="O81" s="20">
        <v>48</v>
      </c>
      <c r="P81" s="1">
        <f>Tabla1[[#This Row],[Noche]]-Tabla1[[#This Row],[Mañana ]]</f>
        <v>6008</v>
      </c>
      <c r="Q81" s="58">
        <v>0.01</v>
      </c>
      <c r="R81" s="21">
        <f t="shared" si="2"/>
        <v>0.01</v>
      </c>
      <c r="S81" s="22">
        <f>Tabla1[[#This Row],[Merma Salas A &amp; B2]]*1000/Tabla1[[#This Row],[Peso gr.]]</f>
        <v>3.6630036630036629</v>
      </c>
      <c r="T81" s="52"/>
      <c r="U81" s="24">
        <f>Tabla1[[#This Row],[Total piezas NOK]]/Tabla1[[#This Row],[Cant. Fabricada (uds)]]</f>
        <v>6.0968769357584273E-4</v>
      </c>
    </row>
    <row r="82" spans="1:22" ht="28.8" x14ac:dyDescent="0.3">
      <c r="A82" s="43">
        <v>44503</v>
      </c>
      <c r="B82" s="20" t="s">
        <v>765</v>
      </c>
      <c r="C82" s="20">
        <v>1861</v>
      </c>
      <c r="D82" s="13" t="str">
        <f>VLOOKUP(C:C,'LListat referències'!A:B,2,FALSE)</f>
        <v>Tarro 50ml Standard 8 unitats</v>
      </c>
      <c r="E82" s="18" t="str">
        <f>VLOOKUP(C:C,'LListat referències'!A:D,4,FALSE)</f>
        <v>T022</v>
      </c>
      <c r="F82" s="49">
        <f>VLOOKUP(C:C,'LListat referències'!A:E,5,FALSE)</f>
        <v>92</v>
      </c>
      <c r="G82" s="49">
        <v>148</v>
      </c>
      <c r="H82" s="49">
        <v>8</v>
      </c>
      <c r="I82" s="75">
        <f>Tabla1[[#This Row],[Cant. Fabricada (uds)]]/Tabla1[[#This Row],[Cavidades]]*Tabla1[[#This Row],[Tiempo Ciclo]]/60/60</f>
        <v>18.273888888888891</v>
      </c>
      <c r="J82" s="20" t="s">
        <v>15</v>
      </c>
      <c r="K82" s="25"/>
      <c r="L82" s="25">
        <v>14552</v>
      </c>
      <c r="M82" s="25">
        <v>16302</v>
      </c>
      <c r="N82" s="25">
        <v>18108</v>
      </c>
      <c r="O82" s="20">
        <v>40</v>
      </c>
      <c r="P82" s="20">
        <f>Tabla1[[#This Row],[Noche]]-Tabla1[[#This Row],[Mañana ]]</f>
        <v>3556</v>
      </c>
      <c r="Q82" s="59">
        <v>95</v>
      </c>
      <c r="R82" s="21">
        <f t="shared" si="2"/>
        <v>95</v>
      </c>
      <c r="S82" s="22">
        <f>Tabla1[[#This Row],[Merma Salas A &amp; B2]]*1000/Tabla1[[#This Row],[Peso gr.]]</f>
        <v>1032.608695652174</v>
      </c>
      <c r="T82" s="52"/>
      <c r="U82" s="24">
        <f>Tabla1[[#This Row],[Total piezas NOK]]/Tabla1[[#This Row],[Cant. Fabricada (uds)]]</f>
        <v>0.29038489753998142</v>
      </c>
      <c r="V82" s="19" t="s">
        <v>819</v>
      </c>
    </row>
    <row r="83" spans="1:22" x14ac:dyDescent="0.3">
      <c r="A83" s="43">
        <v>44503</v>
      </c>
      <c r="B83" s="20" t="s">
        <v>767</v>
      </c>
      <c r="C83" s="20">
        <v>1790</v>
      </c>
      <c r="D83" s="13" t="str">
        <f>VLOOKUP(C:C,'LListat referències'!A:B,2,FALSE)</f>
        <v>Tarro 100ml</v>
      </c>
      <c r="E83" s="18" t="str">
        <f>VLOOKUP(C:C,'LListat referències'!A:D,4,FALSE)</f>
        <v>T029</v>
      </c>
      <c r="F83" s="49">
        <f>VLOOKUP(C:C,'LListat referències'!A:E,5,FALSE)</f>
        <v>151</v>
      </c>
      <c r="G83" s="49">
        <v>136.1</v>
      </c>
      <c r="H83" s="49">
        <v>2</v>
      </c>
      <c r="I83" s="75">
        <f>Tabla1[[#This Row],[Cant. Fabricada (uds)]]/Tabla1[[#This Row],[Cavidades]]*Tabla1[[#This Row],[Tiempo Ciclo]]/60/60</f>
        <v>7.995874999999999</v>
      </c>
      <c r="J83" s="1" t="s">
        <v>7</v>
      </c>
      <c r="K83" s="25"/>
      <c r="L83" s="25">
        <v>4033</v>
      </c>
      <c r="M83" s="25">
        <v>4231</v>
      </c>
      <c r="N83" s="25">
        <v>4456</v>
      </c>
      <c r="O83" s="20">
        <v>51</v>
      </c>
      <c r="P83" s="1">
        <f>Tabla1[[#This Row],[Noche]]-Tabla1[[#This Row],[Mañana ]]</f>
        <v>423</v>
      </c>
      <c r="Q83" s="58">
        <v>0.2</v>
      </c>
      <c r="R83" s="21">
        <f t="shared" si="2"/>
        <v>0.2</v>
      </c>
      <c r="S83" s="22">
        <f>Tabla1[[#This Row],[Merma Salas A &amp; B2]]*1000/Tabla1[[#This Row],[Peso gr.]]</f>
        <v>1.3245033112582782</v>
      </c>
      <c r="T83" s="52"/>
      <c r="U83" s="24">
        <f>Tabla1[[#This Row],[Total piezas NOK]]/Tabla1[[#This Row],[Cant. Fabricada (uds)]]</f>
        <v>3.1312135017926199E-3</v>
      </c>
    </row>
    <row r="84" spans="1:22" x14ac:dyDescent="0.3">
      <c r="A84" s="43">
        <v>44503</v>
      </c>
      <c r="B84" s="20" t="s">
        <v>759</v>
      </c>
      <c r="C84" s="20" t="s">
        <v>513</v>
      </c>
      <c r="D84" s="13" t="str">
        <f>VLOOKUP(C:C,'LListat referències'!A:B,2,FALSE)</f>
        <v>Tarro 150 ml</v>
      </c>
      <c r="E84" s="18" t="str">
        <f>VLOOKUP(C:C,'LListat referències'!A:D,4,FALSE)</f>
        <v>T057</v>
      </c>
      <c r="F84" s="49">
        <v>168</v>
      </c>
      <c r="G84" s="49">
        <v>109.1</v>
      </c>
      <c r="H84" s="49">
        <v>2</v>
      </c>
      <c r="I84" s="75">
        <f>Tabla1[[#This Row],[Cant. Fabricada (uds)]]/Tabla1[[#This Row],[Cavidades]]*Tabla1[[#This Row],[Tiempo Ciclo]]/60/60</f>
        <v>16.213472222222222</v>
      </c>
      <c r="J84" s="1" t="s">
        <v>15</v>
      </c>
      <c r="K84" s="25"/>
      <c r="L84" s="25">
        <v>22436</v>
      </c>
      <c r="M84" s="25">
        <v>22950</v>
      </c>
      <c r="N84" s="25">
        <v>23506</v>
      </c>
      <c r="O84" s="20">
        <v>43</v>
      </c>
      <c r="P84" s="1">
        <f>Tabla1[[#This Row],[Noche]]-Tabla1[[#This Row],[Mañana ]]</f>
        <v>1070</v>
      </c>
      <c r="Q84" s="58">
        <v>15</v>
      </c>
      <c r="R84" s="21">
        <f t="shared" si="2"/>
        <v>15</v>
      </c>
      <c r="S84" s="22">
        <f>Tabla1[[#This Row],[Merma Salas A &amp; B2]]*1000/Tabla1[[#This Row],[Peso gr.]]</f>
        <v>89.285714285714292</v>
      </c>
      <c r="T84" s="52"/>
      <c r="U84" s="24">
        <f>Tabla1[[#This Row],[Total piezas NOK]]/Tabla1[[#This Row],[Cant. Fabricada (uds)]]</f>
        <v>8.3444592790387184E-2</v>
      </c>
      <c r="V84" s="19" t="s">
        <v>791</v>
      </c>
    </row>
    <row r="85" spans="1:22" x14ac:dyDescent="0.3">
      <c r="A85" s="43">
        <v>44503</v>
      </c>
      <c r="B85" s="20" t="s">
        <v>772</v>
      </c>
      <c r="C85" s="20">
        <v>1897</v>
      </c>
      <c r="D85" s="13" t="str">
        <f>VLOOKUP(C:C,'LListat referències'!A:B,2,FALSE)</f>
        <v>Tapa 50 cc mar mar (6 unit)</v>
      </c>
      <c r="E85" s="18" t="str">
        <f>VLOOKUP(C:C,'LListat referències'!A:D,4,FALSE)</f>
        <v>#6(50 ml)</v>
      </c>
      <c r="F85" s="49">
        <f>VLOOKUP(C:C,'LListat referències'!A:E,5,FALSE)</f>
        <v>32</v>
      </c>
      <c r="G85" s="49">
        <v>81.709999999999994</v>
      </c>
      <c r="H85" s="49">
        <v>6</v>
      </c>
      <c r="I85" s="75">
        <f>Tabla1[[#This Row],[Cant. Fabricada (uds)]]/Tabla1[[#This Row],[Cavidades]]*Tabla1[[#This Row],[Tiempo Ciclo]]/60/60</f>
        <v>15.683780555555554</v>
      </c>
      <c r="J85" s="1" t="s">
        <v>8</v>
      </c>
      <c r="K85" s="25"/>
      <c r="L85" s="25">
        <v>18282</v>
      </c>
      <c r="M85" s="25">
        <v>20286</v>
      </c>
      <c r="N85" s="25">
        <v>22428</v>
      </c>
      <c r="O85" s="20">
        <v>52</v>
      </c>
      <c r="P85" s="1">
        <f>Tabla1[[#This Row],[Noche]]-Tabla1[[#This Row],[Mañana ]]</f>
        <v>4146</v>
      </c>
      <c r="Q85" s="58">
        <v>25</v>
      </c>
      <c r="R85" s="21">
        <f t="shared" si="2"/>
        <v>25</v>
      </c>
      <c r="S85" s="22">
        <f>Tabla1[[#This Row],[Merma Salas A &amp; B2]]*1000/Tabla1[[#This Row],[Peso gr.]]</f>
        <v>781.25</v>
      </c>
      <c r="T85" s="52"/>
      <c r="U85" s="24">
        <f>Tabla1[[#This Row],[Total piezas NOK]]/Tabla1[[#This Row],[Cant. Fabricada (uds)]]</f>
        <v>0.18843463579353595</v>
      </c>
      <c r="V85" s="19" t="s">
        <v>793</v>
      </c>
    </row>
    <row r="86" spans="1:22" x14ac:dyDescent="0.3">
      <c r="A86" s="43">
        <v>44503</v>
      </c>
      <c r="B86" s="20" t="s">
        <v>771</v>
      </c>
      <c r="C86" s="20" t="s">
        <v>615</v>
      </c>
      <c r="D86" s="13" t="str">
        <f>VLOOKUP(C:C,'LListat referències'!A:B,2,FALSE)</f>
        <v>Tarro 50ml Tinter Quadrat</v>
      </c>
      <c r="E86" s="18" t="str">
        <f>VLOOKUP(C:C,'LListat referències'!A:D,4,FALSE)</f>
        <v>T116</v>
      </c>
      <c r="F86" s="49">
        <f>VLOOKUP(C:C,'LListat referències'!A:E,5,FALSE)</f>
        <v>121.5</v>
      </c>
      <c r="G86" s="49">
        <v>126.1</v>
      </c>
      <c r="H86" s="49">
        <v>2</v>
      </c>
      <c r="I86" s="75">
        <f>Tabla1[[#This Row],[Cant. Fabricada (uds)]]/Tabla1[[#This Row],[Cavidades]]*Tabla1[[#This Row],[Tiempo Ciclo]]/60/60</f>
        <v>23.678777777777775</v>
      </c>
      <c r="J86" s="1" t="s">
        <v>8</v>
      </c>
      <c r="K86" s="25"/>
      <c r="L86" s="25">
        <v>4338</v>
      </c>
      <c r="M86" s="25">
        <v>5224</v>
      </c>
      <c r="N86" s="25">
        <v>5690</v>
      </c>
      <c r="O86" s="20">
        <v>30</v>
      </c>
      <c r="P86" s="1">
        <f>Tabla1[[#This Row],[Noche]]-Tabla1[[#This Row],[Mañana ]]</f>
        <v>1352</v>
      </c>
      <c r="Q86" s="58">
        <v>5</v>
      </c>
      <c r="R86" s="21">
        <f t="shared" si="2"/>
        <v>5</v>
      </c>
      <c r="S86" s="22">
        <f>Tabla1[[#This Row],[Merma Salas A &amp; B2]]*1000/Tabla1[[#This Row],[Peso gr.]]</f>
        <v>41.152263374485599</v>
      </c>
      <c r="T86" s="52"/>
      <c r="U86" s="24">
        <f>Tabla1[[#This Row],[Total piezas NOK]]/Tabla1[[#This Row],[Cant. Fabricada (uds)]]</f>
        <v>3.0438064626098816E-2</v>
      </c>
    </row>
    <row r="87" spans="1:22" x14ac:dyDescent="0.3">
      <c r="A87" s="43">
        <v>44503</v>
      </c>
      <c r="B87" s="20" t="s">
        <v>769</v>
      </c>
      <c r="C87" s="20" t="s">
        <v>12</v>
      </c>
      <c r="D87" s="13" t="str">
        <f>VLOOKUP(C:C,'LListat referències'!A:B,2,FALSE)</f>
        <v>Tapa 50 ml mar-mar prima</v>
      </c>
      <c r="E87" s="18" t="str">
        <f>VLOOKUP(C:C,'LListat referències'!A:D,4,FALSE)</f>
        <v>#24</v>
      </c>
      <c r="F87" s="49">
        <f>VLOOKUP(C:C,'LListat referències'!A:E,5,FALSE)</f>
        <v>20.86</v>
      </c>
      <c r="G87" s="49">
        <v>113.2</v>
      </c>
      <c r="H87" s="49">
        <v>4</v>
      </c>
      <c r="I87" s="75">
        <f>Tabla1[[#This Row],[Cant. Fabricada (uds)]]/Tabla1[[#This Row],[Cavidades]]*Tabla1[[#This Row],[Tiempo Ciclo]]/60/60</f>
        <v>33.299666666666667</v>
      </c>
      <c r="J87" s="1" t="s">
        <v>15</v>
      </c>
      <c r="K87" s="25"/>
      <c r="L87" s="25">
        <v>14048</v>
      </c>
      <c r="M87" s="25">
        <v>16248</v>
      </c>
      <c r="N87" s="25">
        <v>18284</v>
      </c>
      <c r="O87" s="20">
        <v>45</v>
      </c>
      <c r="P87" s="1">
        <f>Tabla1[[#This Row],[Noche]]-Tabla1[[#This Row],[Mañana ]]</f>
        <v>4236</v>
      </c>
      <c r="Q87" s="58">
        <v>4</v>
      </c>
      <c r="R87" s="21">
        <f t="shared" si="2"/>
        <v>4</v>
      </c>
      <c r="S87" s="22">
        <f>Tabla1[[#This Row],[Merma Salas A &amp; B2]]*1000/Tabla1[[#This Row],[Peso gr.]]</f>
        <v>191.75455417066155</v>
      </c>
      <c r="T87" s="52"/>
      <c r="U87" s="24">
        <f>Tabla1[[#This Row],[Total piezas NOK]]/Tabla1[[#This Row],[Cant. Fabricada (uds)]]</f>
        <v>4.5267836206482899E-2</v>
      </c>
    </row>
    <row r="88" spans="1:22" x14ac:dyDescent="0.3">
      <c r="A88" s="43">
        <v>44503</v>
      </c>
      <c r="B88" s="20" t="s">
        <v>799</v>
      </c>
      <c r="C88" s="20" t="s">
        <v>684</v>
      </c>
      <c r="D88" s="13" t="str">
        <f>VLOOKUP(C:C,'LListat referències'!A:B,2,FALSE)</f>
        <v>Obturador 50 ml</v>
      </c>
      <c r="E88" s="18" t="str">
        <f>VLOOKUP(C:C,'LListat referències'!A:D,4,FALSE)</f>
        <v/>
      </c>
      <c r="F88" s="49">
        <f>VLOOKUP(C:C,'LListat referències'!A:E,5,FALSE)</f>
        <v>1.88</v>
      </c>
      <c r="G88" s="49">
        <v>16.29</v>
      </c>
      <c r="H88" s="49">
        <v>2</v>
      </c>
      <c r="I88" s="75">
        <f>Tabla1[[#This Row],[Cant. Fabricada (uds)]]/Tabla1[[#This Row],[Cavidades]]*Tabla1[[#This Row],[Tiempo Ciclo]]/60/60</f>
        <v>15.6746</v>
      </c>
      <c r="J88" s="1" t="s">
        <v>797</v>
      </c>
      <c r="K88" s="25"/>
      <c r="L88" s="25">
        <v>8050</v>
      </c>
      <c r="M88" s="25">
        <v>11452</v>
      </c>
      <c r="N88" s="25">
        <v>14978</v>
      </c>
      <c r="O88" s="20">
        <v>46</v>
      </c>
      <c r="P88" s="1">
        <f>Tabla1[[#This Row],[Noche]]-Tabla1[[#This Row],[Mañana ]]</f>
        <v>6928</v>
      </c>
      <c r="Q88" s="58">
        <v>0</v>
      </c>
      <c r="R88" s="21">
        <f t="shared" si="2"/>
        <v>0</v>
      </c>
      <c r="S88" s="22">
        <f>Tabla1[[#This Row],[Merma Salas A &amp; B2]]*1000/Tabla1[[#This Row],[Peso gr.]]</f>
        <v>0</v>
      </c>
      <c r="T88" s="52"/>
      <c r="U88" s="24">
        <f>Tabla1[[#This Row],[Total piezas NOK]]/Tabla1[[#This Row],[Cant. Fabricada (uds)]]</f>
        <v>0</v>
      </c>
    </row>
    <row r="89" spans="1:22" x14ac:dyDescent="0.3">
      <c r="A89" s="43">
        <v>44503</v>
      </c>
      <c r="B89" s="20" t="s">
        <v>802</v>
      </c>
      <c r="C89" s="20">
        <v>1607</v>
      </c>
      <c r="D89" s="13" t="str">
        <f>VLOOKUP(C:C,'LListat referències'!A:B,2,FALSE)</f>
        <v>Cubilet 50 recte</v>
      </c>
      <c r="E89" s="18" t="str">
        <f>VLOOKUP(C:C,'LListat referències'!A:D,4,FALSE)</f>
        <v/>
      </c>
      <c r="F89" s="49">
        <f>VLOOKUP(C:C,'LListat referències'!A:E,5,FALSE)</f>
        <v>8.5399999999999991</v>
      </c>
      <c r="G89" s="49">
        <v>29.39</v>
      </c>
      <c r="H89" s="49">
        <v>2</v>
      </c>
      <c r="I89" s="75">
        <f>Tabla1[[#This Row],[Cant. Fabricada (uds)]]/Tabla1[[#This Row],[Cavidades]]*Tabla1[[#This Row],[Tiempo Ciclo]]/60/60</f>
        <v>6.0331138888888889</v>
      </c>
      <c r="J89" s="1" t="s">
        <v>797</v>
      </c>
      <c r="K89" s="25"/>
      <c r="L89" s="25">
        <v>24608</v>
      </c>
      <c r="M89" s="25"/>
      <c r="N89" s="25">
        <v>26086</v>
      </c>
      <c r="O89" s="20">
        <v>17</v>
      </c>
      <c r="P89" s="1">
        <f>Tabla1[[#This Row],[Noche]]-Tabla1[[#This Row],[Mañana ]]</f>
        <v>1478</v>
      </c>
      <c r="Q89" s="58">
        <v>0.01</v>
      </c>
      <c r="R89" s="21">
        <f t="shared" si="2"/>
        <v>0.01</v>
      </c>
      <c r="S89" s="22">
        <f>Tabla1[[#This Row],[Merma Salas A &amp; B2]]*1000/Tabla1[[#This Row],[Peso gr.]]</f>
        <v>1.1709601873536302</v>
      </c>
      <c r="T89" s="52"/>
      <c r="U89" s="24">
        <f>Tabla1[[#This Row],[Total piezas NOK]]/Tabla1[[#This Row],[Cant. Fabricada (uds)]]</f>
        <v>7.922599373163939E-4</v>
      </c>
    </row>
    <row r="90" spans="1:22" x14ac:dyDescent="0.3">
      <c r="A90" s="43">
        <v>44503</v>
      </c>
      <c r="B90" s="20" t="s">
        <v>788</v>
      </c>
      <c r="C90" s="20" t="s">
        <v>644</v>
      </c>
      <c r="D90" s="13" t="str">
        <f>VLOOKUP(C:C,'LListat referències'!A:B,2,FALSE)</f>
        <v>Tarro 200ml Quadrat estret (Tapa Rodona)</v>
      </c>
      <c r="E90" s="18">
        <f>VLOOKUP(C:C,'LListat referències'!A:D,4,FALSE)</f>
        <v>0</v>
      </c>
      <c r="F90" s="49">
        <f>VLOOKUP(C:C,'LListat referències'!A:E,5,FALSE)</f>
        <v>220.84</v>
      </c>
      <c r="G90" s="49">
        <v>122.41</v>
      </c>
      <c r="H90" s="49">
        <v>1</v>
      </c>
      <c r="I90" s="75">
        <f>Tabla1[[#This Row],[Cant. Fabricada (uds)]]/Tabla1[[#This Row],[Cavidades]]*Tabla1[[#This Row],[Tiempo Ciclo]]/60/60</f>
        <v>15.709283333333333</v>
      </c>
      <c r="J90" s="1" t="s">
        <v>7</v>
      </c>
      <c r="K90" s="25"/>
      <c r="L90" s="25">
        <v>18434</v>
      </c>
      <c r="M90" s="25">
        <v>18656</v>
      </c>
      <c r="N90" s="25">
        <v>18896</v>
      </c>
      <c r="O90" s="20">
        <v>41</v>
      </c>
      <c r="P90" s="1">
        <f>Tabla1[[#This Row],[Noche]]-Tabla1[[#This Row],[Mañana ]]</f>
        <v>462</v>
      </c>
      <c r="Q90" s="58">
        <v>0</v>
      </c>
      <c r="R90" s="21">
        <f t="shared" si="2"/>
        <v>0</v>
      </c>
      <c r="S90" s="22">
        <f>Tabla1[[#This Row],[Merma Salas A &amp; B2]]*1000/Tabla1[[#This Row],[Peso gr.]]</f>
        <v>0</v>
      </c>
      <c r="T90" s="52"/>
      <c r="U90" s="24">
        <f>Tabla1[[#This Row],[Total piezas NOK]]/Tabla1[[#This Row],[Cant. Fabricada (uds)]]</f>
        <v>0</v>
      </c>
    </row>
    <row r="91" spans="1:22" x14ac:dyDescent="0.3">
      <c r="A91" s="43">
        <v>44503</v>
      </c>
      <c r="B91" s="20" t="s">
        <v>808</v>
      </c>
      <c r="C91" s="20">
        <v>1825</v>
      </c>
      <c r="D91" s="13" t="str">
        <f>VLOOKUP(C:C,'LListat referències'!A:B,2,FALSE)</f>
        <v>OBTURADOR 200 A/ LLENG.</v>
      </c>
      <c r="E91" s="18" t="str">
        <f>VLOOKUP(C:C,'LListat referències'!A:D,4,FALSE)</f>
        <v/>
      </c>
      <c r="F91" s="49">
        <f>VLOOKUP(C:C,'LListat referències'!A:E,5,FALSE)</f>
        <v>2.73</v>
      </c>
      <c r="G91" s="49">
        <v>18.5</v>
      </c>
      <c r="H91" s="49">
        <v>2</v>
      </c>
      <c r="I91" s="75">
        <f>Tabla1[[#This Row],[Cant. Fabricada (uds)]]/Tabla1[[#This Row],[Cavidades]]*Tabla1[[#This Row],[Tiempo Ciclo]]/60/60</f>
        <v>16.634583333333335</v>
      </c>
      <c r="J91" s="1" t="s">
        <v>797</v>
      </c>
      <c r="K91" s="25"/>
      <c r="L91" s="25">
        <v>25528</v>
      </c>
      <c r="M91" s="25">
        <v>28702</v>
      </c>
      <c r="N91" s="25">
        <v>32002</v>
      </c>
      <c r="O91" s="20">
        <v>48</v>
      </c>
      <c r="P91" s="1">
        <f>Tabla1[[#This Row],[Noche]]-Tabla1[[#This Row],[Mañana ]]</f>
        <v>6474</v>
      </c>
      <c r="Q91" s="58">
        <v>0.01</v>
      </c>
      <c r="R91" s="21">
        <f t="shared" si="2"/>
        <v>0.01</v>
      </c>
      <c r="S91" s="22">
        <f>Tabla1[[#This Row],[Merma Salas A &amp; B2]]*1000/Tabla1[[#This Row],[Peso gr.]]</f>
        <v>3.6630036630036629</v>
      </c>
      <c r="T91" s="52"/>
      <c r="U91" s="24">
        <f>Tabla1[[#This Row],[Total piezas NOK]]/Tabla1[[#This Row],[Cant. Fabricada (uds)]]</f>
        <v>5.6580223401354077E-4</v>
      </c>
    </row>
    <row r="92" spans="1:22" x14ac:dyDescent="0.3">
      <c r="A92" s="43">
        <v>44503</v>
      </c>
      <c r="B92" s="20" t="s">
        <v>809</v>
      </c>
      <c r="C92" s="20" t="s">
        <v>395</v>
      </c>
      <c r="D92" s="13" t="str">
        <f>VLOOKUP(C:C,'LListat referències'!A:B,2,FALSE)</f>
        <v>Cubilet de 50ml Refill</v>
      </c>
      <c r="E92" s="18">
        <f>VLOOKUP(C:C,'LListat referències'!A:D,4,FALSE)</f>
        <v>0</v>
      </c>
      <c r="F92" s="49">
        <v>1.5</v>
      </c>
      <c r="G92" s="49"/>
      <c r="H92" s="49"/>
      <c r="I92" s="75" t="s">
        <v>842</v>
      </c>
      <c r="J92" s="1" t="s">
        <v>797</v>
      </c>
      <c r="K92" s="25"/>
      <c r="L92" s="25">
        <v>0</v>
      </c>
      <c r="M92" s="25">
        <v>0</v>
      </c>
      <c r="N92" s="25">
        <v>1000</v>
      </c>
      <c r="O92" s="20">
        <v>49</v>
      </c>
      <c r="P92" s="1">
        <f>Tabla1[[#This Row],[Noche]]-Tabla1[[#This Row],[Mañana ]]</f>
        <v>1000</v>
      </c>
      <c r="Q92" s="58">
        <v>0.01</v>
      </c>
      <c r="R92" s="21">
        <f t="shared" si="2"/>
        <v>0.01</v>
      </c>
      <c r="S92" s="22">
        <f>Tabla1[[#This Row],[Merma Salas A &amp; B2]]*1000/Tabla1[[#This Row],[Peso gr.]]</f>
        <v>6.666666666666667</v>
      </c>
      <c r="T92" s="52"/>
      <c r="U92" s="24">
        <f>Tabla1[[#This Row],[Total piezas NOK]]/Tabla1[[#This Row],[Cant. Fabricada (uds)]]</f>
        <v>6.6666666666666671E-3</v>
      </c>
    </row>
    <row r="93" spans="1:22" x14ac:dyDescent="0.3">
      <c r="A93" s="43">
        <v>44503</v>
      </c>
      <c r="B93" s="20" t="s">
        <v>765</v>
      </c>
      <c r="C93" s="20">
        <v>1861</v>
      </c>
      <c r="D93" s="13" t="str">
        <f>VLOOKUP(C:C,'LListat referències'!A:B,2,FALSE)</f>
        <v>Tarro 50ml Standard 8 unitats</v>
      </c>
      <c r="E93" s="18" t="str">
        <f>VLOOKUP(C:C,'LListat referències'!A:D,4,FALSE)</f>
        <v>T022</v>
      </c>
      <c r="F93" s="49">
        <f>VLOOKUP(C:C,'LListat referències'!A:E,5,FALSE)</f>
        <v>92</v>
      </c>
      <c r="G93" s="49">
        <v>148</v>
      </c>
      <c r="H93" s="49">
        <v>8</v>
      </c>
      <c r="I93" s="75">
        <f>Tabla1[[#This Row],[Cant. Fabricada (uds)]]/Tabla1[[#This Row],[Cavidades]]*Tabla1[[#This Row],[Tiempo Ciclo]]/60/60</f>
        <v>0</v>
      </c>
      <c r="J93" s="1" t="s">
        <v>15</v>
      </c>
      <c r="K93" s="25"/>
      <c r="L93" s="25"/>
      <c r="M93" s="25"/>
      <c r="N93" s="25"/>
      <c r="O93" s="20">
        <v>40</v>
      </c>
      <c r="P93" s="1"/>
      <c r="Q93" s="58"/>
      <c r="R93" s="21">
        <f t="shared" si="2"/>
        <v>0</v>
      </c>
      <c r="S93" s="22">
        <f>Tabla1[[#This Row],[Merma Salas A &amp; B2]]*1000/Tabla1[[#This Row],[Peso gr.]]</f>
        <v>0</v>
      </c>
      <c r="T93" s="52">
        <v>160</v>
      </c>
      <c r="U93" s="24" t="s">
        <v>842</v>
      </c>
      <c r="V93" s="19" t="s">
        <v>826</v>
      </c>
    </row>
    <row r="94" spans="1:22" x14ac:dyDescent="0.3">
      <c r="A94" s="43">
        <v>44503</v>
      </c>
      <c r="B94" s="20" t="s">
        <v>828</v>
      </c>
      <c r="C94" s="20" t="s">
        <v>10</v>
      </c>
      <c r="D94" s="13" t="str">
        <f>VLOOKUP(C:C,'LListat referències'!A:B,2,FALSE)</f>
        <v xml:space="preserve">Tapa 100 ml prima </v>
      </c>
      <c r="E94" s="18" t="str">
        <f>VLOOKUP(C:C,'LListat referències'!A:D,4,FALSE)</f>
        <v>#26(100 ml)</v>
      </c>
      <c r="F94" s="49">
        <f>VLOOKUP(C:C,'LListat referències'!A:E,5,FALSE)</f>
        <v>30.3</v>
      </c>
      <c r="G94" s="49">
        <v>66.400000000000006</v>
      </c>
      <c r="H94" s="49">
        <v>4</v>
      </c>
      <c r="I94" s="75">
        <f>Tabla1[[#This Row],[Cant. Fabricada (uds)]]/Tabla1[[#This Row],[Cavidades]]*Tabla1[[#This Row],[Tiempo Ciclo]]/60/60</f>
        <v>0</v>
      </c>
      <c r="J94" s="20" t="s">
        <v>15</v>
      </c>
      <c r="K94" s="25"/>
      <c r="L94" s="25"/>
      <c r="M94" s="25"/>
      <c r="N94" s="25"/>
      <c r="O94" s="20">
        <v>38</v>
      </c>
      <c r="P94" s="1">
        <f>Tabla1[[#This Row],[Noche]]-Tabla1[[#This Row],[Mañana ]]</f>
        <v>0</v>
      </c>
      <c r="Q94" s="58"/>
      <c r="R94" s="21">
        <f t="shared" si="2"/>
        <v>0</v>
      </c>
      <c r="S94" s="22">
        <f>Tabla1[[#This Row],[Merma Salas A &amp; B2]]*1000/Tabla1[[#This Row],[Peso gr.]]</f>
        <v>0</v>
      </c>
      <c r="T94" s="52">
        <v>15</v>
      </c>
      <c r="U94" s="24" t="s">
        <v>842</v>
      </c>
      <c r="V94" s="19" t="s">
        <v>829</v>
      </c>
    </row>
    <row r="95" spans="1:22" x14ac:dyDescent="0.3">
      <c r="A95" s="43">
        <v>44503</v>
      </c>
      <c r="B95" s="20" t="s">
        <v>882</v>
      </c>
      <c r="C95" s="20">
        <v>1207</v>
      </c>
      <c r="D95" s="13" t="str">
        <f>VLOOKUP(C:C,'LListat referències'!A:B,2,FALSE)</f>
        <v>Tap principia ovalat rosca gran</v>
      </c>
      <c r="E95" s="18" t="str">
        <f>VLOOKUP(C:C,'LListat referències'!A:D,4,FALSE)</f>
        <v/>
      </c>
      <c r="F95" s="49">
        <f>VLOOKUP(C:C,'LListat referències'!A:E,5,FALSE)</f>
        <v>9</v>
      </c>
      <c r="G95" s="49">
        <v>22</v>
      </c>
      <c r="H95" s="49">
        <v>3</v>
      </c>
      <c r="I95" s="75">
        <f>Tabla1[[#This Row],[Cant. Fabricada (uds)]]/Tabla1[[#This Row],[Cavidades]]*Tabla1[[#This Row],[Tiempo Ciclo]]/60/60</f>
        <v>5.8137037037037045</v>
      </c>
      <c r="J95" s="1" t="s">
        <v>797</v>
      </c>
      <c r="K95" s="25"/>
      <c r="L95" s="25">
        <v>1400</v>
      </c>
      <c r="M95" s="25">
        <v>25809</v>
      </c>
      <c r="N95" s="25">
        <v>4254</v>
      </c>
      <c r="O95" s="20">
        <v>50</v>
      </c>
      <c r="P95" s="1">
        <f>Tabla1[[#This Row],[Noche]]-Tabla1[[#This Row],[Mañana ]]</f>
        <v>2854</v>
      </c>
      <c r="Q95" s="58"/>
      <c r="R95" s="21">
        <f t="shared" si="2"/>
        <v>0</v>
      </c>
      <c r="S95" s="22">
        <f>Tabla1[[#This Row],[Merma Salas A &amp; B2]]*1000/Tabla1[[#This Row],[Peso gr.]]</f>
        <v>0</v>
      </c>
      <c r="T95" s="52"/>
      <c r="U95" s="24">
        <f>Tabla1[[#This Row],[Total piezas NOK]]/Tabla1[[#This Row],[Cant. Fabricada (uds)]]</f>
        <v>0</v>
      </c>
    </row>
    <row r="96" spans="1:22" x14ac:dyDescent="0.3">
      <c r="A96" s="43">
        <v>44504</v>
      </c>
      <c r="B96" s="20" t="s">
        <v>771</v>
      </c>
      <c r="C96" s="20" t="s">
        <v>615</v>
      </c>
      <c r="D96" s="13" t="str">
        <f>VLOOKUP(C:C,'LListat referències'!A:B,2,FALSE)</f>
        <v>Tarro 50ml Tinter Quadrat</v>
      </c>
      <c r="E96" s="18" t="str">
        <f>VLOOKUP(C:C,'LListat referències'!A:D,4,FALSE)</f>
        <v>T116</v>
      </c>
      <c r="F96" s="49">
        <f>VLOOKUP(C:C,'LListat referències'!A:E,5,FALSE)</f>
        <v>121.5</v>
      </c>
      <c r="G96" s="49">
        <v>126.1</v>
      </c>
      <c r="H96" s="49">
        <v>2</v>
      </c>
      <c r="I96" s="75">
        <f>Tabla1[[#This Row],[Cant. Fabricada (uds)]]/Tabla1[[#This Row],[Cavidades]]*Tabla1[[#This Row],[Tiempo Ciclo]]/60/60</f>
        <v>8.0563888888888879</v>
      </c>
      <c r="J96" s="1" t="s">
        <v>8</v>
      </c>
      <c r="K96" s="25"/>
      <c r="L96" s="25">
        <v>5690</v>
      </c>
      <c r="M96" s="25">
        <v>0</v>
      </c>
      <c r="N96" s="25">
        <v>6150</v>
      </c>
      <c r="O96" s="20">
        <v>30</v>
      </c>
      <c r="P96" s="1">
        <f>Tabla1[[#This Row],[Noche]]-Tabla1[[#This Row],[Mañana ]]</f>
        <v>460</v>
      </c>
      <c r="Q96" s="58">
        <v>0</v>
      </c>
      <c r="R96" s="21">
        <f t="shared" si="2"/>
        <v>0</v>
      </c>
      <c r="S96" s="22">
        <f>Tabla1[[#This Row],[Merma Salas A &amp; B2]]*1000/Tabla1[[#This Row],[Peso gr.]]</f>
        <v>0</v>
      </c>
      <c r="T96" s="52"/>
      <c r="U96" s="24">
        <f>Tabla1[[#This Row],[Total piezas NOK]]/Tabla1[[#This Row],[Cant. Fabricada (uds)]]</f>
        <v>0</v>
      </c>
      <c r="V96" s="19" t="s">
        <v>804</v>
      </c>
    </row>
    <row r="97" spans="1:22" x14ac:dyDescent="0.3">
      <c r="A97" s="43">
        <v>44504</v>
      </c>
      <c r="B97" s="20" t="s">
        <v>810</v>
      </c>
      <c r="C97" s="20" t="s">
        <v>854</v>
      </c>
      <c r="D97" s="13" t="e">
        <f>VLOOKUP(C:C,'LListat referències'!A:B,2,FALSE)</f>
        <v>#N/A</v>
      </c>
      <c r="E97" s="18" t="e">
        <f>VLOOKUP(C:C,'LListat referències'!A:D,4,FALSE)</f>
        <v>#N/A</v>
      </c>
      <c r="F97" s="49">
        <v>0.57999999999999996</v>
      </c>
      <c r="G97" s="49">
        <v>20.6</v>
      </c>
      <c r="H97" s="49">
        <v>2</v>
      </c>
      <c r="I97" s="75">
        <f>Tabla1[[#This Row],[Cant. Fabricada (uds)]]/Tabla1[[#This Row],[Cavidades]]*Tabla1[[#This Row],[Tiempo Ciclo]]/60/60</f>
        <v>0.31472222222222224</v>
      </c>
      <c r="J97" s="1" t="s">
        <v>797</v>
      </c>
      <c r="K97" s="25"/>
      <c r="L97" s="25">
        <v>0</v>
      </c>
      <c r="M97" s="25">
        <v>0</v>
      </c>
      <c r="N97" s="25">
        <v>110</v>
      </c>
      <c r="O97" s="20">
        <v>49</v>
      </c>
      <c r="P97" s="1">
        <f>Tabla1[[#This Row],[Noche]]-Tabla1[[#This Row],[Mañana ]]</f>
        <v>110</v>
      </c>
      <c r="Q97" s="58">
        <v>1E-3</v>
      </c>
      <c r="R97" s="21">
        <f t="shared" si="2"/>
        <v>1E-3</v>
      </c>
      <c r="S97" s="22">
        <f>Tabla1[[#This Row],[Merma Salas A &amp; B2]]*1000/Tabla1[[#This Row],[Peso gr.]]</f>
        <v>1.7241379310344829</v>
      </c>
      <c r="T97" s="52"/>
      <c r="U97" s="24">
        <f>Tabla1[[#This Row],[Total piezas NOK]]/Tabla1[[#This Row],[Cant. Fabricada (uds)]]</f>
        <v>1.5673981191222573E-2</v>
      </c>
    </row>
    <row r="98" spans="1:22" ht="28.8" x14ac:dyDescent="0.3">
      <c r="A98" s="43">
        <v>44504</v>
      </c>
      <c r="B98" s="20" t="s">
        <v>765</v>
      </c>
      <c r="C98" s="20">
        <v>1861</v>
      </c>
      <c r="D98" s="13" t="str">
        <f>VLOOKUP(C:C,'LListat referències'!A:B,2,FALSE)</f>
        <v>Tarro 50ml Standard 8 unitats</v>
      </c>
      <c r="E98" s="18" t="str">
        <f>VLOOKUP(C:C,'LListat referències'!A:D,4,FALSE)</f>
        <v>T022</v>
      </c>
      <c r="F98" s="49">
        <f>VLOOKUP(C:C,'LListat referències'!A:E,5,FALSE)</f>
        <v>92</v>
      </c>
      <c r="G98" s="49">
        <v>148</v>
      </c>
      <c r="H98" s="49">
        <v>8</v>
      </c>
      <c r="I98" s="75">
        <f>Tabla1[[#This Row],[Cant. Fabricada (uds)]]/Tabla1[[#This Row],[Cavidades]]*Tabla1[[#This Row],[Tiempo Ciclo]]/60/60</f>
        <v>18.453749999999999</v>
      </c>
      <c r="J98" s="20" t="s">
        <v>15</v>
      </c>
      <c r="K98" s="25"/>
      <c r="L98" s="25">
        <v>19935</v>
      </c>
      <c r="M98" s="25">
        <v>21692</v>
      </c>
      <c r="N98" s="25">
        <v>23526</v>
      </c>
      <c r="O98" s="20">
        <v>40</v>
      </c>
      <c r="P98" s="20">
        <f>Tabla1[[#This Row],[Noche]]-Tabla1[[#This Row],[Mañana ]]</f>
        <v>3591</v>
      </c>
      <c r="Q98" s="59">
        <v>160</v>
      </c>
      <c r="R98" s="21">
        <f t="shared" ref="R98:R129" si="3">SUM(Q98:Q98)</f>
        <v>160</v>
      </c>
      <c r="S98" s="22">
        <f>Tabla1[[#This Row],[Merma Salas A &amp; B2]]*1000/Tabla1[[#This Row],[Peso gr.]]</f>
        <v>1739.1304347826087</v>
      </c>
      <c r="T98" s="52"/>
      <c r="U98" s="24">
        <f>Tabla1[[#This Row],[Total piezas NOK]]/Tabla1[[#This Row],[Cant. Fabricada (uds)]]</f>
        <v>0.48430254379911131</v>
      </c>
      <c r="V98" s="19" t="s">
        <v>820</v>
      </c>
    </row>
    <row r="99" spans="1:22" x14ac:dyDescent="0.3">
      <c r="A99" s="43">
        <v>44504</v>
      </c>
      <c r="B99" s="20" t="s">
        <v>765</v>
      </c>
      <c r="C99" s="20">
        <v>1861</v>
      </c>
      <c r="D99" s="13" t="str">
        <f>VLOOKUP(C:C,'LListat referències'!A:B,2,FALSE)</f>
        <v>Tarro 50ml Standard 8 unitats</v>
      </c>
      <c r="E99" s="18" t="str">
        <f>VLOOKUP(C:C,'LListat referències'!A:D,4,FALSE)</f>
        <v>T022</v>
      </c>
      <c r="F99" s="49">
        <f>VLOOKUP(C:C,'LListat referències'!A:E,5,FALSE)</f>
        <v>92</v>
      </c>
      <c r="G99" s="49">
        <v>148</v>
      </c>
      <c r="H99" s="49">
        <v>8</v>
      </c>
      <c r="I99" s="75">
        <f>Tabla1[[#This Row],[Cant. Fabricada (uds)]]/Tabla1[[#This Row],[Cavidades]]*Tabla1[[#This Row],[Tiempo Ciclo]]/60/60</f>
        <v>0</v>
      </c>
      <c r="J99" s="1" t="s">
        <v>15</v>
      </c>
      <c r="K99" s="25"/>
      <c r="L99" s="25"/>
      <c r="M99" s="25"/>
      <c r="N99" s="25"/>
      <c r="O99" s="20">
        <v>40</v>
      </c>
      <c r="P99" s="1">
        <f>Tabla1[[#This Row],[Noche]]-Tabla1[[#This Row],[Mañana ]]</f>
        <v>0</v>
      </c>
      <c r="Q99" s="58"/>
      <c r="R99" s="21">
        <f t="shared" si="3"/>
        <v>0</v>
      </c>
      <c r="S99" s="22">
        <f>Tabla1[[#This Row],[Merma Salas A &amp; B2]]*1000/Tabla1[[#This Row],[Peso gr.]]</f>
        <v>0</v>
      </c>
      <c r="T99" s="52">
        <v>140</v>
      </c>
      <c r="U99" s="24" t="s">
        <v>842</v>
      </c>
      <c r="V99" s="19" t="s">
        <v>826</v>
      </c>
    </row>
    <row r="100" spans="1:22" x14ac:dyDescent="0.3">
      <c r="A100" s="43">
        <v>44504</v>
      </c>
      <c r="B100" s="20" t="s">
        <v>771</v>
      </c>
      <c r="C100" s="20" t="s">
        <v>615</v>
      </c>
      <c r="D100" s="13" t="str">
        <f>VLOOKUP(C:C,'LListat referències'!A:B,2,FALSE)</f>
        <v>Tarro 50ml Tinter Quadrat</v>
      </c>
      <c r="E100" s="18" t="str">
        <f>VLOOKUP(C:C,'LListat referències'!A:D,4,FALSE)</f>
        <v>T116</v>
      </c>
      <c r="F100" s="49">
        <f>VLOOKUP(C:C,'LListat referències'!A:E,5,FALSE)</f>
        <v>121.5</v>
      </c>
      <c r="G100" s="49">
        <v>126.1</v>
      </c>
      <c r="H100" s="49">
        <v>2</v>
      </c>
      <c r="I100" s="75">
        <f>Tabla1[[#This Row],[Cant. Fabricada (uds)]]/Tabla1[[#This Row],[Cavidades]]*Tabla1[[#This Row],[Tiempo Ciclo]]/60/60</f>
        <v>15.587361111111111</v>
      </c>
      <c r="J100" s="1" t="s">
        <v>8</v>
      </c>
      <c r="K100" s="25"/>
      <c r="L100" s="25">
        <v>6150</v>
      </c>
      <c r="M100" s="25">
        <v>6582</v>
      </c>
      <c r="N100" s="25">
        <v>7040</v>
      </c>
      <c r="O100" s="20">
        <v>30</v>
      </c>
      <c r="P100" s="1">
        <f>Tabla1[[#This Row],[Noche]]-Tabla1[[#This Row],[Mañana ]]</f>
        <v>890</v>
      </c>
      <c r="Q100" s="58">
        <v>35</v>
      </c>
      <c r="R100" s="21">
        <f t="shared" si="3"/>
        <v>35</v>
      </c>
      <c r="S100" s="22">
        <f>Tabla1[[#This Row],[Merma Salas A &amp; B2]]*1000/Tabla1[[#This Row],[Peso gr.]]</f>
        <v>288.06584362139915</v>
      </c>
      <c r="T100" s="52"/>
      <c r="U100" s="24">
        <f>Tabla1[[#This Row],[Total piezas NOK]]/Tabla1[[#This Row],[Cant. Fabricada (uds)]]</f>
        <v>0.32366948721505523</v>
      </c>
      <c r="V100" s="19" t="s">
        <v>803</v>
      </c>
    </row>
    <row r="101" spans="1:22" x14ac:dyDescent="0.3">
      <c r="A101" s="43">
        <v>44504</v>
      </c>
      <c r="B101" s="20" t="s">
        <v>830</v>
      </c>
      <c r="C101" s="20" t="s">
        <v>12</v>
      </c>
      <c r="D101" s="13" t="str">
        <f>VLOOKUP(C:C,'LListat referències'!A:B,2,FALSE)</f>
        <v>Tapa 50 ml mar-mar prima</v>
      </c>
      <c r="E101" s="18" t="str">
        <f>VLOOKUP(C:C,'LListat referències'!A:D,4,FALSE)</f>
        <v>#24</v>
      </c>
      <c r="F101" s="49">
        <f>VLOOKUP(C:C,'LListat referències'!A:E,5,FALSE)</f>
        <v>20.86</v>
      </c>
      <c r="G101" s="49">
        <v>113.2</v>
      </c>
      <c r="H101" s="49">
        <v>4</v>
      </c>
      <c r="I101" s="75">
        <f>Tabla1[[#This Row],[Cant. Fabricada (uds)]]/Tabla1[[#This Row],[Cavidades]]*Tabla1[[#This Row],[Tiempo Ciclo]]/60/60</f>
        <v>19.291166666666665</v>
      </c>
      <c r="J101" s="1" t="s">
        <v>15</v>
      </c>
      <c r="K101" s="25"/>
      <c r="L101" s="25">
        <v>0</v>
      </c>
      <c r="M101" s="25">
        <v>651</v>
      </c>
      <c r="N101" s="25">
        <v>2454</v>
      </c>
      <c r="O101" s="20">
        <v>45</v>
      </c>
      <c r="P101" s="1">
        <f>Tabla1[[#This Row],[Noche]]-Tabla1[[#This Row],[Mañana ]]</f>
        <v>2454</v>
      </c>
      <c r="Q101" s="58">
        <v>2.5</v>
      </c>
      <c r="R101" s="21">
        <f t="shared" si="3"/>
        <v>2.5</v>
      </c>
      <c r="S101" s="22">
        <f>Tabla1[[#This Row],[Merma Salas A &amp; B2]]*1000/Tabla1[[#This Row],[Peso gr.]]</f>
        <v>119.84659635666347</v>
      </c>
      <c r="T101" s="52">
        <v>40</v>
      </c>
      <c r="U101" s="24">
        <f>Tabla1[[#This Row],[Total piezas NOK]]/Tabla1[[#This Row],[Cant. Fabricada (uds)]]</f>
        <v>4.8837243829121219E-2</v>
      </c>
      <c r="V101" s="19" t="s">
        <v>831</v>
      </c>
    </row>
    <row r="102" spans="1:22" x14ac:dyDescent="0.3">
      <c r="A102" s="43">
        <v>44504</v>
      </c>
      <c r="B102" s="20" t="s">
        <v>759</v>
      </c>
      <c r="C102" s="20" t="s">
        <v>513</v>
      </c>
      <c r="D102" s="13" t="str">
        <f>VLOOKUP(C:C,'LListat referències'!A:B,2,FALSE)</f>
        <v>Tarro 150 ml</v>
      </c>
      <c r="E102" s="18" t="str">
        <f>VLOOKUP(C:C,'LListat referències'!A:D,4,FALSE)</f>
        <v>T057</v>
      </c>
      <c r="F102" s="49">
        <f>VLOOKUP(C:C,'LListat referències'!A:E,5,FALSE)</f>
        <v>160</v>
      </c>
      <c r="G102" s="49">
        <v>109.1</v>
      </c>
      <c r="H102" s="49">
        <v>2</v>
      </c>
      <c r="I102" s="75">
        <f>Tabla1[[#This Row],[Cant. Fabricada (uds)]]/Tabla1[[#This Row],[Cavidades]]*Tabla1[[#This Row],[Tiempo Ciclo]]/60/60</f>
        <v>0</v>
      </c>
      <c r="J102" s="1" t="s">
        <v>8</v>
      </c>
      <c r="K102" s="25"/>
      <c r="L102" s="25"/>
      <c r="M102" s="25"/>
      <c r="N102" s="25"/>
      <c r="O102" s="20">
        <v>43</v>
      </c>
      <c r="P102" s="1">
        <f>Tabla1[[#This Row],[Noche]]-Tabla1[[#This Row],[Mañana ]]</f>
        <v>0</v>
      </c>
      <c r="Q102" s="58"/>
      <c r="R102" s="21">
        <f t="shared" si="3"/>
        <v>0</v>
      </c>
      <c r="S102" s="22">
        <f>Tabla1[[#This Row],[Merma Salas A &amp; B2]]*1000/Tabla1[[#This Row],[Peso gr.]]</f>
        <v>0</v>
      </c>
      <c r="T102" s="52">
        <v>2.5</v>
      </c>
      <c r="U102" s="24" t="s">
        <v>842</v>
      </c>
    </row>
    <row r="103" spans="1:22" x14ac:dyDescent="0.3">
      <c r="A103" s="43">
        <v>44504</v>
      </c>
      <c r="B103" s="20" t="s">
        <v>756</v>
      </c>
      <c r="C103" s="20" t="s">
        <v>644</v>
      </c>
      <c r="D103" s="13" t="str">
        <f>VLOOKUP(C:C,'LListat referències'!A:B,2,FALSE)</f>
        <v>Tarro 200ml Quadrat estret (Tapa Rodona)</v>
      </c>
      <c r="E103" s="18">
        <f>VLOOKUP(C:C,'LListat referències'!A:D,4,FALSE)</f>
        <v>0</v>
      </c>
      <c r="F103" s="49">
        <f>VLOOKUP(C:C,'LListat referències'!A:E,5,FALSE)</f>
        <v>220.84</v>
      </c>
      <c r="G103" s="49">
        <v>122.41</v>
      </c>
      <c r="H103" s="49">
        <v>1</v>
      </c>
      <c r="I103" s="75">
        <f>Tabla1[[#This Row],[Cant. Fabricada (uds)]]/Tabla1[[#This Row],[Cavidades]]*Tabla1[[#This Row],[Tiempo Ciclo]]/60/60</f>
        <v>15.131236111111111</v>
      </c>
      <c r="J103" s="1" t="s">
        <v>7</v>
      </c>
      <c r="K103" s="25"/>
      <c r="L103" s="25">
        <v>19153</v>
      </c>
      <c r="M103" s="25">
        <v>19362</v>
      </c>
      <c r="N103" s="25">
        <v>19598</v>
      </c>
      <c r="O103" s="20">
        <v>41</v>
      </c>
      <c r="P103" s="1">
        <f>Tabla1[[#This Row],[Noche]]-Tabla1[[#This Row],[Mañana ]]</f>
        <v>445</v>
      </c>
      <c r="Q103" s="58">
        <v>2.5</v>
      </c>
      <c r="R103" s="21">
        <f t="shared" si="3"/>
        <v>2.5</v>
      </c>
      <c r="S103" s="22">
        <f>Tabla1[[#This Row],[Merma Salas A &amp; B2]]*1000/Tabla1[[#This Row],[Peso gr.]]</f>
        <v>11.320412968665098</v>
      </c>
      <c r="T103" s="52"/>
      <c r="U103" s="24">
        <f>Tabla1[[#This Row],[Total piezas NOK]]/Tabla1[[#This Row],[Cant. Fabricada (uds)]]</f>
        <v>2.543913026666314E-2</v>
      </c>
    </row>
    <row r="104" spans="1:22" x14ac:dyDescent="0.3">
      <c r="A104" s="43">
        <v>44504</v>
      </c>
      <c r="B104" s="20" t="s">
        <v>767</v>
      </c>
      <c r="C104" s="20">
        <v>1790</v>
      </c>
      <c r="D104" s="13" t="str">
        <f>VLOOKUP(C:C,'LListat referències'!A:B,2,FALSE)</f>
        <v>Tarro 100ml</v>
      </c>
      <c r="E104" s="18" t="str">
        <f>VLOOKUP(C:C,'LListat referències'!A:D,4,FALSE)</f>
        <v>T029</v>
      </c>
      <c r="F104" s="49">
        <f>VLOOKUP(C:C,'LListat referències'!A:E,5,FALSE)</f>
        <v>151</v>
      </c>
      <c r="G104" s="49">
        <v>122.41</v>
      </c>
      <c r="H104" s="49">
        <v>1</v>
      </c>
      <c r="I104" s="75">
        <f>Tabla1[[#This Row],[Cant. Fabricada (uds)]]/Tabla1[[#This Row],[Cavidades]]*Tabla1[[#This Row],[Tiempo Ciclo]]/60/60</f>
        <v>14.009144444444445</v>
      </c>
      <c r="J104" s="1" t="s">
        <v>7</v>
      </c>
      <c r="K104" s="25"/>
      <c r="L104" s="25">
        <v>4697</v>
      </c>
      <c r="M104" s="25">
        <v>4887</v>
      </c>
      <c r="N104" s="25">
        <v>5109</v>
      </c>
      <c r="O104" s="20">
        <v>41</v>
      </c>
      <c r="P104" s="1">
        <f>Tabla1[[#This Row],[Noche]]-Tabla1[[#This Row],[Mañana ]]</f>
        <v>412</v>
      </c>
      <c r="Q104" s="58">
        <v>2.5</v>
      </c>
      <c r="R104" s="21">
        <f t="shared" si="3"/>
        <v>2.5</v>
      </c>
      <c r="S104" s="22">
        <f>Tabla1[[#This Row],[Merma Salas A &amp; B2]]*1000/Tabla1[[#This Row],[Peso gr.]]</f>
        <v>16.556291390728475</v>
      </c>
      <c r="T104" s="52"/>
      <c r="U104" s="24">
        <f>Tabla1[[#This Row],[Total piezas NOK]]/Tabla1[[#This Row],[Cant. Fabricada (uds)]]</f>
        <v>4.0185173278467171E-2</v>
      </c>
    </row>
    <row r="105" spans="1:22" x14ac:dyDescent="0.3">
      <c r="A105" s="43">
        <v>44504</v>
      </c>
      <c r="B105" s="20" t="s">
        <v>772</v>
      </c>
      <c r="C105" s="20">
        <v>1897</v>
      </c>
      <c r="D105" s="13" t="str">
        <f>VLOOKUP(C:C,'LListat referències'!A:B,2,FALSE)</f>
        <v>Tapa 50 cc mar mar (6 unit)</v>
      </c>
      <c r="E105" s="18" t="str">
        <f>VLOOKUP(C:C,'LListat referències'!A:D,4,FALSE)</f>
        <v>#6(50 ml)</v>
      </c>
      <c r="F105" s="49">
        <f>VLOOKUP(C:C,'LListat referències'!A:E,5,FALSE)</f>
        <v>32</v>
      </c>
      <c r="G105" s="49">
        <v>81.709999999999994</v>
      </c>
      <c r="H105" s="49">
        <v>6</v>
      </c>
      <c r="I105" s="75">
        <f>Tabla1[[#This Row],[Cant. Fabricada (uds)]]/Tabla1[[#This Row],[Cavidades]]*Tabla1[[#This Row],[Tiempo Ciclo]]/60/60</f>
        <v>15.025561111111109</v>
      </c>
      <c r="J105" s="1" t="s">
        <v>8</v>
      </c>
      <c r="K105" s="25"/>
      <c r="L105" s="25">
        <v>24750</v>
      </c>
      <c r="M105" s="25">
        <v>26580</v>
      </c>
      <c r="N105" s="25">
        <v>28722</v>
      </c>
      <c r="O105" s="20">
        <v>52</v>
      </c>
      <c r="P105" s="1">
        <f>Tabla1[[#This Row],[Noche]]-Tabla1[[#This Row],[Mañana ]]</f>
        <v>3972</v>
      </c>
      <c r="Q105" s="58">
        <v>2.5</v>
      </c>
      <c r="R105" s="21">
        <f t="shared" si="3"/>
        <v>2.5</v>
      </c>
      <c r="S105" s="22">
        <f>Tabla1[[#This Row],[Merma Salas A &amp; B2]]*1000/Tabla1[[#This Row],[Peso gr.]]</f>
        <v>78.125</v>
      </c>
      <c r="T105" s="52"/>
      <c r="U105" s="24">
        <f>Tabla1[[#This Row],[Total piezas NOK]]/Tabla1[[#This Row],[Cant. Fabricada (uds)]]</f>
        <v>1.9668932527693857E-2</v>
      </c>
    </row>
    <row r="106" spans="1:22" x14ac:dyDescent="0.3">
      <c r="A106" s="43">
        <v>44504</v>
      </c>
      <c r="B106" s="20" t="s">
        <v>799</v>
      </c>
      <c r="C106" s="20" t="s">
        <v>684</v>
      </c>
      <c r="D106" s="13" t="str">
        <f>VLOOKUP(C:C,'LListat referències'!A:B,2,FALSE)</f>
        <v>Obturador 50 ml</v>
      </c>
      <c r="E106" s="18" t="str">
        <f>VLOOKUP(C:C,'LListat referències'!A:D,4,FALSE)</f>
        <v/>
      </c>
      <c r="F106" s="49">
        <f>VLOOKUP(C:C,'LListat referències'!A:E,5,FALSE)</f>
        <v>1.88</v>
      </c>
      <c r="G106" s="49">
        <v>16.29</v>
      </c>
      <c r="H106" s="49">
        <v>2</v>
      </c>
      <c r="I106" s="75">
        <f>Tabla1[[#This Row],[Cant. Fabricada (uds)]]/Tabla1[[#This Row],[Cavidades]]*Tabla1[[#This Row],[Tiempo Ciclo]]/60/60</f>
        <v>14.588600000000001</v>
      </c>
      <c r="J106" s="1" t="s">
        <v>797</v>
      </c>
      <c r="K106" s="25"/>
      <c r="L106" s="25">
        <v>18318</v>
      </c>
      <c r="M106" s="25">
        <v>21496</v>
      </c>
      <c r="N106" s="25">
        <v>24766</v>
      </c>
      <c r="O106" s="20">
        <v>46</v>
      </c>
      <c r="P106" s="1">
        <f>Tabla1[[#This Row],[Noche]]-Tabla1[[#This Row],[Mañana ]]</f>
        <v>6448</v>
      </c>
      <c r="Q106" s="58">
        <v>0</v>
      </c>
      <c r="R106" s="21">
        <f t="shared" si="3"/>
        <v>0</v>
      </c>
      <c r="S106" s="22">
        <f>Tabla1[[#This Row],[Merma Salas A &amp; B2]]*1000/Tabla1[[#This Row],[Peso gr.]]</f>
        <v>0</v>
      </c>
      <c r="T106" s="52"/>
      <c r="U106" s="24">
        <f>Tabla1[[#This Row],[Total piezas NOK]]/Tabla1[[#This Row],[Cant. Fabricada (uds)]]</f>
        <v>0</v>
      </c>
    </row>
    <row r="107" spans="1:22" x14ac:dyDescent="0.3">
      <c r="A107" s="43">
        <v>44504</v>
      </c>
      <c r="B107" s="20" t="s">
        <v>759</v>
      </c>
      <c r="C107" s="20" t="s">
        <v>513</v>
      </c>
      <c r="D107" s="13" t="str">
        <f>VLOOKUP(C:C,'LListat referències'!A:B,2,FALSE)</f>
        <v>Tarro 150 ml</v>
      </c>
      <c r="E107" s="18" t="str">
        <f>VLOOKUP(C:C,'LListat referències'!A:D,4,FALSE)</f>
        <v>T057</v>
      </c>
      <c r="F107" s="49">
        <f>VLOOKUP(C:C,'LListat referències'!A:E,5,FALSE)</f>
        <v>160</v>
      </c>
      <c r="G107" s="49">
        <v>109.1</v>
      </c>
      <c r="H107" s="49">
        <v>2</v>
      </c>
      <c r="I107" s="75">
        <f>Tabla1[[#This Row],[Cant. Fabricada (uds)]]/Tabla1[[#This Row],[Cavidades]]*Tabla1[[#This Row],[Tiempo Ciclo]]/60/60</f>
        <v>16.09225</v>
      </c>
      <c r="J107" s="1" t="s">
        <v>15</v>
      </c>
      <c r="K107" s="25"/>
      <c r="L107" s="25">
        <v>24066</v>
      </c>
      <c r="M107" s="25">
        <v>24582</v>
      </c>
      <c r="N107" s="25">
        <v>25128</v>
      </c>
      <c r="O107" s="20">
        <v>43</v>
      </c>
      <c r="P107" s="1">
        <f>Tabla1[[#This Row],[Noche]]-Tabla1[[#This Row],[Mañana ]]</f>
        <v>1062</v>
      </c>
      <c r="Q107" s="58"/>
      <c r="R107" s="21">
        <f t="shared" si="3"/>
        <v>0</v>
      </c>
      <c r="S107" s="22">
        <f>Tabla1[[#This Row],[Merma Salas A &amp; B2]]*1000/Tabla1[[#This Row],[Peso gr.]]</f>
        <v>0</v>
      </c>
      <c r="T107" s="52"/>
      <c r="U107" s="24">
        <f>Tabla1[[#This Row],[Total piezas NOK]]/Tabla1[[#This Row],[Cant. Fabricada (uds)]]</f>
        <v>0</v>
      </c>
    </row>
    <row r="108" spans="1:22" x14ac:dyDescent="0.3">
      <c r="A108" s="43">
        <v>44504</v>
      </c>
      <c r="B108" s="20" t="s">
        <v>882</v>
      </c>
      <c r="C108" s="20">
        <v>1207</v>
      </c>
      <c r="D108" s="13" t="str">
        <f>VLOOKUP(C:C,'LListat referències'!A:B,2,FALSE)</f>
        <v>Tap principia ovalat rosca gran</v>
      </c>
      <c r="E108" s="18" t="str">
        <f>VLOOKUP(C:C,'LListat referències'!A:D,4,FALSE)</f>
        <v/>
      </c>
      <c r="F108" s="49">
        <f>VLOOKUP(C:C,'LListat referències'!A:E,5,FALSE)</f>
        <v>9</v>
      </c>
      <c r="G108" s="49">
        <v>22</v>
      </c>
      <c r="H108" s="49">
        <v>3</v>
      </c>
      <c r="I108" s="75">
        <f>Tabla1[[#This Row],[Cant. Fabricada (uds)]]/Tabla1[[#This Row],[Cavidades]]*Tabla1[[#This Row],[Tiempo Ciclo]]/60/60</f>
        <v>2.9862962962962967</v>
      </c>
      <c r="J108" s="1" t="s">
        <v>797</v>
      </c>
      <c r="K108" s="25"/>
      <c r="L108" s="25">
        <v>5012</v>
      </c>
      <c r="M108" s="25">
        <v>5721</v>
      </c>
      <c r="N108" s="25">
        <v>6478</v>
      </c>
      <c r="O108" s="20">
        <v>50</v>
      </c>
      <c r="P108" s="1">
        <f>Tabla1[[#This Row],[Noche]]-Tabla1[[#This Row],[Mañana ]]</f>
        <v>1466</v>
      </c>
      <c r="Q108" s="58"/>
      <c r="R108" s="21">
        <f t="shared" si="3"/>
        <v>0</v>
      </c>
      <c r="S108" s="22">
        <f>Tabla1[[#This Row],[Merma Salas A &amp; B2]]*1000/Tabla1[[#This Row],[Peso gr.]]</f>
        <v>0</v>
      </c>
      <c r="T108" s="52"/>
      <c r="U108" s="24">
        <f>Tabla1[[#This Row],[Total piezas NOK]]/Tabla1[[#This Row],[Cant. Fabricada (uds)]]</f>
        <v>0</v>
      </c>
    </row>
    <row r="109" spans="1:22" x14ac:dyDescent="0.3">
      <c r="A109" s="43">
        <v>44505</v>
      </c>
      <c r="B109" s="20" t="s">
        <v>765</v>
      </c>
      <c r="C109" s="20">
        <v>1861</v>
      </c>
      <c r="D109" s="13" t="str">
        <f>VLOOKUP(C:C,'LListat referències'!A:B,2,FALSE)</f>
        <v>Tarro 50ml Standard 8 unitats</v>
      </c>
      <c r="E109" s="18" t="str">
        <f>VLOOKUP(C:C,'LListat referències'!A:D,4,FALSE)</f>
        <v>T022</v>
      </c>
      <c r="F109" s="49">
        <f>VLOOKUP(C:C,'LListat referències'!A:E,5,FALSE)</f>
        <v>92</v>
      </c>
      <c r="G109" s="49">
        <v>148</v>
      </c>
      <c r="H109" s="49">
        <v>8</v>
      </c>
      <c r="I109" s="75">
        <f>Tabla1[[#This Row],[Cant. Fabricada (uds)]]/Tabla1[[#This Row],[Cavidades]]*Tabla1[[#This Row],[Tiempo Ciclo]]/60/60</f>
        <v>0</v>
      </c>
      <c r="J109" s="1" t="s">
        <v>15</v>
      </c>
      <c r="K109" s="25"/>
      <c r="L109" s="25"/>
      <c r="M109" s="25"/>
      <c r="N109" s="25"/>
      <c r="O109" s="20">
        <v>40</v>
      </c>
      <c r="P109" s="1">
        <f>Tabla1[[#This Row],[Noche]]-Tabla1[[#This Row],[Mañana ]]</f>
        <v>0</v>
      </c>
      <c r="Q109" s="58"/>
      <c r="R109" s="21">
        <f t="shared" si="3"/>
        <v>0</v>
      </c>
      <c r="S109" s="22">
        <f>Tabla1[[#This Row],[Merma Salas A &amp; B2]]*1000/Tabla1[[#This Row],[Peso gr.]]</f>
        <v>0</v>
      </c>
      <c r="T109" s="52">
        <v>5</v>
      </c>
      <c r="U109" s="24" t="s">
        <v>842</v>
      </c>
      <c r="V109" s="19" t="s">
        <v>827</v>
      </c>
    </row>
    <row r="110" spans="1:22" x14ac:dyDescent="0.3">
      <c r="A110" s="43">
        <v>44505</v>
      </c>
      <c r="B110" s="20" t="s">
        <v>771</v>
      </c>
      <c r="C110" s="20" t="s">
        <v>615</v>
      </c>
      <c r="D110" s="13" t="str">
        <f>VLOOKUP(C:C,'LListat referències'!A:B,2,FALSE)</f>
        <v>Tarro 50ml Tinter Quadrat</v>
      </c>
      <c r="E110" s="18" t="str">
        <f>VLOOKUP(C:C,'LListat referències'!A:D,4,FALSE)</f>
        <v>T116</v>
      </c>
      <c r="F110" s="49">
        <f>VLOOKUP(C:C,'LListat referències'!A:E,5,FALSE)</f>
        <v>121.5</v>
      </c>
      <c r="G110" s="49">
        <v>126.1</v>
      </c>
      <c r="H110" s="49">
        <v>2</v>
      </c>
      <c r="I110" s="75">
        <f>Tabla1[[#This Row],[Cant. Fabricada (uds)]]/Tabla1[[#This Row],[Cavidades]]*Tabla1[[#This Row],[Tiempo Ciclo]]/60/60</f>
        <v>21.612138888888886</v>
      </c>
      <c r="J110" s="1" t="s">
        <v>8</v>
      </c>
      <c r="K110" s="25"/>
      <c r="L110" s="25">
        <v>7040</v>
      </c>
      <c r="M110" s="25">
        <v>7910</v>
      </c>
      <c r="N110" s="25">
        <v>8274</v>
      </c>
      <c r="O110" s="20">
        <v>30</v>
      </c>
      <c r="P110" s="1">
        <f>Tabla1[[#This Row],[Noche]]-Tabla1[[#This Row],[Mañana ]]</f>
        <v>1234</v>
      </c>
      <c r="Q110" s="58">
        <v>5</v>
      </c>
      <c r="R110" s="21">
        <f t="shared" si="3"/>
        <v>5</v>
      </c>
      <c r="S110" s="22">
        <f>Tabla1[[#This Row],[Merma Salas A &amp; B2]]*1000/Tabla1[[#This Row],[Peso gr.]]</f>
        <v>41.152263374485599</v>
      </c>
      <c r="T110" s="52"/>
      <c r="U110" s="24">
        <f>Tabla1[[#This Row],[Total piezas NOK]]/Tabla1[[#This Row],[Cant. Fabricada (uds)]]</f>
        <v>3.3348673723246028E-2</v>
      </c>
    </row>
    <row r="111" spans="1:22" x14ac:dyDescent="0.3">
      <c r="A111" s="43">
        <v>44505</v>
      </c>
      <c r="B111" s="20" t="s">
        <v>830</v>
      </c>
      <c r="C111" s="20" t="s">
        <v>12</v>
      </c>
      <c r="D111" s="13" t="str">
        <f>VLOOKUP(C:C,'LListat referències'!A:B,2,FALSE)</f>
        <v>Tapa 50 ml mar-mar prima</v>
      </c>
      <c r="E111" s="18" t="str">
        <f>VLOOKUP(C:C,'LListat referències'!A:D,4,FALSE)</f>
        <v>#24</v>
      </c>
      <c r="F111" s="49">
        <f>VLOOKUP(C:C,'LListat referències'!A:E,5,FALSE)</f>
        <v>20.86</v>
      </c>
      <c r="G111" s="49">
        <v>113.2</v>
      </c>
      <c r="H111" s="49">
        <v>4</v>
      </c>
      <c r="I111" s="75">
        <f>Tabla1[[#This Row],[Cant. Fabricada (uds)]]/Tabla1[[#This Row],[Cavidades]]*Tabla1[[#This Row],[Tiempo Ciclo]]/60/60</f>
        <v>50.020249999999997</v>
      </c>
      <c r="J111" s="1" t="s">
        <v>15</v>
      </c>
      <c r="K111" s="25"/>
      <c r="L111" s="25">
        <v>2454</v>
      </c>
      <c r="M111" s="25">
        <v>6977</v>
      </c>
      <c r="N111" s="25">
        <v>8817</v>
      </c>
      <c r="O111" s="20">
        <v>45</v>
      </c>
      <c r="P111" s="1">
        <f>Tabla1[[#This Row],[Noche]]-Tabla1[[#This Row],[Mañana ]]</f>
        <v>6363</v>
      </c>
      <c r="Q111" s="58">
        <v>0</v>
      </c>
      <c r="R111" s="21">
        <f t="shared" si="3"/>
        <v>0</v>
      </c>
      <c r="S111" s="22">
        <f>Tabla1[[#This Row],[Merma Salas A &amp; B2]]*1000/Tabla1[[#This Row],[Peso gr.]]</f>
        <v>0</v>
      </c>
      <c r="T111" s="52">
        <v>30</v>
      </c>
      <c r="U111" s="24">
        <f>Tabla1[[#This Row],[Total piezas NOK]]/Tabla1[[#This Row],[Cant. Fabricada (uds)]]</f>
        <v>0</v>
      </c>
      <c r="V111" s="19" t="s">
        <v>832</v>
      </c>
    </row>
    <row r="112" spans="1:22" x14ac:dyDescent="0.3">
      <c r="A112" s="43">
        <v>44505</v>
      </c>
      <c r="B112" s="20" t="s">
        <v>759</v>
      </c>
      <c r="C112" s="20" t="s">
        <v>513</v>
      </c>
      <c r="D112" s="13" t="str">
        <f>VLOOKUP(C:C,'LListat referències'!A:B,2,FALSE)</f>
        <v>Tarro 150 ml</v>
      </c>
      <c r="E112" s="18" t="str">
        <f>VLOOKUP(C:C,'LListat referències'!A:D,4,FALSE)</f>
        <v>T057</v>
      </c>
      <c r="F112" s="49">
        <f>VLOOKUP(C:C,'LListat referències'!A:E,5,FALSE)</f>
        <v>160</v>
      </c>
      <c r="G112" s="49">
        <v>109.1</v>
      </c>
      <c r="H112" s="49">
        <v>2</v>
      </c>
      <c r="I112" s="75">
        <f>Tabla1[[#This Row],[Cant. Fabricada (uds)]]/Tabla1[[#This Row],[Cavidades]]*Tabla1[[#This Row],[Tiempo Ciclo]]/60/60</f>
        <v>0</v>
      </c>
      <c r="J112" s="1" t="s">
        <v>8</v>
      </c>
      <c r="K112" s="25"/>
      <c r="L112" s="25"/>
      <c r="M112" s="25"/>
      <c r="N112" s="25"/>
      <c r="O112" s="20">
        <v>43</v>
      </c>
      <c r="P112" s="1">
        <f>Tabla1[[#This Row],[Noche]]-Tabla1[[#This Row],[Mañana ]]</f>
        <v>0</v>
      </c>
      <c r="Q112" s="58"/>
      <c r="R112" s="21">
        <f t="shared" si="3"/>
        <v>0</v>
      </c>
      <c r="S112" s="22">
        <f>Tabla1[[#This Row],[Merma Salas A &amp; B2]]*1000/Tabla1[[#This Row],[Peso gr.]]</f>
        <v>0</v>
      </c>
      <c r="T112" s="52">
        <v>2.5</v>
      </c>
      <c r="U112" s="24" t="s">
        <v>842</v>
      </c>
    </row>
    <row r="113" spans="1:22" x14ac:dyDescent="0.3">
      <c r="A113" s="43">
        <v>44505</v>
      </c>
      <c r="B113" s="20" t="s">
        <v>833</v>
      </c>
      <c r="C113" s="20" t="s">
        <v>478</v>
      </c>
      <c r="D113" s="13" t="str">
        <f>VLOOKUP(C:C,'LListat referències'!A:B,2,FALSE)</f>
        <v xml:space="preserve">Tarro 50 ml labiomar </v>
      </c>
      <c r="E113" s="18" t="str">
        <f>VLOOKUP(C:C,'LListat referències'!A:D,4,FALSE)</f>
        <v>T079</v>
      </c>
      <c r="F113" s="49">
        <f>VLOOKUP(C:C,'LListat referències'!A:E,5,FALSE)</f>
        <v>82.7</v>
      </c>
      <c r="G113" s="49">
        <v>105</v>
      </c>
      <c r="H113" s="49">
        <v>4</v>
      </c>
      <c r="I113" s="75">
        <f>Tabla1[[#This Row],[Cant. Fabricada (uds)]]/Tabla1[[#This Row],[Cavidades]]*Tabla1[[#This Row],[Tiempo Ciclo]]/60/60</f>
        <v>12.920833333333333</v>
      </c>
      <c r="J113" s="1" t="s">
        <v>15</v>
      </c>
      <c r="K113" s="25"/>
      <c r="L113" s="25">
        <v>244</v>
      </c>
      <c r="M113" s="25">
        <v>1184</v>
      </c>
      <c r="N113" s="25">
        <v>2016</v>
      </c>
      <c r="O113" s="20">
        <v>44</v>
      </c>
      <c r="P113" s="1">
        <f>Tabla1[[#This Row],[Noche]]-Tabla1[[#This Row],[Mañana ]]</f>
        <v>1772</v>
      </c>
      <c r="Q113" s="58"/>
      <c r="R113" s="21">
        <f t="shared" si="3"/>
        <v>0</v>
      </c>
      <c r="S113" s="22">
        <f>Tabla1[[#This Row],[Merma Salas A &amp; B2]]*1000/Tabla1[[#This Row],[Peso gr.]]</f>
        <v>0</v>
      </c>
      <c r="T113" s="52">
        <v>100</v>
      </c>
      <c r="U113" s="24">
        <f>Tabla1[[#This Row],[Total piezas NOK]]/Tabla1[[#This Row],[Cant. Fabricada (uds)]]</f>
        <v>0</v>
      </c>
      <c r="V113" s="19" t="s">
        <v>834</v>
      </c>
    </row>
    <row r="114" spans="1:22" x14ac:dyDescent="0.3">
      <c r="A114" s="43">
        <v>44505</v>
      </c>
      <c r="B114" s="20" t="s">
        <v>756</v>
      </c>
      <c r="C114" s="20" t="s">
        <v>644</v>
      </c>
      <c r="D114" s="13" t="str">
        <f>VLOOKUP(C:C,'LListat referències'!A:B,2,FALSE)</f>
        <v>Tarro 200ml Quadrat estret (Tapa Rodona)</v>
      </c>
      <c r="E114" s="18">
        <f>VLOOKUP(C:C,'LListat referències'!A:D,4,FALSE)</f>
        <v>0</v>
      </c>
      <c r="F114" s="49">
        <f>VLOOKUP(C:C,'LListat referències'!A:E,5,FALSE)</f>
        <v>220.84</v>
      </c>
      <c r="G114" s="49">
        <v>122.41</v>
      </c>
      <c r="H114" s="49">
        <v>1</v>
      </c>
      <c r="I114" s="75">
        <f>Tabla1[[#This Row],[Cant. Fabricada (uds)]]/Tabla1[[#This Row],[Cavidades]]*Tabla1[[#This Row],[Tiempo Ciclo]]/60/60</f>
        <v>22.577844444444441</v>
      </c>
      <c r="J114" s="1" t="s">
        <v>7</v>
      </c>
      <c r="K114" s="25"/>
      <c r="L114" s="25">
        <v>19598</v>
      </c>
      <c r="M114" s="25">
        <v>20063</v>
      </c>
      <c r="N114" s="25">
        <v>20262</v>
      </c>
      <c r="O114" s="20">
        <v>41</v>
      </c>
      <c r="P114" s="1">
        <f>Tabla1[[#This Row],[Noche]]-Tabla1[[#This Row],[Mañana ]]</f>
        <v>664</v>
      </c>
      <c r="Q114" s="58"/>
      <c r="R114" s="21">
        <f t="shared" si="3"/>
        <v>0</v>
      </c>
      <c r="S114" s="22">
        <f>Tabla1[[#This Row],[Merma Salas A &amp; B2]]*1000/Tabla1[[#This Row],[Peso gr.]]</f>
        <v>0</v>
      </c>
      <c r="T114" s="52"/>
      <c r="U114" s="24">
        <f>Tabla1[[#This Row],[Total piezas NOK]]/Tabla1[[#This Row],[Cant. Fabricada (uds)]]</f>
        <v>0</v>
      </c>
    </row>
    <row r="115" spans="1:22" x14ac:dyDescent="0.3">
      <c r="A115" s="43">
        <v>44505</v>
      </c>
      <c r="B115" s="20" t="s">
        <v>772</v>
      </c>
      <c r="C115" s="20">
        <v>1897</v>
      </c>
      <c r="D115" s="13" t="str">
        <f>VLOOKUP(C:C,'LListat referències'!A:B,2,FALSE)</f>
        <v>Tapa 50 cc mar mar (6 unit)</v>
      </c>
      <c r="E115" s="18" t="str">
        <f>VLOOKUP(C:C,'LListat referències'!A:D,4,FALSE)</f>
        <v>#6(50 ml)</v>
      </c>
      <c r="F115" s="49">
        <f>VLOOKUP(C:C,'LListat referències'!A:E,5,FALSE)</f>
        <v>32</v>
      </c>
      <c r="G115" s="49">
        <v>81.709999999999994</v>
      </c>
      <c r="H115" s="49">
        <v>6</v>
      </c>
      <c r="I115" s="75">
        <f>Tabla1[[#This Row],[Cant. Fabricada (uds)]]/Tabla1[[#This Row],[Cavidades]]*Tabla1[[#This Row],[Tiempo Ciclo]]/60/60</f>
        <v>22.265975000000001</v>
      </c>
      <c r="J115" s="1" t="s">
        <v>8</v>
      </c>
      <c r="K115" s="25"/>
      <c r="L115" s="25">
        <v>28722</v>
      </c>
      <c r="M115" s="25">
        <v>32904</v>
      </c>
      <c r="N115" s="25">
        <v>34608</v>
      </c>
      <c r="O115" s="20">
        <v>52</v>
      </c>
      <c r="P115" s="1">
        <f>Tabla1[[#This Row],[Noche]]-Tabla1[[#This Row],[Mañana ]]</f>
        <v>5886</v>
      </c>
      <c r="Q115" s="58"/>
      <c r="R115" s="21">
        <f t="shared" si="3"/>
        <v>0</v>
      </c>
      <c r="S115" s="22">
        <f>Tabla1[[#This Row],[Merma Salas A &amp; B2]]*1000/Tabla1[[#This Row],[Peso gr.]]</f>
        <v>0</v>
      </c>
      <c r="T115" s="52"/>
      <c r="U115" s="24">
        <f>Tabla1[[#This Row],[Total piezas NOK]]/Tabla1[[#This Row],[Cant. Fabricada (uds)]]</f>
        <v>0</v>
      </c>
    </row>
    <row r="116" spans="1:22" x14ac:dyDescent="0.3">
      <c r="A116" s="43">
        <v>44505</v>
      </c>
      <c r="B116" s="20" t="s">
        <v>799</v>
      </c>
      <c r="C116" s="20" t="s">
        <v>684</v>
      </c>
      <c r="D116" s="13" t="str">
        <f>VLOOKUP(C:C,'LListat referències'!A:B,2,FALSE)</f>
        <v>Obturador 50 ml</v>
      </c>
      <c r="E116" s="18" t="str">
        <f>VLOOKUP(C:C,'LListat referències'!A:D,4,FALSE)</f>
        <v/>
      </c>
      <c r="F116" s="49">
        <f>VLOOKUP(C:C,'LListat referències'!A:E,5,FALSE)</f>
        <v>1.88</v>
      </c>
      <c r="G116" s="49">
        <v>16.29</v>
      </c>
      <c r="H116" s="49">
        <v>2</v>
      </c>
      <c r="I116" s="75">
        <f>Tabla1[[#This Row],[Cant. Fabricada (uds)]]/Tabla1[[#This Row],[Cavidades]]*Tabla1[[#This Row],[Tiempo Ciclo]]/60/60</f>
        <v>12.629275</v>
      </c>
      <c r="J116" s="1" t="s">
        <v>797</v>
      </c>
      <c r="K116" s="25"/>
      <c r="L116" s="25">
        <v>27220</v>
      </c>
      <c r="M116" s="25">
        <v>30204</v>
      </c>
      <c r="N116" s="25">
        <v>32802</v>
      </c>
      <c r="O116" s="20">
        <v>46</v>
      </c>
      <c r="P116" s="1">
        <f>Tabla1[[#This Row],[Noche]]-Tabla1[[#This Row],[Mañana ]]</f>
        <v>5582</v>
      </c>
      <c r="Q116" s="58">
        <v>0</v>
      </c>
      <c r="R116" s="21">
        <f t="shared" si="3"/>
        <v>0</v>
      </c>
      <c r="S116" s="22">
        <f>Tabla1[[#This Row],[Merma Salas A &amp; B2]]*1000/Tabla1[[#This Row],[Peso gr.]]</f>
        <v>0</v>
      </c>
      <c r="T116" s="52"/>
      <c r="U116" s="24">
        <f>Tabla1[[#This Row],[Total piezas NOK]]/Tabla1[[#This Row],[Cant. Fabricada (uds)]]</f>
        <v>0</v>
      </c>
    </row>
    <row r="117" spans="1:22" x14ac:dyDescent="0.3">
      <c r="A117" s="43">
        <v>44505</v>
      </c>
      <c r="B117" s="20" t="s">
        <v>759</v>
      </c>
      <c r="C117" s="20" t="s">
        <v>513</v>
      </c>
      <c r="D117" s="13" t="str">
        <f>VLOOKUP(C:C,'LListat referències'!A:B,2,FALSE)</f>
        <v>Tarro 150 ml</v>
      </c>
      <c r="E117" s="18" t="str">
        <f>VLOOKUP(C:C,'LListat referències'!A:D,4,FALSE)</f>
        <v>T057</v>
      </c>
      <c r="F117" s="49">
        <f>VLOOKUP(C:C,'LListat referències'!A:E,5,FALSE)</f>
        <v>160</v>
      </c>
      <c r="G117" s="49">
        <v>109.1</v>
      </c>
      <c r="H117" s="49">
        <v>2</v>
      </c>
      <c r="I117" s="75">
        <f>Tabla1[[#This Row],[Cant. Fabricada (uds)]]/Tabla1[[#This Row],[Cavidades]]*Tabla1[[#This Row],[Tiempo Ciclo]]/60/60</f>
        <v>2.0910833333333332</v>
      </c>
      <c r="J117" s="1" t="s">
        <v>15</v>
      </c>
      <c r="K117" s="25"/>
      <c r="L117" s="25">
        <v>25722</v>
      </c>
      <c r="M117" s="25">
        <v>25860</v>
      </c>
      <c r="N117" s="25">
        <v>25860</v>
      </c>
      <c r="O117" s="20">
        <v>43</v>
      </c>
      <c r="P117" s="1">
        <f>Tabla1[[#This Row],[Noche]]-Tabla1[[#This Row],[Mañana ]]</f>
        <v>138</v>
      </c>
      <c r="Q117" s="58"/>
      <c r="R117" s="21">
        <f t="shared" si="3"/>
        <v>0</v>
      </c>
      <c r="S117" s="22">
        <f>Tabla1[[#This Row],[Merma Salas A &amp; B2]]*1000/Tabla1[[#This Row],[Peso gr.]]</f>
        <v>0</v>
      </c>
      <c r="T117" s="52"/>
      <c r="U117" s="24">
        <f>Tabla1[[#This Row],[Total piezas NOK]]/Tabla1[[#This Row],[Cant. Fabricada (uds)]]</f>
        <v>0</v>
      </c>
    </row>
    <row r="118" spans="1:22" x14ac:dyDescent="0.3">
      <c r="A118" s="43">
        <v>44505</v>
      </c>
      <c r="B118" s="20" t="s">
        <v>882</v>
      </c>
      <c r="C118" s="20">
        <v>1207</v>
      </c>
      <c r="D118" s="13" t="str">
        <f>VLOOKUP(C:C,'LListat referències'!A:B,2,FALSE)</f>
        <v>Tap principia ovalat rosca gran</v>
      </c>
      <c r="E118" s="18" t="str">
        <f>VLOOKUP(C:C,'LListat referències'!A:D,4,FALSE)</f>
        <v/>
      </c>
      <c r="F118" s="49">
        <f>VLOOKUP(C:C,'LListat referències'!A:E,5,FALSE)</f>
        <v>9</v>
      </c>
      <c r="G118" s="49">
        <v>22</v>
      </c>
      <c r="H118" s="49">
        <v>3</v>
      </c>
      <c r="I118" s="75">
        <f>Tabla1[[#This Row],[Cant. Fabricada (uds)]]/Tabla1[[#This Row],[Cavidades]]*Tabla1[[#This Row],[Tiempo Ciclo]]/60/60</f>
        <v>2.6725925925925922</v>
      </c>
      <c r="J118" s="1" t="s">
        <v>797</v>
      </c>
      <c r="K118" s="25"/>
      <c r="L118" s="25">
        <v>7222</v>
      </c>
      <c r="M118" s="25">
        <v>7881</v>
      </c>
      <c r="N118" s="25">
        <v>8534</v>
      </c>
      <c r="O118" s="20">
        <v>50</v>
      </c>
      <c r="P118" s="1">
        <f>Tabla1[[#This Row],[Noche]]-Tabla1[[#This Row],[Mañana ]]</f>
        <v>1312</v>
      </c>
      <c r="Q118" s="58"/>
      <c r="R118" s="21">
        <f t="shared" si="3"/>
        <v>0</v>
      </c>
      <c r="S118" s="22">
        <f>Tabla1[[#This Row],[Merma Salas A &amp; B2]]*1000/Tabla1[[#This Row],[Peso gr.]]</f>
        <v>0</v>
      </c>
      <c r="T118" s="52"/>
      <c r="U118" s="24">
        <f>Tabla1[[#This Row],[Total piezas NOK]]/Tabla1[[#This Row],[Cant. Fabricada (uds)]]</f>
        <v>0</v>
      </c>
    </row>
    <row r="119" spans="1:22" x14ac:dyDescent="0.3">
      <c r="A119" s="43">
        <v>44506</v>
      </c>
      <c r="B119" s="20" t="s">
        <v>767</v>
      </c>
      <c r="C119" s="20">
        <v>1790</v>
      </c>
      <c r="D119" s="13" t="str">
        <f>VLOOKUP(C:C,'LListat referències'!A:B,2,FALSE)</f>
        <v>Tarro 100ml</v>
      </c>
      <c r="E119" s="18" t="str">
        <f>VLOOKUP(C:C,'LListat referències'!A:D,4,FALSE)</f>
        <v>T029</v>
      </c>
      <c r="F119" s="49">
        <f>VLOOKUP(C:C,'LListat referències'!A:E,5,FALSE)</f>
        <v>151</v>
      </c>
      <c r="G119" s="49">
        <v>122.41</v>
      </c>
      <c r="H119" s="49">
        <v>1</v>
      </c>
      <c r="I119" s="75">
        <f>Tabla1[[#This Row],[Cant. Fabricada (uds)]]/Tabla1[[#This Row],[Cavidades]]*Tabla1[[#This Row],[Tiempo Ciclo]]/60/60</f>
        <v>20.877705555555554</v>
      </c>
      <c r="J119" s="1" t="s">
        <v>7</v>
      </c>
      <c r="K119" s="25"/>
      <c r="L119" s="25">
        <v>5109</v>
      </c>
      <c r="M119" s="25">
        <v>5532</v>
      </c>
      <c r="N119" s="25">
        <v>5723</v>
      </c>
      <c r="O119" s="20">
        <v>41</v>
      </c>
      <c r="P119" s="1">
        <f>Tabla1[[#This Row],[Noche]]-Tabla1[[#This Row],[Mañana ]]</f>
        <v>614</v>
      </c>
      <c r="Q119" s="58"/>
      <c r="R119" s="21">
        <f t="shared" si="3"/>
        <v>0</v>
      </c>
      <c r="S119" s="22">
        <f>Tabla1[[#This Row],[Merma Salas A &amp; B2]]*1000/Tabla1[[#This Row],[Peso gr.]]</f>
        <v>0</v>
      </c>
      <c r="T119" s="52"/>
      <c r="U119" s="24">
        <f>Tabla1[[#This Row],[Total piezas NOK]]/Tabla1[[#This Row],[Cant. Fabricada (uds)]]</f>
        <v>0</v>
      </c>
    </row>
    <row r="120" spans="1:22" x14ac:dyDescent="0.3">
      <c r="A120" s="43">
        <v>44508</v>
      </c>
      <c r="B120" s="20" t="s">
        <v>771</v>
      </c>
      <c r="C120" s="20" t="s">
        <v>615</v>
      </c>
      <c r="D120" s="13" t="str">
        <f>VLOOKUP(C:C,'LListat referències'!A:B,2,FALSE)</f>
        <v>Tarro 50ml Tinter Quadrat</v>
      </c>
      <c r="E120" s="18" t="str">
        <f>VLOOKUP(C:C,'LListat referències'!A:D,4,FALSE)</f>
        <v>T116</v>
      </c>
      <c r="F120" s="49">
        <f>VLOOKUP(C:C,'LListat referències'!A:E,5,FALSE)</f>
        <v>121.5</v>
      </c>
      <c r="G120" s="49">
        <v>126.1</v>
      </c>
      <c r="H120" s="49">
        <v>2</v>
      </c>
      <c r="I120" s="75">
        <f>Tabla1[[#This Row],[Cant. Fabricada (uds)]]/Tabla1[[#This Row],[Cavidades]]*Tabla1[[#This Row],[Tiempo Ciclo]]/60/60</f>
        <v>21.366944444444446</v>
      </c>
      <c r="J120" s="1" t="s">
        <v>8</v>
      </c>
      <c r="K120" s="25"/>
      <c r="L120" s="25">
        <v>8274</v>
      </c>
      <c r="M120" s="25">
        <v>9036</v>
      </c>
      <c r="N120" s="25">
        <v>9494</v>
      </c>
      <c r="O120" s="20">
        <v>30</v>
      </c>
      <c r="P120" s="1">
        <f>Tabla1[[#This Row],[Noche]]-Tabla1[[#This Row],[Mañana ]]</f>
        <v>1220</v>
      </c>
      <c r="Q120" s="58">
        <v>5</v>
      </c>
      <c r="R120" s="21">
        <f t="shared" si="3"/>
        <v>5</v>
      </c>
      <c r="S120" s="22">
        <f>Tabla1[[#This Row],[Merma Salas A &amp; B2]]*1000/Tabla1[[#This Row],[Peso gr.]]</f>
        <v>41.152263374485599</v>
      </c>
      <c r="T120" s="52"/>
      <c r="U120" s="24">
        <f>Tabla1[[#This Row],[Total piezas NOK]]/Tabla1[[#This Row],[Cant. Fabricada (uds)]]</f>
        <v>3.3731363421709508E-2</v>
      </c>
    </row>
    <row r="121" spans="1:22" x14ac:dyDescent="0.3">
      <c r="A121" s="43">
        <v>44508</v>
      </c>
      <c r="B121" s="20" t="s">
        <v>830</v>
      </c>
      <c r="C121" s="20" t="s">
        <v>12</v>
      </c>
      <c r="D121" s="13" t="str">
        <f>VLOOKUP(C:C,'LListat referències'!A:B,2,FALSE)</f>
        <v>Tapa 50 ml mar-mar prima</v>
      </c>
      <c r="E121" s="18" t="str">
        <f>VLOOKUP(C:C,'LListat referències'!A:D,4,FALSE)</f>
        <v>#24</v>
      </c>
      <c r="F121" s="49">
        <f>VLOOKUP(C:C,'LListat referències'!A:E,5,FALSE)</f>
        <v>20.86</v>
      </c>
      <c r="G121" s="49">
        <v>113.2</v>
      </c>
      <c r="H121" s="49">
        <v>4</v>
      </c>
      <c r="I121" s="75">
        <f>Tabla1[[#This Row],[Cant. Fabricada (uds)]]/Tabla1[[#This Row],[Cavidades]]*Tabla1[[#This Row],[Tiempo Ciclo]]/60/60</f>
        <v>50.940000000000005</v>
      </c>
      <c r="J121" s="1" t="s">
        <v>15</v>
      </c>
      <c r="K121" s="25"/>
      <c r="L121" s="25">
        <v>8817</v>
      </c>
      <c r="M121" s="25">
        <v>12885</v>
      </c>
      <c r="N121" s="25">
        <v>15297</v>
      </c>
      <c r="O121" s="20">
        <v>45</v>
      </c>
      <c r="P121" s="1">
        <f>Tabla1[[#This Row],[Noche]]-Tabla1[[#This Row],[Mañana ]]</f>
        <v>6480</v>
      </c>
      <c r="Q121" s="58">
        <v>15</v>
      </c>
      <c r="R121" s="21">
        <f t="shared" si="3"/>
        <v>15</v>
      </c>
      <c r="S121" s="22">
        <f>Tabla1[[#This Row],[Merma Salas A &amp; B2]]*1000/Tabla1[[#This Row],[Peso gr.]]</f>
        <v>719.07957813998087</v>
      </c>
      <c r="T121" s="52"/>
      <c r="U121" s="24">
        <f>Tabla1[[#This Row],[Total piezas NOK]]/Tabla1[[#This Row],[Cant. Fabricada (uds)]]</f>
        <v>0.11096907070061433</v>
      </c>
    </row>
    <row r="122" spans="1:22" x14ac:dyDescent="0.3">
      <c r="A122" s="43">
        <v>44508</v>
      </c>
      <c r="B122" s="20" t="s">
        <v>833</v>
      </c>
      <c r="C122" s="20" t="s">
        <v>478</v>
      </c>
      <c r="D122" s="13" t="str">
        <f>VLOOKUP(C:C,'LListat referències'!A:B,2,FALSE)</f>
        <v xml:space="preserve">Tarro 50 ml labiomar </v>
      </c>
      <c r="E122" s="18" t="str">
        <f>VLOOKUP(C:C,'LListat referències'!A:D,4,FALSE)</f>
        <v>T079</v>
      </c>
      <c r="F122" s="49">
        <f>VLOOKUP(C:C,'LListat referències'!A:E,5,FALSE)</f>
        <v>82.7</v>
      </c>
      <c r="G122" s="49">
        <v>105</v>
      </c>
      <c r="H122" s="49">
        <v>4</v>
      </c>
      <c r="I122" s="75">
        <f>Tabla1[[#This Row],[Cant. Fabricada (uds)]]/Tabla1[[#This Row],[Cavidades]]*Tabla1[[#This Row],[Tiempo Ciclo]]/60/60</f>
        <v>14.495833333333334</v>
      </c>
      <c r="J122" s="1" t="s">
        <v>15</v>
      </c>
      <c r="K122" s="25"/>
      <c r="L122" s="25">
        <v>2016</v>
      </c>
      <c r="M122" s="25">
        <v>3209</v>
      </c>
      <c r="N122" s="25">
        <v>4004</v>
      </c>
      <c r="O122" s="20">
        <v>44</v>
      </c>
      <c r="P122" s="1">
        <f>Tabla1[[#This Row],[Noche]]-Tabla1[[#This Row],[Mañana ]]</f>
        <v>1988</v>
      </c>
      <c r="Q122" s="58"/>
      <c r="R122" s="21">
        <f t="shared" si="3"/>
        <v>0</v>
      </c>
      <c r="S122" s="22">
        <f>Tabla1[[#This Row],[Merma Salas A &amp; B2]]*1000/Tabla1[[#This Row],[Peso gr.]]</f>
        <v>0</v>
      </c>
      <c r="T122" s="52"/>
      <c r="U122" s="24">
        <f>Tabla1[[#This Row],[Total piezas NOK]]/Tabla1[[#This Row],[Cant. Fabricada (uds)]]</f>
        <v>0</v>
      </c>
    </row>
    <row r="123" spans="1:22" x14ac:dyDescent="0.3">
      <c r="A123" s="43">
        <v>44508</v>
      </c>
      <c r="B123" s="20" t="s">
        <v>756</v>
      </c>
      <c r="C123" s="20" t="s">
        <v>644</v>
      </c>
      <c r="D123" s="13" t="str">
        <f>VLOOKUP(C:C,'LListat referències'!A:B,2,FALSE)</f>
        <v>Tarro 200ml Quadrat estret (Tapa Rodona)</v>
      </c>
      <c r="E123" s="18">
        <f>VLOOKUP(C:C,'LListat referències'!A:D,4,FALSE)</f>
        <v>0</v>
      </c>
      <c r="F123" s="49">
        <f>VLOOKUP(C:C,'LListat referències'!A:E,5,FALSE)</f>
        <v>220.84</v>
      </c>
      <c r="G123" s="49">
        <v>122.41</v>
      </c>
      <c r="H123" s="49">
        <v>1</v>
      </c>
      <c r="I123" s="75">
        <f>Tabla1[[#This Row],[Cant. Fabricada (uds)]]/Tabla1[[#This Row],[Cavidades]]*Tabla1[[#This Row],[Tiempo Ciclo]]/60/60</f>
        <v>22.577844444444441</v>
      </c>
      <c r="J123" s="1" t="s">
        <v>7</v>
      </c>
      <c r="K123" s="25"/>
      <c r="L123" s="25">
        <v>20262</v>
      </c>
      <c r="M123" s="25">
        <v>20691</v>
      </c>
      <c r="N123" s="25">
        <v>20926</v>
      </c>
      <c r="O123" s="20">
        <v>41</v>
      </c>
      <c r="P123" s="1">
        <f>Tabla1[[#This Row],[Noche]]-Tabla1[[#This Row],[Mañana ]]</f>
        <v>664</v>
      </c>
      <c r="Q123" s="58"/>
      <c r="R123" s="21">
        <f t="shared" si="3"/>
        <v>0</v>
      </c>
      <c r="S123" s="22">
        <f>Tabla1[[#This Row],[Merma Salas A &amp; B2]]*1000/Tabla1[[#This Row],[Peso gr.]]</f>
        <v>0</v>
      </c>
      <c r="T123" s="52"/>
      <c r="U123" s="24">
        <f>Tabla1[[#This Row],[Total piezas NOK]]/Tabla1[[#This Row],[Cant. Fabricada (uds)]]</f>
        <v>0</v>
      </c>
    </row>
    <row r="124" spans="1:22" x14ac:dyDescent="0.3">
      <c r="A124" s="43">
        <v>44508</v>
      </c>
      <c r="B124" s="20" t="s">
        <v>767</v>
      </c>
      <c r="C124" s="20">
        <v>1790</v>
      </c>
      <c r="D124" s="13" t="str">
        <f>VLOOKUP(C:C,'LListat referències'!A:B,2,FALSE)</f>
        <v>Tarro 100ml</v>
      </c>
      <c r="E124" s="18" t="str">
        <f>VLOOKUP(C:C,'LListat referències'!A:D,4,FALSE)</f>
        <v>T029</v>
      </c>
      <c r="F124" s="49">
        <f>VLOOKUP(C:C,'LListat referències'!A:E,5,FALSE)</f>
        <v>151</v>
      </c>
      <c r="G124" s="49">
        <v>122.41</v>
      </c>
      <c r="H124" s="49">
        <v>1</v>
      </c>
      <c r="I124" s="75">
        <f>Tabla1[[#This Row],[Cant. Fabricada (uds)]]/Tabla1[[#This Row],[Cavidades]]*Tabla1[[#This Row],[Tiempo Ciclo]]/60/60</f>
        <v>20.91170833333333</v>
      </c>
      <c r="J124" s="1" t="s">
        <v>7</v>
      </c>
      <c r="K124" s="25"/>
      <c r="L124" s="25">
        <v>5723</v>
      </c>
      <c r="M124" s="25">
        <v>6113</v>
      </c>
      <c r="N124" s="25">
        <v>6338</v>
      </c>
      <c r="O124" s="20">
        <v>41</v>
      </c>
      <c r="P124" s="1">
        <f>Tabla1[[#This Row],[Noche]]-Tabla1[[#This Row],[Mañana ]]</f>
        <v>615</v>
      </c>
      <c r="Q124" s="58"/>
      <c r="R124" s="21">
        <f t="shared" si="3"/>
        <v>0</v>
      </c>
      <c r="S124" s="22">
        <f>Tabla1[[#This Row],[Merma Salas A &amp; B2]]*1000/Tabla1[[#This Row],[Peso gr.]]</f>
        <v>0</v>
      </c>
      <c r="T124" s="52"/>
      <c r="U124" s="24">
        <f>Tabla1[[#This Row],[Total piezas NOK]]/Tabla1[[#This Row],[Cant. Fabricada (uds)]]</f>
        <v>0</v>
      </c>
    </row>
    <row r="125" spans="1:22" x14ac:dyDescent="0.3">
      <c r="A125" s="43">
        <v>44508</v>
      </c>
      <c r="B125" s="20" t="s">
        <v>835</v>
      </c>
      <c r="C125" s="20">
        <v>1897</v>
      </c>
      <c r="D125" s="13" t="str">
        <f>VLOOKUP(C:C,'LListat referències'!A:B,2,FALSE)</f>
        <v>Tapa 50 cc mar mar (6 unit)</v>
      </c>
      <c r="E125" s="18" t="str">
        <f>VLOOKUP(C:C,'LListat referències'!A:D,4,FALSE)</f>
        <v>#6(50 ml)</v>
      </c>
      <c r="F125" s="49">
        <f>VLOOKUP(C:C,'LListat referències'!A:E,5,FALSE)</f>
        <v>32</v>
      </c>
      <c r="G125" s="49">
        <v>122.41</v>
      </c>
      <c r="H125" s="49">
        <v>1</v>
      </c>
      <c r="I125" s="75">
        <f>Tabla1[[#This Row],[Cant. Fabricada (uds)]]/Tabla1[[#This Row],[Cavidades]]*Tabla1[[#This Row],[Tiempo Ciclo]]/60/60</f>
        <v>195.03993333333335</v>
      </c>
      <c r="J125" s="1" t="s">
        <v>7</v>
      </c>
      <c r="K125" s="25"/>
      <c r="L125" s="25">
        <v>34608</v>
      </c>
      <c r="M125" s="25">
        <v>38208</v>
      </c>
      <c r="N125" s="25">
        <v>40344</v>
      </c>
      <c r="O125" s="20">
        <v>41</v>
      </c>
      <c r="P125" s="1">
        <f>Tabla1[[#This Row],[Noche]]-Tabla1[[#This Row],[Mañana ]]</f>
        <v>5736</v>
      </c>
      <c r="Q125" s="58"/>
      <c r="R125" s="21">
        <f t="shared" si="3"/>
        <v>0</v>
      </c>
      <c r="S125" s="22">
        <f>Tabla1[[#This Row],[Merma Salas A &amp; B2]]*1000/Tabla1[[#This Row],[Peso gr.]]</f>
        <v>0</v>
      </c>
      <c r="T125" s="52"/>
      <c r="U125" s="24">
        <f>Tabla1[[#This Row],[Total piezas NOK]]/Tabla1[[#This Row],[Cant. Fabricada (uds)]]</f>
        <v>0</v>
      </c>
    </row>
    <row r="126" spans="1:22" x14ac:dyDescent="0.3">
      <c r="A126" s="43">
        <v>44508</v>
      </c>
      <c r="B126" s="20" t="s">
        <v>756</v>
      </c>
      <c r="C126" s="20" t="s">
        <v>644</v>
      </c>
      <c r="D126" s="13" t="str">
        <f>VLOOKUP(C:C,'LListat referències'!A:B,2,FALSE)</f>
        <v>Tarro 200ml Quadrat estret (Tapa Rodona)</v>
      </c>
      <c r="E126" s="18">
        <f>VLOOKUP(C:C,'LListat referències'!A:D,4,FALSE)</f>
        <v>0</v>
      </c>
      <c r="F126" s="49">
        <f>VLOOKUP(C:C,'LListat referències'!A:E,5,FALSE)</f>
        <v>220.84</v>
      </c>
      <c r="G126" s="49">
        <v>122.41</v>
      </c>
      <c r="H126" s="49">
        <v>1</v>
      </c>
      <c r="I126" s="75">
        <f>Tabla1[[#This Row],[Cant. Fabricada (uds)]]/Tabla1[[#This Row],[Cavidades]]*Tabla1[[#This Row],[Tiempo Ciclo]]/60/60</f>
        <v>22.679852777777779</v>
      </c>
      <c r="J126" s="1" t="s">
        <v>7</v>
      </c>
      <c r="K126" s="25"/>
      <c r="L126" s="25">
        <v>20960</v>
      </c>
      <c r="M126" s="25">
        <v>21392</v>
      </c>
      <c r="N126" s="25">
        <v>21627</v>
      </c>
      <c r="O126" s="20">
        <v>41</v>
      </c>
      <c r="P126" s="1">
        <f>Tabla1[[#This Row],[Noche]]-Tabla1[[#This Row],[Mañana ]]</f>
        <v>667</v>
      </c>
      <c r="Q126" s="58">
        <v>10</v>
      </c>
      <c r="R126" s="21">
        <f t="shared" si="3"/>
        <v>10</v>
      </c>
      <c r="S126" s="22">
        <f>Tabla1[[#This Row],[Merma Salas A &amp; B2]]*1000/Tabla1[[#This Row],[Peso gr.]]</f>
        <v>45.28165187466039</v>
      </c>
      <c r="T126" s="52"/>
      <c r="U126" s="24">
        <f>Tabla1[[#This Row],[Total piezas NOK]]/Tabla1[[#This Row],[Cant. Fabricada (uds)]]</f>
        <v>6.7888533545217983E-2</v>
      </c>
    </row>
    <row r="127" spans="1:22" x14ac:dyDescent="0.3">
      <c r="A127" s="43">
        <v>44508</v>
      </c>
      <c r="B127" s="20" t="s">
        <v>772</v>
      </c>
      <c r="C127" s="20">
        <v>1897</v>
      </c>
      <c r="D127" s="13" t="str">
        <f>VLOOKUP(C:C,'LListat referències'!A:B,2,FALSE)</f>
        <v>Tapa 50 cc mar mar (6 unit)</v>
      </c>
      <c r="E127" s="18" t="str">
        <f>VLOOKUP(C:C,'LListat referències'!A:D,4,FALSE)</f>
        <v>#6(50 ml)</v>
      </c>
      <c r="F127" s="49">
        <f>VLOOKUP(C:C,'LListat referències'!A:E,5,FALSE)</f>
        <v>32</v>
      </c>
      <c r="G127" s="49">
        <v>81.709999999999994</v>
      </c>
      <c r="H127" s="49">
        <v>6</v>
      </c>
      <c r="I127" s="75">
        <f>Tabla1[[#This Row],[Cant. Fabricada (uds)]]/Tabla1[[#This Row],[Cavidades]]*Tabla1[[#This Row],[Tiempo Ciclo]]/60/60</f>
        <v>21.698544444444444</v>
      </c>
      <c r="J127" s="1" t="s">
        <v>8</v>
      </c>
      <c r="K127" s="25"/>
      <c r="L127" s="25">
        <v>34608</v>
      </c>
      <c r="M127" s="25">
        <v>28208</v>
      </c>
      <c r="N127" s="25">
        <v>40344</v>
      </c>
      <c r="O127" s="20">
        <v>52</v>
      </c>
      <c r="P127" s="1">
        <f>Tabla1[[#This Row],[Noche]]-Tabla1[[#This Row],[Mañana ]]</f>
        <v>5736</v>
      </c>
      <c r="Q127" s="58">
        <v>20</v>
      </c>
      <c r="R127" s="21">
        <f t="shared" si="3"/>
        <v>20</v>
      </c>
      <c r="S127" s="22">
        <f>Tabla1[[#This Row],[Merma Salas A &amp; B2]]*1000/Tabla1[[#This Row],[Peso gr.]]</f>
        <v>625</v>
      </c>
      <c r="T127" s="52"/>
      <c r="U127" s="24">
        <f>Tabla1[[#This Row],[Total piezas NOK]]/Tabla1[[#This Row],[Cant. Fabricada (uds)]]</f>
        <v>0.10896094839609484</v>
      </c>
    </row>
    <row r="128" spans="1:22" x14ac:dyDescent="0.3">
      <c r="A128" s="43">
        <v>44508</v>
      </c>
      <c r="B128" s="20" t="s">
        <v>836</v>
      </c>
      <c r="C128" s="20" t="s">
        <v>12</v>
      </c>
      <c r="D128" s="13" t="str">
        <f>VLOOKUP(C:C,'LListat referències'!A:B,2,FALSE)</f>
        <v>Tapa 50 ml mar-mar prima</v>
      </c>
      <c r="E128" s="18" t="str">
        <f>VLOOKUP(C:C,'LListat referències'!A:D,4,FALSE)</f>
        <v>#24</v>
      </c>
      <c r="F128" s="49">
        <f>VLOOKUP(C:C,'LListat referències'!A:E,5,FALSE)</f>
        <v>20.86</v>
      </c>
      <c r="G128" s="49">
        <v>113.2</v>
      </c>
      <c r="H128" s="49">
        <v>4</v>
      </c>
      <c r="I128" s="75">
        <f>Tabla1[[#This Row],[Cant. Fabricada (uds)]]/Tabla1[[#This Row],[Cavidades]]*Tabla1[[#This Row],[Tiempo Ciclo]]/60/60</f>
        <v>0</v>
      </c>
      <c r="J128" s="1" t="s">
        <v>15</v>
      </c>
      <c r="K128" s="25"/>
      <c r="L128" s="25"/>
      <c r="M128" s="25"/>
      <c r="N128" s="25"/>
      <c r="O128" s="20">
        <v>45</v>
      </c>
      <c r="P128" s="1">
        <f>Tabla1[[#This Row],[Noche]]-Tabla1[[#This Row],[Mañana ]]</f>
        <v>0</v>
      </c>
      <c r="Q128" s="58"/>
      <c r="R128" s="21">
        <f t="shared" si="3"/>
        <v>0</v>
      </c>
      <c r="S128" s="22">
        <f>Tabla1[[#This Row],[Merma Salas A &amp; B2]]*1000/Tabla1[[#This Row],[Peso gr.]]</f>
        <v>0</v>
      </c>
      <c r="T128" s="52">
        <v>30</v>
      </c>
      <c r="U128" s="24" t="s">
        <v>842</v>
      </c>
      <c r="V128" s="19" t="s">
        <v>837</v>
      </c>
    </row>
    <row r="129" spans="1:22" x14ac:dyDescent="0.3">
      <c r="A129" s="43">
        <v>44508</v>
      </c>
      <c r="B129" s="20" t="s">
        <v>767</v>
      </c>
      <c r="C129" s="20">
        <v>1790</v>
      </c>
      <c r="D129" s="13" t="str">
        <f>VLOOKUP(C:C,'LListat referències'!A:B,2,FALSE)</f>
        <v>Tarro 100ml</v>
      </c>
      <c r="E129" s="18" t="str">
        <f>VLOOKUP(C:C,'LListat referències'!A:D,4,FALSE)</f>
        <v>T029</v>
      </c>
      <c r="F129" s="49">
        <f>VLOOKUP(C:C,'LListat referències'!A:E,5,FALSE)</f>
        <v>151</v>
      </c>
      <c r="G129" s="49">
        <v>136.1</v>
      </c>
      <c r="H129" s="49">
        <v>2</v>
      </c>
      <c r="I129" s="75">
        <f>Tabla1[[#This Row],[Cant. Fabricada (uds)]]/Tabla1[[#This Row],[Cavidades]]*Tabla1[[#This Row],[Tiempo Ciclo]]/60/60</f>
        <v>35.575027777777777</v>
      </c>
      <c r="J129" s="1" t="s">
        <v>7</v>
      </c>
      <c r="K129" s="25"/>
      <c r="L129" s="25">
        <v>4456</v>
      </c>
      <c r="M129" s="25">
        <v>5911</v>
      </c>
      <c r="N129" s="25">
        <v>6338</v>
      </c>
      <c r="O129" s="20">
        <v>51</v>
      </c>
      <c r="P129" s="1">
        <f>Tabla1[[#This Row],[Noche]]-Tabla1[[#This Row],[Mañana ]]</f>
        <v>1882</v>
      </c>
      <c r="Q129" s="58">
        <v>1.5</v>
      </c>
      <c r="R129" s="21">
        <v>1.5</v>
      </c>
      <c r="S129" s="22">
        <f>Tabla1[[#This Row],[Merma Salas A &amp; B2]]*1000/Tabla1[[#This Row],[Peso gr.]]</f>
        <v>9.9337748344370862</v>
      </c>
      <c r="T129" s="52"/>
      <c r="U129" s="24">
        <f>Tabla1[[#This Row],[Total piezas NOK]]/Tabla1[[#This Row],[Cant. Fabricada (uds)]]</f>
        <v>5.2783075634628513E-3</v>
      </c>
    </row>
    <row r="130" spans="1:22" x14ac:dyDescent="0.3">
      <c r="A130" s="43">
        <v>44508</v>
      </c>
      <c r="B130" s="20" t="s">
        <v>853</v>
      </c>
      <c r="C130" s="20" t="s">
        <v>854</v>
      </c>
      <c r="D130" s="13" t="e">
        <f>VLOOKUP(C:C,'LListat referències'!A:B,2,FALSE)</f>
        <v>#N/A</v>
      </c>
      <c r="E130" s="18" t="e">
        <f>VLOOKUP(C:C,'LListat referències'!A:D,4,FALSE)</f>
        <v>#N/A</v>
      </c>
      <c r="F130" s="49">
        <v>20</v>
      </c>
      <c r="G130" s="49">
        <v>20.6</v>
      </c>
      <c r="H130" s="49">
        <v>2</v>
      </c>
      <c r="I130" s="75">
        <f>Tabla1[[#This Row],[Cant. Fabricada (uds)]]/Tabla1[[#This Row],[Cavidades]]*Tabla1[[#This Row],[Tiempo Ciclo]]/60/60</f>
        <v>10.156944444444443</v>
      </c>
      <c r="J130" s="1" t="s">
        <v>797</v>
      </c>
      <c r="K130" s="25"/>
      <c r="L130" s="25"/>
      <c r="M130" s="25">
        <v>1156</v>
      </c>
      <c r="N130" s="25">
        <v>3550</v>
      </c>
      <c r="O130" s="20">
        <v>49</v>
      </c>
      <c r="P130" s="1">
        <f>Tabla1[[#This Row],[Noche]]-Tabla1[[#This Row],[Mañana ]]</f>
        <v>3550</v>
      </c>
      <c r="Q130" s="58">
        <v>0</v>
      </c>
      <c r="R130" s="21">
        <f t="shared" ref="R130:R135" si="4">SUM(Q130:Q130)</f>
        <v>0</v>
      </c>
      <c r="S130" s="22">
        <f>Tabla1[[#This Row],[Merma Salas A &amp; B2]]*1000/Tabla1[[#This Row],[Peso gr.]]</f>
        <v>0</v>
      </c>
      <c r="T130" s="52"/>
      <c r="U130" s="24">
        <f>Tabla1[[#This Row],[Total piezas NOK]]/Tabla1[[#This Row],[Cant. Fabricada (uds)]]</f>
        <v>0</v>
      </c>
    </row>
    <row r="131" spans="1:22" x14ac:dyDescent="0.3">
      <c r="A131" s="43">
        <v>44508</v>
      </c>
      <c r="B131" s="20" t="s">
        <v>855</v>
      </c>
      <c r="C131" s="20" t="s">
        <v>414</v>
      </c>
      <c r="D131" s="13" t="str">
        <f>VLOOKUP(C:C,'LListat referències'!A:B,2,FALSE)</f>
        <v>Int. tapa 50 ml mar-mar prima</v>
      </c>
      <c r="E131" s="18" t="str">
        <f>VLOOKUP(C:C,'LListat referències'!A:D,4,FALSE)</f>
        <v/>
      </c>
      <c r="F131" s="49">
        <v>35</v>
      </c>
      <c r="G131" s="49">
        <v>31.52</v>
      </c>
      <c r="H131" s="49">
        <v>2</v>
      </c>
      <c r="I131" s="75">
        <f>Tabla1[[#This Row],[Cant. Fabricada (uds)]]/Tabla1[[#This Row],[Cavidades]]*Tabla1[[#This Row],[Tiempo Ciclo]]/60/60</f>
        <v>10.865644444444445</v>
      </c>
      <c r="J131" s="1" t="s">
        <v>797</v>
      </c>
      <c r="K131" s="25"/>
      <c r="L131" s="25">
        <v>0</v>
      </c>
      <c r="M131" s="25">
        <v>902</v>
      </c>
      <c r="N131" s="25">
        <v>2482</v>
      </c>
      <c r="O131" s="20">
        <v>48</v>
      </c>
      <c r="P131" s="1">
        <f>Tabla1[[#This Row],[Noche]]-Tabla1[[#This Row],[Mañana ]]</f>
        <v>2482</v>
      </c>
      <c r="Q131" s="58">
        <v>0</v>
      </c>
      <c r="R131" s="21">
        <f t="shared" si="4"/>
        <v>0</v>
      </c>
      <c r="S131" s="22">
        <f>Tabla1[[#This Row],[Merma Salas A &amp; B2]]*1000/Tabla1[[#This Row],[Peso gr.]]</f>
        <v>0</v>
      </c>
      <c r="T131" s="52"/>
      <c r="U131" s="24">
        <f>Tabla1[[#This Row],[Total piezas NOK]]/Tabla1[[#This Row],[Cant. Fabricada (uds)]]</f>
        <v>0</v>
      </c>
    </row>
    <row r="132" spans="1:22" x14ac:dyDescent="0.3">
      <c r="A132" s="43">
        <v>44508</v>
      </c>
      <c r="B132" s="20" t="s">
        <v>799</v>
      </c>
      <c r="C132" s="20" t="s">
        <v>684</v>
      </c>
      <c r="D132" s="13" t="str">
        <f>VLOOKUP(C:C,'LListat referències'!A:B,2,FALSE)</f>
        <v>Obturador 50 ml</v>
      </c>
      <c r="E132" s="18" t="str">
        <f>VLOOKUP(C:C,'LListat referències'!A:D,4,FALSE)</f>
        <v/>
      </c>
      <c r="F132" s="49">
        <f>VLOOKUP(C:C,'LListat referències'!A:E,5,FALSE)</f>
        <v>1.88</v>
      </c>
      <c r="G132" s="49">
        <v>16.29</v>
      </c>
      <c r="H132" s="49">
        <v>2</v>
      </c>
      <c r="I132" s="75">
        <f>Tabla1[[#This Row],[Cant. Fabricada (uds)]]/Tabla1[[#This Row],[Cavidades]]*Tabla1[[#This Row],[Tiempo Ciclo]]/60/60</f>
        <v>14.8058</v>
      </c>
      <c r="J132" s="1" t="s">
        <v>797</v>
      </c>
      <c r="K132" s="25"/>
      <c r="L132" s="25">
        <v>34440</v>
      </c>
      <c r="M132" s="25">
        <v>37548</v>
      </c>
      <c r="N132" s="25">
        <v>40984</v>
      </c>
      <c r="O132" s="20">
        <v>46</v>
      </c>
      <c r="P132" s="1">
        <f>Tabla1[[#This Row],[Noche]]-Tabla1[[#This Row],[Mañana ]]</f>
        <v>6544</v>
      </c>
      <c r="Q132" s="58">
        <v>0</v>
      </c>
      <c r="R132" s="21">
        <f t="shared" si="4"/>
        <v>0</v>
      </c>
      <c r="S132" s="22">
        <f>Tabla1[[#This Row],[Merma Salas A &amp; B2]]*1000/Tabla1[[#This Row],[Peso gr.]]</f>
        <v>0</v>
      </c>
      <c r="T132" s="52"/>
      <c r="U132" s="24">
        <f>Tabla1[[#This Row],[Total piezas NOK]]/Tabla1[[#This Row],[Cant. Fabricada (uds)]]</f>
        <v>0</v>
      </c>
    </row>
    <row r="133" spans="1:22" x14ac:dyDescent="0.3">
      <c r="A133" s="43">
        <v>44508</v>
      </c>
      <c r="B133" s="20" t="s">
        <v>877</v>
      </c>
      <c r="C133" s="20">
        <v>1810</v>
      </c>
      <c r="D133" s="13" t="str">
        <f>VLOOKUP(C:C,'LListat referències'!A:B,2,FALSE)</f>
        <v>Cubilet 200ml mónaco</v>
      </c>
      <c r="E133" s="18" t="str">
        <f>VLOOKUP(C:C,'LListat referències'!A:D,4,FALSE)</f>
        <v/>
      </c>
      <c r="F133" s="49">
        <f>VLOOKUP(C:C,'LListat referències'!A:E,5,FALSE)</f>
        <v>5.86</v>
      </c>
      <c r="G133" s="49">
        <v>23.38</v>
      </c>
      <c r="H133" s="49">
        <v>2</v>
      </c>
      <c r="I133" s="75">
        <f>Tabla1[[#This Row],[Cant. Fabricada (uds)]]/Tabla1[[#This Row],[Cavidades]]*Tabla1[[#This Row],[Tiempo Ciclo]]/60/60</f>
        <v>1.6236111111111111</v>
      </c>
      <c r="J133" s="1" t="s">
        <v>797</v>
      </c>
      <c r="K133" s="25"/>
      <c r="L133" s="25"/>
      <c r="M133" s="25"/>
      <c r="N133" s="25">
        <v>500</v>
      </c>
      <c r="O133" s="20">
        <v>24</v>
      </c>
      <c r="P133" s="1">
        <f>Tabla1[[#This Row],[Noche]]-Tabla1[[#This Row],[Mañana ]]</f>
        <v>500</v>
      </c>
      <c r="Q133" s="58"/>
      <c r="R133" s="21">
        <f t="shared" si="4"/>
        <v>0</v>
      </c>
      <c r="S133" s="22">
        <f>Tabla1[[#This Row],[Merma Salas A &amp; B2]]*1000/Tabla1[[#This Row],[Peso gr.]]</f>
        <v>0</v>
      </c>
      <c r="T133" s="52"/>
      <c r="U133" s="24">
        <f>Tabla1[[#This Row],[Total piezas NOK]]/Tabla1[[#This Row],[Cant. Fabricada (uds)]]</f>
        <v>0</v>
      </c>
    </row>
    <row r="134" spans="1:22" x14ac:dyDescent="0.3">
      <c r="A134" s="43">
        <v>44508</v>
      </c>
      <c r="B134" s="20" t="s">
        <v>882</v>
      </c>
      <c r="C134" s="20">
        <v>1207</v>
      </c>
      <c r="D134" s="13" t="str">
        <f>VLOOKUP(C:C,'LListat referències'!A:B,2,FALSE)</f>
        <v>Tap principia ovalat rosca gran</v>
      </c>
      <c r="E134" s="18" t="str">
        <f>VLOOKUP(C:C,'LListat referències'!A:D,4,FALSE)</f>
        <v/>
      </c>
      <c r="F134" s="49">
        <f>VLOOKUP(C:C,'LListat referències'!A:E,5,FALSE)</f>
        <v>9</v>
      </c>
      <c r="G134" s="49">
        <v>22</v>
      </c>
      <c r="H134" s="49">
        <v>3</v>
      </c>
      <c r="I134" s="75">
        <f>Tabla1[[#This Row],[Cant. Fabricada (uds)]]/Tabla1[[#This Row],[Cavidades]]*Tabla1[[#This Row],[Tiempo Ciclo]]/60/60</f>
        <v>2.8335185185185185</v>
      </c>
      <c r="J134" s="1" t="s">
        <v>797</v>
      </c>
      <c r="K134" s="25"/>
      <c r="L134" s="25">
        <v>9251</v>
      </c>
      <c r="M134" s="25">
        <v>9964</v>
      </c>
      <c r="N134" s="25">
        <v>10642</v>
      </c>
      <c r="O134" s="20">
        <v>50</v>
      </c>
      <c r="P134" s="1">
        <f>Tabla1[[#This Row],[Noche]]-Tabla1[[#This Row],[Mañana ]]</f>
        <v>1391</v>
      </c>
      <c r="Q134" s="58"/>
      <c r="R134" s="21">
        <f t="shared" si="4"/>
        <v>0</v>
      </c>
      <c r="S134" s="22">
        <f>Tabla1[[#This Row],[Merma Salas A &amp; B2]]*1000/Tabla1[[#This Row],[Peso gr.]]</f>
        <v>0</v>
      </c>
      <c r="T134" s="52"/>
      <c r="U134" s="24">
        <f>Tabla1[[#This Row],[Total piezas NOK]]/Tabla1[[#This Row],[Cant. Fabricada (uds)]]</f>
        <v>0</v>
      </c>
    </row>
    <row r="135" spans="1:22" x14ac:dyDescent="0.3">
      <c r="A135" s="43">
        <v>44509</v>
      </c>
      <c r="B135" s="20" t="s">
        <v>833</v>
      </c>
      <c r="C135" s="20" t="s">
        <v>478</v>
      </c>
      <c r="D135" s="13" t="str">
        <f>VLOOKUP(C:C,'LListat referències'!A:B,2,FALSE)</f>
        <v xml:space="preserve">Tarro 50 ml labiomar </v>
      </c>
      <c r="E135" s="18" t="str">
        <f>VLOOKUP(C:C,'LListat referències'!A:D,4,FALSE)</f>
        <v>T079</v>
      </c>
      <c r="F135" s="49">
        <f>VLOOKUP(C:C,'LListat referències'!A:E,5,FALSE)</f>
        <v>82.7</v>
      </c>
      <c r="G135" s="49">
        <v>105</v>
      </c>
      <c r="H135" s="49">
        <v>4</v>
      </c>
      <c r="I135" s="75">
        <f>Tabla1[[#This Row],[Cant. Fabricada (uds)]]/Tabla1[[#This Row],[Cavidades]]*Tabla1[[#This Row],[Tiempo Ciclo]]/60/60</f>
        <v>17.149999999999999</v>
      </c>
      <c r="J135" s="1" t="s">
        <v>15</v>
      </c>
      <c r="K135" s="25"/>
      <c r="L135" s="25">
        <v>4004</v>
      </c>
      <c r="M135" s="25">
        <v>5582</v>
      </c>
      <c r="N135" s="25">
        <v>6356</v>
      </c>
      <c r="O135" s="20">
        <v>44</v>
      </c>
      <c r="P135" s="1">
        <f>Tabla1[[#This Row],[Noche]]-Tabla1[[#This Row],[Mañana ]]</f>
        <v>2352</v>
      </c>
      <c r="Q135" s="58">
        <v>30</v>
      </c>
      <c r="R135" s="21">
        <f t="shared" si="4"/>
        <v>30</v>
      </c>
      <c r="S135" s="22">
        <f>Tabla1[[#This Row],[Merma Salas A &amp; B2]]*1000/Tabla1[[#This Row],[Peso gr.]]</f>
        <v>362.7569528415961</v>
      </c>
      <c r="T135" s="52"/>
      <c r="U135" s="24">
        <f>Tabla1[[#This Row],[Total piezas NOK]]/Tabla1[[#This Row],[Cant. Fabricada (uds)]]</f>
        <v>0.15423339831700514</v>
      </c>
      <c r="V135" s="19" t="s">
        <v>837</v>
      </c>
    </row>
    <row r="136" spans="1:22" x14ac:dyDescent="0.3">
      <c r="A136" s="43">
        <v>44509</v>
      </c>
      <c r="B136" s="20" t="s">
        <v>756</v>
      </c>
      <c r="C136" s="20" t="s">
        <v>644</v>
      </c>
      <c r="D136" s="13" t="str">
        <f>VLOOKUP(C:C,'LListat referències'!A:B,2,FALSE)</f>
        <v>Tarro 200ml Quadrat estret (Tapa Rodona)</v>
      </c>
      <c r="E136" s="18">
        <f>VLOOKUP(C:C,'LListat referències'!A:D,4,FALSE)</f>
        <v>0</v>
      </c>
      <c r="F136" s="49">
        <f>VLOOKUP(C:C,'LListat referències'!A:E,5,FALSE)</f>
        <v>220.84</v>
      </c>
      <c r="G136" s="49">
        <v>122.41</v>
      </c>
      <c r="H136" s="49">
        <v>1</v>
      </c>
      <c r="I136" s="75">
        <f>Tabla1[[#This Row],[Cant. Fabricada (uds)]]/Tabla1[[#This Row],[Cavidades]]*Tabla1[[#This Row],[Tiempo Ciclo]]/60/60</f>
        <v>23.733938888888886</v>
      </c>
      <c r="J136" s="1" t="s">
        <v>7</v>
      </c>
      <c r="K136" s="25"/>
      <c r="L136" s="25">
        <v>21627</v>
      </c>
      <c r="M136" s="25">
        <v>22089</v>
      </c>
      <c r="N136" s="25">
        <v>22325</v>
      </c>
      <c r="O136" s="20">
        <v>41</v>
      </c>
      <c r="P136" s="1">
        <f>Tabla1[[#This Row],[Noche]]-Tabla1[[#This Row],[Mañana ]]</f>
        <v>698</v>
      </c>
      <c r="Q136" s="58">
        <v>1</v>
      </c>
      <c r="R136" s="21">
        <v>1</v>
      </c>
      <c r="S136" s="22">
        <f>Tabla1[[#This Row],[Merma Salas A &amp; B2]]*1000/Tabla1[[#This Row],[Peso gr.]]</f>
        <v>4.5281651874660387</v>
      </c>
      <c r="T136" s="52"/>
      <c r="U136" s="24">
        <f>Tabla1[[#This Row],[Total piezas NOK]]/Tabla1[[#This Row],[Cant. Fabricada (uds)]]</f>
        <v>6.4873426754527772E-3</v>
      </c>
    </row>
    <row r="137" spans="1:22" x14ac:dyDescent="0.3">
      <c r="A137" s="43">
        <v>44509</v>
      </c>
      <c r="B137" s="20" t="s">
        <v>772</v>
      </c>
      <c r="C137" s="20">
        <v>1897</v>
      </c>
      <c r="D137" s="13" t="str">
        <f>VLOOKUP(C:C,'LListat referències'!A:B,2,FALSE)</f>
        <v>Tapa 50 cc mar mar (6 unit)</v>
      </c>
      <c r="E137" s="18" t="str">
        <f>VLOOKUP(C:C,'LListat referències'!A:D,4,FALSE)</f>
        <v>#6(50 ml)</v>
      </c>
      <c r="F137" s="49">
        <f>VLOOKUP(C:C,'LListat referències'!A:E,5,FALSE)</f>
        <v>32</v>
      </c>
      <c r="G137" s="49">
        <v>81.709999999999994</v>
      </c>
      <c r="H137" s="49">
        <v>6</v>
      </c>
      <c r="I137" s="75">
        <f>Tabla1[[#This Row],[Cant. Fabricada (uds)]]/Tabla1[[#This Row],[Cavidades]]*Tabla1[[#This Row],[Tiempo Ciclo]]/60/60</f>
        <v>18.316658333333336</v>
      </c>
      <c r="J137" s="1" t="s">
        <v>8</v>
      </c>
      <c r="K137" s="25"/>
      <c r="L137" s="25">
        <v>40344</v>
      </c>
      <c r="M137" s="25">
        <v>44562</v>
      </c>
      <c r="N137" s="25">
        <v>45186</v>
      </c>
      <c r="O137" s="20">
        <v>52</v>
      </c>
      <c r="P137" s="1">
        <f>Tabla1[[#This Row],[Noche]]-Tabla1[[#This Row],[Mañana ]]</f>
        <v>4842</v>
      </c>
      <c r="Q137" s="58">
        <v>2</v>
      </c>
      <c r="R137" s="21">
        <f t="shared" ref="R137:R200" si="5">SUM(Q137:Q137)</f>
        <v>2</v>
      </c>
      <c r="S137" s="22">
        <f>Tabla1[[#This Row],[Merma Salas A &amp; B2]]*1000/Tabla1[[#This Row],[Peso gr.]]</f>
        <v>62.5</v>
      </c>
      <c r="T137" s="52"/>
      <c r="U137" s="24">
        <f>Tabla1[[#This Row],[Total piezas NOK]]/Tabla1[[#This Row],[Cant. Fabricada (uds)]]</f>
        <v>1.2907889301941346E-2</v>
      </c>
    </row>
    <row r="138" spans="1:22" x14ac:dyDescent="0.3">
      <c r="A138" s="43">
        <v>44509</v>
      </c>
      <c r="B138" s="20" t="s">
        <v>833</v>
      </c>
      <c r="C138" s="20" t="s">
        <v>478</v>
      </c>
      <c r="D138" s="13" t="str">
        <f>VLOOKUP(C:C,'LListat referències'!A:B,2,FALSE)</f>
        <v xml:space="preserve">Tarro 50 ml labiomar </v>
      </c>
      <c r="E138" s="18" t="str">
        <f>VLOOKUP(C:C,'LListat referències'!A:D,4,FALSE)</f>
        <v>T079</v>
      </c>
      <c r="F138" s="49">
        <f>VLOOKUP(C:C,'LListat referències'!A:E,5,FALSE)</f>
        <v>82.7</v>
      </c>
      <c r="G138" s="49">
        <v>105</v>
      </c>
      <c r="H138" s="49">
        <v>4</v>
      </c>
      <c r="I138" s="75">
        <f>Tabla1[[#This Row],[Cant. Fabricada (uds)]]/Tabla1[[#This Row],[Cavidades]]*Tabla1[[#This Row],[Tiempo Ciclo]]/60/60</f>
        <v>9.625</v>
      </c>
      <c r="J138" s="1" t="s">
        <v>15</v>
      </c>
      <c r="K138" s="25"/>
      <c r="L138" s="25">
        <v>7211</v>
      </c>
      <c r="M138" s="25">
        <v>7715</v>
      </c>
      <c r="N138" s="25">
        <v>8531</v>
      </c>
      <c r="O138" s="20">
        <v>44</v>
      </c>
      <c r="P138" s="1">
        <f>Tabla1[[#This Row],[Noche]]-Tabla1[[#This Row],[Mañana ]]</f>
        <v>1320</v>
      </c>
      <c r="Q138" s="58">
        <v>5</v>
      </c>
      <c r="R138" s="21">
        <f t="shared" si="5"/>
        <v>5</v>
      </c>
      <c r="S138" s="22">
        <f>Tabla1[[#This Row],[Merma Salas A &amp; B2]]*1000/Tabla1[[#This Row],[Peso gr.]]</f>
        <v>60.459492140266022</v>
      </c>
      <c r="T138" s="52"/>
      <c r="U138" s="24">
        <f>Tabla1[[#This Row],[Total piezas NOK]]/Tabla1[[#This Row],[Cant. Fabricada (uds)]]</f>
        <v>4.5802645560807591E-2</v>
      </c>
    </row>
    <row r="139" spans="1:22" x14ac:dyDescent="0.3">
      <c r="A139" s="43">
        <v>44509</v>
      </c>
      <c r="B139" s="20" t="s">
        <v>830</v>
      </c>
      <c r="C139" s="20" t="s">
        <v>12</v>
      </c>
      <c r="D139" s="13" t="str">
        <f>VLOOKUP(C:C,'LListat referències'!A:B,2,FALSE)</f>
        <v>Tapa 50 ml mar-mar prima</v>
      </c>
      <c r="E139" s="18" t="str">
        <f>VLOOKUP(C:C,'LListat referències'!A:D,4,FALSE)</f>
        <v>#24</v>
      </c>
      <c r="F139" s="49">
        <f>VLOOKUP(C:C,'LListat referències'!A:E,5,FALSE)</f>
        <v>20.86</v>
      </c>
      <c r="G139" s="49">
        <v>113.2</v>
      </c>
      <c r="H139" s="49">
        <v>4</v>
      </c>
      <c r="I139" s="75">
        <f>Tabla1[[#This Row],[Cant. Fabricada (uds)]]/Tabla1[[#This Row],[Cavidades]]*Tabla1[[#This Row],[Tiempo Ciclo]]/60/60</f>
        <v>56.159777777777784</v>
      </c>
      <c r="J139" s="1" t="s">
        <v>15</v>
      </c>
      <c r="K139" s="25"/>
      <c r="L139" s="25">
        <v>15297</v>
      </c>
      <c r="M139" s="25">
        <v>20049</v>
      </c>
      <c r="N139" s="25">
        <v>22441</v>
      </c>
      <c r="O139" s="20">
        <v>45</v>
      </c>
      <c r="P139" s="1">
        <f>Tabla1[[#This Row],[Noche]]-Tabla1[[#This Row],[Mañana ]]</f>
        <v>7144</v>
      </c>
      <c r="Q139" s="58">
        <v>25</v>
      </c>
      <c r="R139" s="21">
        <f t="shared" si="5"/>
        <v>25</v>
      </c>
      <c r="S139" s="22">
        <f>Tabla1[[#This Row],[Merma Salas A &amp; B2]]*1000/Tabla1[[#This Row],[Peso gr.]]</f>
        <v>1198.4659635666346</v>
      </c>
      <c r="T139" s="52"/>
      <c r="U139" s="24">
        <f>Tabla1[[#This Row],[Total piezas NOK]]/Tabla1[[#This Row],[Cant. Fabricada (uds)]]</f>
        <v>0.16775839355635982</v>
      </c>
      <c r="V139" s="19" t="s">
        <v>845</v>
      </c>
    </row>
    <row r="140" spans="1:22" x14ac:dyDescent="0.3">
      <c r="A140" s="43">
        <v>44509</v>
      </c>
      <c r="B140" s="20" t="s">
        <v>767</v>
      </c>
      <c r="C140" s="20">
        <v>1790</v>
      </c>
      <c r="D140" s="13" t="str">
        <f>VLOOKUP(C:C,'LListat referències'!A:B,2,FALSE)</f>
        <v>Tarro 100ml</v>
      </c>
      <c r="E140" s="18" t="str">
        <f>VLOOKUP(C:C,'LListat referències'!A:D,4,FALSE)</f>
        <v>T029</v>
      </c>
      <c r="F140" s="49">
        <f>VLOOKUP(C:C,'LListat referències'!A:E,5,FALSE)</f>
        <v>151</v>
      </c>
      <c r="G140" s="49">
        <v>136.1</v>
      </c>
      <c r="H140" s="49">
        <v>2</v>
      </c>
      <c r="I140" s="75">
        <f>Tabla1[[#This Row],[Cant. Fabricada (uds)]]/Tabla1[[#This Row],[Cavidades]]*Tabla1[[#This Row],[Tiempo Ciclo]]/60/60</f>
        <v>3.8750694444444442</v>
      </c>
      <c r="J140" s="1" t="s">
        <v>7</v>
      </c>
      <c r="K140" s="25"/>
      <c r="L140" s="25">
        <v>6338</v>
      </c>
      <c r="M140" s="25">
        <v>0</v>
      </c>
      <c r="N140" s="25">
        <v>6543</v>
      </c>
      <c r="O140" s="20">
        <v>51</v>
      </c>
      <c r="P140" s="1">
        <f>Tabla1[[#This Row],[Noche]]-Tabla1[[#This Row],[Mañana ]]</f>
        <v>205</v>
      </c>
      <c r="Q140" s="58">
        <v>1</v>
      </c>
      <c r="R140" s="21">
        <f t="shared" si="5"/>
        <v>1</v>
      </c>
      <c r="S140" s="22">
        <f>Tabla1[[#This Row],[Merma Salas A &amp; B2]]*1000/Tabla1[[#This Row],[Peso gr.]]</f>
        <v>6.6225165562913908</v>
      </c>
      <c r="T140" s="52"/>
      <c r="U140" s="24">
        <f>Tabla1[[#This Row],[Total piezas NOK]]/Tabla1[[#This Row],[Cant. Fabricada (uds)]]</f>
        <v>3.2304958811177516E-2</v>
      </c>
    </row>
    <row r="141" spans="1:22" x14ac:dyDescent="0.3">
      <c r="A141" s="43">
        <v>44509</v>
      </c>
      <c r="B141" s="20" t="s">
        <v>753</v>
      </c>
      <c r="C141" s="20">
        <v>1945</v>
      </c>
      <c r="D141" s="13" t="str">
        <f>VLOOKUP(C:C,'LListat referències'!A:B,2,FALSE)</f>
        <v>Tarro 400 ml</v>
      </c>
      <c r="E141" s="18" t="str">
        <f>VLOOKUP(C:C,'LListat referències'!A:D,4,FALSE)</f>
        <v>T113</v>
      </c>
      <c r="F141" s="49">
        <f>VLOOKUP(C:C,'LListat referències'!A:E,5,FALSE)</f>
        <v>211</v>
      </c>
      <c r="G141" s="49">
        <v>102</v>
      </c>
      <c r="H141" s="49">
        <v>2</v>
      </c>
      <c r="I141" s="75">
        <f>Tabla1[[#This Row],[Cant. Fabricada (uds)]]/Tabla1[[#This Row],[Cavidades]]*Tabla1[[#This Row],[Tiempo Ciclo]]/60/60</f>
        <v>0</v>
      </c>
      <c r="J141" s="1" t="s">
        <v>15</v>
      </c>
      <c r="K141" s="25"/>
      <c r="L141" s="25">
        <v>0</v>
      </c>
      <c r="M141" s="25">
        <v>0</v>
      </c>
      <c r="N141" s="25">
        <v>0</v>
      </c>
      <c r="O141" s="20">
        <v>7</v>
      </c>
      <c r="P141" s="1">
        <f>Tabla1[[#This Row],[Noche]]-Tabla1[[#This Row],[Mañana ]]</f>
        <v>0</v>
      </c>
      <c r="Q141" s="58">
        <v>0</v>
      </c>
      <c r="R141" s="21">
        <f t="shared" si="5"/>
        <v>0</v>
      </c>
      <c r="S141" s="22">
        <f>Tabla1[[#This Row],[Merma Salas A &amp; B2]]*1000/Tabla1[[#This Row],[Peso gr.]]</f>
        <v>0</v>
      </c>
      <c r="T141" s="52">
        <v>105</v>
      </c>
      <c r="U141" s="24" t="s">
        <v>842</v>
      </c>
      <c r="V141" s="19" t="s">
        <v>838</v>
      </c>
    </row>
    <row r="142" spans="1:22" x14ac:dyDescent="0.3">
      <c r="A142" s="43">
        <v>44509</v>
      </c>
      <c r="B142" s="20" t="s">
        <v>839</v>
      </c>
      <c r="C142" s="20" t="s">
        <v>10</v>
      </c>
      <c r="D142" s="13" t="str">
        <f>VLOOKUP(C:C,'LListat referències'!A:B,2,FALSE)</f>
        <v xml:space="preserve">Tapa 100 ml prima </v>
      </c>
      <c r="E142" s="18" t="str">
        <f>VLOOKUP(C:C,'LListat referències'!A:D,4,FALSE)</f>
        <v>#26(100 ml)</v>
      </c>
      <c r="F142" s="49">
        <f>VLOOKUP(C:C,'LListat referències'!A:E,5,FALSE)</f>
        <v>30.3</v>
      </c>
      <c r="G142" s="49">
        <v>66.400000000000006</v>
      </c>
      <c r="H142" s="49">
        <v>4</v>
      </c>
      <c r="I142" s="75">
        <f>Tabla1[[#This Row],[Cant. Fabricada (uds)]]/Tabla1[[#This Row],[Cavidades]]*Tabla1[[#This Row],[Tiempo Ciclo]]/60/60</f>
        <v>14.460444444444446</v>
      </c>
      <c r="J142" s="1" t="s">
        <v>15</v>
      </c>
      <c r="K142" s="25"/>
      <c r="L142" s="25">
        <v>344</v>
      </c>
      <c r="M142" s="25">
        <v>2012</v>
      </c>
      <c r="N142" s="25">
        <v>3480</v>
      </c>
      <c r="O142" s="20">
        <v>38</v>
      </c>
      <c r="P142" s="1">
        <f>Tabla1[[#This Row],[Noche]]-Tabla1[[#This Row],[Mañana ]]</f>
        <v>3136</v>
      </c>
      <c r="Q142" s="58">
        <v>15</v>
      </c>
      <c r="R142" s="21">
        <f t="shared" si="5"/>
        <v>15</v>
      </c>
      <c r="S142" s="22">
        <f>Tabla1[[#This Row],[Merma Salas A &amp; B2]]*1000/Tabla1[[#This Row],[Peso gr.]]</f>
        <v>495.04950495049502</v>
      </c>
      <c r="T142" s="52"/>
      <c r="U142" s="24">
        <f>Tabla1[[#This Row],[Total piezas NOK]]/Tabla1[[#This Row],[Cant. Fabricada (uds)]]</f>
        <v>0.15786017377247927</v>
      </c>
      <c r="V142" s="19" t="s">
        <v>844</v>
      </c>
    </row>
    <row r="143" spans="1:22" x14ac:dyDescent="0.3">
      <c r="A143" s="43">
        <v>44509</v>
      </c>
      <c r="B143" s="20" t="s">
        <v>771</v>
      </c>
      <c r="C143" s="20" t="s">
        <v>615</v>
      </c>
      <c r="D143" s="13" t="str">
        <f>VLOOKUP(C:C,'LListat referències'!A:B,2,FALSE)</f>
        <v>Tarro 50ml Tinter Quadrat</v>
      </c>
      <c r="E143" s="18" t="str">
        <f>VLOOKUP(C:C,'LListat referències'!A:D,4,FALSE)</f>
        <v>T116</v>
      </c>
      <c r="F143" s="49">
        <f>VLOOKUP(C:C,'LListat referències'!A:E,5,FALSE)</f>
        <v>121.5</v>
      </c>
      <c r="G143" s="49">
        <v>126.1</v>
      </c>
      <c r="H143" s="49">
        <v>2</v>
      </c>
      <c r="I143" s="75">
        <f>Tabla1[[#This Row],[Cant. Fabricada (uds)]]/Tabla1[[#This Row],[Cavidades]]*Tabla1[[#This Row],[Tiempo Ciclo]]/60/60</f>
        <v>9.8778333333333332</v>
      </c>
      <c r="J143" s="20" t="s">
        <v>8</v>
      </c>
      <c r="K143" s="25"/>
      <c r="L143" s="25">
        <v>9936</v>
      </c>
      <c r="M143" s="25">
        <v>10322</v>
      </c>
      <c r="N143" s="25">
        <v>10500</v>
      </c>
      <c r="O143" s="20">
        <v>30</v>
      </c>
      <c r="P143" s="20">
        <f>Tabla1[[#This Row],[Noche]]-Tabla1[[#This Row],[Mañana ]]</f>
        <v>564</v>
      </c>
      <c r="Q143" s="59">
        <v>0</v>
      </c>
      <c r="R143" s="21">
        <f t="shared" si="5"/>
        <v>0</v>
      </c>
      <c r="S143" s="22">
        <f>Tabla1[[#This Row],[Merma Salas A &amp; B2]]*1000/Tabla1[[#This Row],[Peso gr.]]</f>
        <v>0</v>
      </c>
      <c r="T143" s="52">
        <v>70</v>
      </c>
      <c r="U143" s="24">
        <f>Tabla1[[#This Row],[Total piezas NOK]]/Tabla1[[#This Row],[Cant. Fabricada (uds)]]</f>
        <v>0</v>
      </c>
      <c r="V143" s="51" t="s">
        <v>840</v>
      </c>
    </row>
    <row r="144" spans="1:22" x14ac:dyDescent="0.3">
      <c r="A144" s="43">
        <v>44509</v>
      </c>
      <c r="B144" s="20" t="s">
        <v>759</v>
      </c>
      <c r="C144" s="20" t="s">
        <v>513</v>
      </c>
      <c r="D144" s="13" t="str">
        <f>VLOOKUP(C:C,'LListat referències'!A:B,2,FALSE)</f>
        <v>Tarro 150 ml</v>
      </c>
      <c r="E144" s="18" t="str">
        <f>VLOOKUP(C:C,'LListat referències'!A:D,4,FALSE)</f>
        <v>T057</v>
      </c>
      <c r="F144" s="49">
        <f>VLOOKUP(C:C,'LListat referències'!A:E,5,FALSE)</f>
        <v>160</v>
      </c>
      <c r="G144" s="49">
        <v>109.1</v>
      </c>
      <c r="H144" s="49">
        <v>2</v>
      </c>
      <c r="I144" s="75">
        <f>Tabla1[[#This Row],[Cant. Fabricada (uds)]]/Tabla1[[#This Row],[Cavidades]]*Tabla1[[#This Row],[Tiempo Ciclo]]/60/60</f>
        <v>0</v>
      </c>
      <c r="J144" s="1" t="s">
        <v>15</v>
      </c>
      <c r="K144" s="25"/>
      <c r="L144" s="25">
        <v>0</v>
      </c>
      <c r="M144" s="25">
        <v>0</v>
      </c>
      <c r="N144" s="25">
        <v>0</v>
      </c>
      <c r="O144" s="20">
        <v>43</v>
      </c>
      <c r="P144" s="1">
        <f>Tabla1[[#This Row],[Noche]]-Tabla1[[#This Row],[Mañana ]]</f>
        <v>0</v>
      </c>
      <c r="Q144" s="58"/>
      <c r="R144" s="21">
        <f t="shared" si="5"/>
        <v>0</v>
      </c>
      <c r="S144" s="22">
        <f>Tabla1[[#This Row],[Merma Salas A &amp; B2]]*1000/Tabla1[[#This Row],[Peso gr.]]</f>
        <v>0</v>
      </c>
      <c r="T144" s="52">
        <v>15</v>
      </c>
      <c r="U144" s="24" t="s">
        <v>842</v>
      </c>
      <c r="V144" s="19" t="s">
        <v>841</v>
      </c>
    </row>
    <row r="145" spans="1:22" x14ac:dyDescent="0.3">
      <c r="A145" s="43">
        <v>44509</v>
      </c>
      <c r="B145" s="20" t="s">
        <v>765</v>
      </c>
      <c r="C145" s="20">
        <v>1861</v>
      </c>
      <c r="D145" s="13" t="str">
        <f>VLOOKUP(C:C,'LListat referències'!A:B,2,FALSE)</f>
        <v>Tarro 50ml Standard 8 unitats</v>
      </c>
      <c r="E145" s="18" t="str">
        <f>VLOOKUP(C:C,'LListat referències'!A:D,4,FALSE)</f>
        <v>T022</v>
      </c>
      <c r="F145" s="49">
        <f>VLOOKUP(C:C,'LListat referències'!A:E,5,FALSE)</f>
        <v>92</v>
      </c>
      <c r="G145" s="49">
        <v>148</v>
      </c>
      <c r="H145" s="49">
        <v>8</v>
      </c>
      <c r="I145" s="75">
        <f>Tabla1[[#This Row],[Cant. Fabricada (uds)]]/Tabla1[[#This Row],[Cavidades]]*Tabla1[[#This Row],[Tiempo Ciclo]]/60/60</f>
        <v>0</v>
      </c>
      <c r="J145" s="1" t="s">
        <v>15</v>
      </c>
      <c r="K145" s="25"/>
      <c r="L145" s="25">
        <v>0</v>
      </c>
      <c r="M145" s="25">
        <v>0</v>
      </c>
      <c r="N145" s="25">
        <v>0</v>
      </c>
      <c r="O145" s="20">
        <v>40</v>
      </c>
      <c r="P145" s="1">
        <f>Tabla1[[#This Row],[Noche]]-Tabla1[[#This Row],[Mañana ]]</f>
        <v>0</v>
      </c>
      <c r="Q145" s="58"/>
      <c r="R145" s="21">
        <f t="shared" si="5"/>
        <v>0</v>
      </c>
      <c r="S145" s="22">
        <f>Tabla1[[#This Row],[Merma Salas A &amp; B2]]*1000/Tabla1[[#This Row],[Peso gr.]]</f>
        <v>0</v>
      </c>
      <c r="T145" s="52">
        <v>15</v>
      </c>
      <c r="U145" s="24" t="s">
        <v>842</v>
      </c>
      <c r="V145" s="19" t="s">
        <v>841</v>
      </c>
    </row>
    <row r="146" spans="1:22" x14ac:dyDescent="0.3">
      <c r="A146" s="43">
        <v>44509</v>
      </c>
      <c r="B146" s="20" t="s">
        <v>853</v>
      </c>
      <c r="C146" s="20" t="s">
        <v>854</v>
      </c>
      <c r="D146" s="13" t="e">
        <f>VLOOKUP(C:C,'LListat referències'!A:B,2,FALSE)</f>
        <v>#N/A</v>
      </c>
      <c r="E146" s="18" t="e">
        <f>VLOOKUP(C:C,'LListat referències'!A:D,4,FALSE)</f>
        <v>#N/A</v>
      </c>
      <c r="F146" s="49">
        <v>20</v>
      </c>
      <c r="G146" s="49">
        <v>20.6</v>
      </c>
      <c r="H146" s="49">
        <v>2</v>
      </c>
      <c r="I146" s="75">
        <f>Tabla1[[#This Row],[Cant. Fabricada (uds)]]/Tabla1[[#This Row],[Cavidades]]*Tabla1[[#This Row],[Tiempo Ciclo]]/60/60</f>
        <v>16.422777777777778</v>
      </c>
      <c r="J146" s="1" t="s">
        <v>797</v>
      </c>
      <c r="K146" s="25"/>
      <c r="L146" s="25">
        <v>6966</v>
      </c>
      <c r="M146" s="25">
        <v>9620</v>
      </c>
      <c r="N146" s="25">
        <v>12706</v>
      </c>
      <c r="O146" s="20">
        <v>49</v>
      </c>
      <c r="P146" s="1">
        <f>Tabla1[[#This Row],[Noche]]-Tabla1[[#This Row],[Mañana ]]</f>
        <v>5740</v>
      </c>
      <c r="Q146" s="58">
        <v>0</v>
      </c>
      <c r="R146" s="21">
        <f t="shared" si="5"/>
        <v>0</v>
      </c>
      <c r="S146" s="22">
        <f>Tabla1[[#This Row],[Merma Salas A &amp; B2]]*1000/Tabla1[[#This Row],[Peso gr.]]</f>
        <v>0</v>
      </c>
      <c r="T146" s="52"/>
      <c r="U146" s="24">
        <f>Tabla1[[#This Row],[Total piezas NOK]]/Tabla1[[#This Row],[Cant. Fabricada (uds)]]</f>
        <v>0</v>
      </c>
    </row>
    <row r="147" spans="1:22" x14ac:dyDescent="0.3">
      <c r="A147" s="43">
        <v>44509</v>
      </c>
      <c r="B147" s="20" t="s">
        <v>855</v>
      </c>
      <c r="C147" s="20" t="s">
        <v>414</v>
      </c>
      <c r="D147" s="13" t="str">
        <f>VLOOKUP(C:C,'LListat referències'!A:B,2,FALSE)</f>
        <v>Int. tapa 50 ml mar-mar prima</v>
      </c>
      <c r="E147" s="18" t="str">
        <f>VLOOKUP(C:C,'LListat referències'!A:D,4,FALSE)</f>
        <v/>
      </c>
      <c r="F147" s="49">
        <v>35</v>
      </c>
      <c r="G147" s="49">
        <v>31.52</v>
      </c>
      <c r="H147" s="49">
        <v>2</v>
      </c>
      <c r="I147" s="75">
        <f>Tabla1[[#This Row],[Cant. Fabricada (uds)]]/Tabla1[[#This Row],[Cavidades]]*Tabla1[[#This Row],[Tiempo Ciclo]]/60/60</f>
        <v>13.282177777777777</v>
      </c>
      <c r="J147" s="1" t="s">
        <v>797</v>
      </c>
      <c r="K147" s="25"/>
      <c r="L147" s="25">
        <v>4404</v>
      </c>
      <c r="M147" s="25">
        <v>5724</v>
      </c>
      <c r="N147" s="25">
        <v>7438</v>
      </c>
      <c r="O147" s="20">
        <v>48</v>
      </c>
      <c r="P147" s="1">
        <f>Tabla1[[#This Row],[Noche]]-Tabla1[[#This Row],[Mañana ]]</f>
        <v>3034</v>
      </c>
      <c r="Q147" s="58">
        <v>0</v>
      </c>
      <c r="R147" s="21">
        <f t="shared" si="5"/>
        <v>0</v>
      </c>
      <c r="S147" s="22">
        <f>Tabla1[[#This Row],[Merma Salas A &amp; B2]]*1000/Tabla1[[#This Row],[Peso gr.]]</f>
        <v>0</v>
      </c>
      <c r="T147" s="52"/>
      <c r="U147" s="24">
        <f>Tabla1[[#This Row],[Total piezas NOK]]/Tabla1[[#This Row],[Cant. Fabricada (uds)]]</f>
        <v>0</v>
      </c>
    </row>
    <row r="148" spans="1:22" x14ac:dyDescent="0.3">
      <c r="A148" s="43">
        <v>44509</v>
      </c>
      <c r="B148" s="20" t="s">
        <v>877</v>
      </c>
      <c r="C148" s="20">
        <v>1810</v>
      </c>
      <c r="D148" s="13" t="str">
        <f>VLOOKUP(C:C,'LListat referències'!A:B,2,FALSE)</f>
        <v>Cubilet 200ml mónaco</v>
      </c>
      <c r="E148" s="18" t="str">
        <f>VLOOKUP(C:C,'LListat referències'!A:D,4,FALSE)</f>
        <v/>
      </c>
      <c r="F148" s="49">
        <f>VLOOKUP(C:C,'LListat referències'!A:E,5,FALSE)</f>
        <v>5.86</v>
      </c>
      <c r="G148" s="49">
        <v>23.38</v>
      </c>
      <c r="H148" s="49">
        <v>2</v>
      </c>
      <c r="I148" s="75">
        <f>Tabla1[[#This Row],[Cant. Fabricada (uds)]]/Tabla1[[#This Row],[Cavidades]]*Tabla1[[#This Row],[Tiempo Ciclo]]/60/60</f>
        <v>5.4878055555555552</v>
      </c>
      <c r="J148" s="1" t="s">
        <v>797</v>
      </c>
      <c r="K148" s="25"/>
      <c r="L148" s="25"/>
      <c r="M148" s="25">
        <v>1068</v>
      </c>
      <c r="N148" s="25">
        <v>1690</v>
      </c>
      <c r="O148" s="20">
        <v>24</v>
      </c>
      <c r="P148" s="1">
        <f>Tabla1[[#This Row],[Noche]]-Tabla1[[#This Row],[Mañana ]]</f>
        <v>1690</v>
      </c>
      <c r="Q148" s="58"/>
      <c r="R148" s="21">
        <f t="shared" si="5"/>
        <v>0</v>
      </c>
      <c r="S148" s="22">
        <f>Tabla1[[#This Row],[Merma Salas A &amp; B2]]*1000/Tabla1[[#This Row],[Peso gr.]]</f>
        <v>0</v>
      </c>
      <c r="T148" s="52"/>
      <c r="U148" s="24">
        <f>Tabla1[[#This Row],[Total piezas NOK]]/Tabla1[[#This Row],[Cant. Fabricada (uds)]]</f>
        <v>0</v>
      </c>
    </row>
    <row r="149" spans="1:22" x14ac:dyDescent="0.3">
      <c r="A149" s="43">
        <v>44509</v>
      </c>
      <c r="B149" s="20" t="s">
        <v>882</v>
      </c>
      <c r="C149" s="20">
        <v>1207</v>
      </c>
      <c r="D149" s="13" t="str">
        <f>VLOOKUP(C:C,'LListat referències'!A:B,2,FALSE)</f>
        <v>Tap principia ovalat rosca gran</v>
      </c>
      <c r="E149" s="18" t="str">
        <f>VLOOKUP(C:C,'LListat referències'!A:D,4,FALSE)</f>
        <v/>
      </c>
      <c r="F149" s="49">
        <f>VLOOKUP(C:C,'LListat referències'!A:E,5,FALSE)</f>
        <v>9</v>
      </c>
      <c r="G149" s="49">
        <v>22</v>
      </c>
      <c r="H149" s="49">
        <v>3</v>
      </c>
      <c r="I149" s="75">
        <f>Tabla1[[#This Row],[Cant. Fabricada (uds)]]/Tabla1[[#This Row],[Cavidades]]*Tabla1[[#This Row],[Tiempo Ciclo]]/60/60</f>
        <v>24.532037037037039</v>
      </c>
      <c r="J149" s="1" t="s">
        <v>797</v>
      </c>
      <c r="K149" s="25"/>
      <c r="L149" s="25">
        <v>0</v>
      </c>
      <c r="M149" s="25">
        <v>11279</v>
      </c>
      <c r="N149" s="25">
        <v>12043</v>
      </c>
      <c r="O149" s="20">
        <v>50</v>
      </c>
      <c r="P149" s="1">
        <f>Tabla1[[#This Row],[Noche]]-Tabla1[[#This Row],[Mañana ]]</f>
        <v>12043</v>
      </c>
      <c r="Q149" s="58"/>
      <c r="R149" s="21">
        <f t="shared" si="5"/>
        <v>0</v>
      </c>
      <c r="S149" s="22">
        <f>Tabla1[[#This Row],[Merma Salas A &amp; B2]]*1000/Tabla1[[#This Row],[Peso gr.]]</f>
        <v>0</v>
      </c>
      <c r="T149" s="52"/>
      <c r="U149" s="24">
        <f>Tabla1[[#This Row],[Total piezas NOK]]/Tabla1[[#This Row],[Cant. Fabricada (uds)]]</f>
        <v>0</v>
      </c>
    </row>
    <row r="150" spans="1:22" x14ac:dyDescent="0.3">
      <c r="A150" s="43">
        <v>44509</v>
      </c>
      <c r="B150" s="20" t="s">
        <v>927</v>
      </c>
      <c r="C150" s="20">
        <v>1997</v>
      </c>
      <c r="D150" s="13">
        <f>VLOOKUP(C:C,'LListat referències'!A:B,2,FALSE)</f>
        <v>0</v>
      </c>
      <c r="E150" s="18">
        <f>VLOOKUP(C:C,'LListat referències'!A:D,4,FALSE)</f>
        <v>0</v>
      </c>
      <c r="F150" s="49">
        <f>VLOOKUP(C:C,'LListat referències'!A:E,5,FALSE)</f>
        <v>3.35</v>
      </c>
      <c r="G150" s="49">
        <v>38.380000000000003</v>
      </c>
      <c r="H150" s="49">
        <v>8</v>
      </c>
      <c r="I150" s="75">
        <f>Tabla1[[#This Row],[Cant. Fabricada (uds)]]/Tabla1[[#This Row],[Cavidades]]*Tabla1[[#This Row],[Tiempo Ciclo]]/60/60</f>
        <v>5.0853500000000009</v>
      </c>
      <c r="J150" s="1" t="s">
        <v>797</v>
      </c>
      <c r="K150" s="25"/>
      <c r="L150" s="25">
        <v>752583</v>
      </c>
      <c r="M150" s="25">
        <v>756399</v>
      </c>
      <c r="N150" s="25">
        <v>756399</v>
      </c>
      <c r="O150" s="20">
        <v>9</v>
      </c>
      <c r="P150" s="1">
        <f>Tabla1[[#This Row],[Noche]]-Tabla1[[#This Row],[Mañana ]]</f>
        <v>3816</v>
      </c>
      <c r="Q150" s="58"/>
      <c r="R150" s="21">
        <f t="shared" si="5"/>
        <v>0</v>
      </c>
      <c r="S150" s="22">
        <f>Tabla1[[#This Row],[Merma Salas A &amp; B2]]*1000/Tabla1[[#This Row],[Peso gr.]]</f>
        <v>0</v>
      </c>
      <c r="T150" s="52">
        <v>5</v>
      </c>
      <c r="U150" s="24">
        <f>Tabla1[[#This Row],[Total piezas NOK]]/Tabla1[[#This Row],[Cant. Fabricada (uds)]]</f>
        <v>0</v>
      </c>
    </row>
    <row r="151" spans="1:22" x14ac:dyDescent="0.3">
      <c r="A151" s="43">
        <v>44510</v>
      </c>
      <c r="B151" s="20" t="s">
        <v>830</v>
      </c>
      <c r="C151" s="20" t="s">
        <v>12</v>
      </c>
      <c r="D151" s="13" t="str">
        <f>VLOOKUP(C:C,'LListat referències'!A:B,2,FALSE)</f>
        <v>Tapa 50 ml mar-mar prima</v>
      </c>
      <c r="E151" s="18" t="str">
        <f>VLOOKUP(C:C,'LListat referències'!A:D,4,FALSE)</f>
        <v>#24</v>
      </c>
      <c r="F151" s="49">
        <f>VLOOKUP(C:C,'LListat referències'!A:E,5,FALSE)</f>
        <v>20.86</v>
      </c>
      <c r="G151" s="49">
        <v>113.2</v>
      </c>
      <c r="H151" s="49">
        <v>4</v>
      </c>
      <c r="I151" s="75">
        <f>Tabla1[[#This Row],[Cant. Fabricada (uds)]]/Tabla1[[#This Row],[Cavidades]]*Tabla1[[#This Row],[Tiempo Ciclo]]/60/60</f>
        <v>43.967194444444445</v>
      </c>
      <c r="J151" s="1" t="s">
        <v>15</v>
      </c>
      <c r="K151" s="25"/>
      <c r="L151" s="25">
        <v>22441</v>
      </c>
      <c r="M151" s="25">
        <v>26258</v>
      </c>
      <c r="N151" s="25">
        <v>28034</v>
      </c>
      <c r="O151" s="20">
        <v>45</v>
      </c>
      <c r="P151" s="1">
        <f>Tabla1[[#This Row],[Noche]]-Tabla1[[#This Row],[Mañana ]]</f>
        <v>5593</v>
      </c>
      <c r="Q151" s="58"/>
      <c r="R151" s="21">
        <f t="shared" si="5"/>
        <v>0</v>
      </c>
      <c r="S151" s="22">
        <f>Tabla1[[#This Row],[Merma Salas A &amp; B2]]*1000/Tabla1[[#This Row],[Peso gr.]]</f>
        <v>0</v>
      </c>
      <c r="T151" s="52"/>
      <c r="U151" s="24">
        <f>Tabla1[[#This Row],[Total piezas NOK]]/Tabla1[[#This Row],[Cant. Fabricada (uds)]]</f>
        <v>0</v>
      </c>
    </row>
    <row r="152" spans="1:22" x14ac:dyDescent="0.3">
      <c r="A152" s="43">
        <v>44510</v>
      </c>
      <c r="B152" s="20" t="s">
        <v>753</v>
      </c>
      <c r="C152" s="20">
        <v>1945</v>
      </c>
      <c r="D152" s="13" t="str">
        <f>VLOOKUP(C:C,'LListat referències'!A:B,2,FALSE)</f>
        <v>Tarro 400 ml</v>
      </c>
      <c r="E152" s="18" t="str">
        <f>VLOOKUP(C:C,'LListat referències'!A:D,4,FALSE)</f>
        <v>T113</v>
      </c>
      <c r="F152" s="49">
        <f>VLOOKUP(C:C,'LListat referències'!A:E,5,FALSE)</f>
        <v>211</v>
      </c>
      <c r="G152" s="49">
        <v>102</v>
      </c>
      <c r="H152" s="49">
        <v>2</v>
      </c>
      <c r="I152" s="75">
        <f>Tabla1[[#This Row],[Cant. Fabricada (uds)]]/Tabla1[[#This Row],[Cavidades]]*Tabla1[[#This Row],[Tiempo Ciclo]]/60/60</f>
        <v>24.876666666666665</v>
      </c>
      <c r="J152" s="1" t="s">
        <v>15</v>
      </c>
      <c r="K152" s="25"/>
      <c r="L152" s="25">
        <v>392</v>
      </c>
      <c r="M152" s="25">
        <v>846</v>
      </c>
      <c r="N152" s="25">
        <v>2148</v>
      </c>
      <c r="O152" s="20">
        <v>7</v>
      </c>
      <c r="P152" s="1">
        <f>Tabla1[[#This Row],[Noche]]-Tabla1[[#This Row],[Mañana ]]</f>
        <v>1756</v>
      </c>
      <c r="Q152" s="58">
        <v>20</v>
      </c>
      <c r="R152" s="21">
        <f t="shared" si="5"/>
        <v>20</v>
      </c>
      <c r="S152" s="22">
        <f>Tabla1[[#This Row],[Merma Salas A &amp; B2]]*1000/Tabla1[[#This Row],[Peso gr.]]</f>
        <v>94.786729857819907</v>
      </c>
      <c r="T152" s="52"/>
      <c r="U152" s="24">
        <f>Tabla1[[#This Row],[Total piezas NOK]]/Tabla1[[#This Row],[Cant. Fabricada (uds)]]</f>
        <v>5.3978775545455528E-2</v>
      </c>
    </row>
    <row r="153" spans="1:22" x14ac:dyDescent="0.3">
      <c r="A153" s="43">
        <v>44510</v>
      </c>
      <c r="B153" s="20" t="s">
        <v>839</v>
      </c>
      <c r="C153" s="20" t="s">
        <v>10</v>
      </c>
      <c r="D153" s="13" t="str">
        <f>VLOOKUP(C:C,'LListat referències'!A:B,2,FALSE)</f>
        <v xml:space="preserve">Tapa 100 ml prima </v>
      </c>
      <c r="E153" s="18" t="str">
        <f>VLOOKUP(C:C,'LListat referències'!A:D,4,FALSE)</f>
        <v>#26(100 ml)</v>
      </c>
      <c r="F153" s="49">
        <f>VLOOKUP(C:C,'LListat referències'!A:E,5,FALSE)</f>
        <v>30.3</v>
      </c>
      <c r="G153" s="49">
        <v>66.400000000000006</v>
      </c>
      <c r="H153" s="49">
        <v>4</v>
      </c>
      <c r="I153" s="75">
        <f>Tabla1[[#This Row],[Cant. Fabricada (uds)]]/Tabla1[[#This Row],[Cavidades]]*Tabla1[[#This Row],[Tiempo Ciclo]]/60/60</f>
        <v>11.712222222222222</v>
      </c>
      <c r="J153" s="1" t="s">
        <v>15</v>
      </c>
      <c r="K153" s="25"/>
      <c r="L153" s="25">
        <v>4896</v>
      </c>
      <c r="M153" s="25">
        <v>6312</v>
      </c>
      <c r="N153" s="25">
        <v>7436</v>
      </c>
      <c r="O153" s="20">
        <v>38</v>
      </c>
      <c r="P153" s="1">
        <f>Tabla1[[#This Row],[Noche]]-Tabla1[[#This Row],[Mañana ]]</f>
        <v>2540</v>
      </c>
      <c r="Q153" s="58">
        <v>0</v>
      </c>
      <c r="R153" s="21">
        <f t="shared" si="5"/>
        <v>0</v>
      </c>
      <c r="S153" s="22">
        <f>Tabla1[[#This Row],[Merma Salas A &amp; B2]]*1000/Tabla1[[#This Row],[Peso gr.]]</f>
        <v>0</v>
      </c>
      <c r="T153" s="52"/>
      <c r="U153" s="24">
        <f>Tabla1[[#This Row],[Total piezas NOK]]/Tabla1[[#This Row],[Cant. Fabricada (uds)]]</f>
        <v>0</v>
      </c>
    </row>
    <row r="154" spans="1:22" x14ac:dyDescent="0.3">
      <c r="A154" s="43">
        <v>44510</v>
      </c>
      <c r="B154" s="20" t="s">
        <v>771</v>
      </c>
      <c r="C154" s="20" t="s">
        <v>615</v>
      </c>
      <c r="D154" s="13" t="str">
        <f>VLOOKUP(C:C,'LListat referències'!A:B,2,FALSE)</f>
        <v>Tarro 50ml Tinter Quadrat</v>
      </c>
      <c r="E154" s="18" t="str">
        <f>VLOOKUP(C:C,'LListat referències'!A:D,4,FALSE)</f>
        <v>T116</v>
      </c>
      <c r="F154" s="49">
        <f>VLOOKUP(C:C,'LListat referències'!A:E,5,FALSE)</f>
        <v>121.5</v>
      </c>
      <c r="G154" s="49">
        <v>126.1</v>
      </c>
      <c r="H154" s="49">
        <v>2</v>
      </c>
      <c r="I154" s="75">
        <f>Tabla1[[#This Row],[Cant. Fabricada (uds)]]/Tabla1[[#This Row],[Cavidades]]*Tabla1[[#This Row],[Tiempo Ciclo]]/60/60</f>
        <v>14.886805555555556</v>
      </c>
      <c r="J154" s="1" t="s">
        <v>8</v>
      </c>
      <c r="K154" s="25"/>
      <c r="L154" s="25">
        <v>10726</v>
      </c>
      <c r="M154" s="25">
        <v>11106</v>
      </c>
      <c r="N154" s="25">
        <v>11576</v>
      </c>
      <c r="O154" s="20">
        <v>30</v>
      </c>
      <c r="P154" s="1">
        <f>Tabla1[[#This Row],[Noche]]-Tabla1[[#This Row],[Mañana ]]</f>
        <v>850</v>
      </c>
      <c r="Q154" s="58"/>
      <c r="R154" s="21">
        <f t="shared" si="5"/>
        <v>0</v>
      </c>
      <c r="S154" s="22">
        <f>Tabla1[[#This Row],[Merma Salas A &amp; B2]]*1000/Tabla1[[#This Row],[Peso gr.]]</f>
        <v>0</v>
      </c>
      <c r="T154" s="52"/>
      <c r="U154" s="24">
        <f>Tabla1[[#This Row],[Total piezas NOK]]/Tabla1[[#This Row],[Cant. Fabricada (uds)]]</f>
        <v>0</v>
      </c>
    </row>
    <row r="155" spans="1:22" x14ac:dyDescent="0.3">
      <c r="A155" s="43">
        <v>44510</v>
      </c>
      <c r="B155" s="20" t="s">
        <v>853</v>
      </c>
      <c r="C155" s="20" t="s">
        <v>854</v>
      </c>
      <c r="D155" s="13" t="e">
        <f>VLOOKUP(C:C,'LListat referències'!A:B,2,FALSE)</f>
        <v>#N/A</v>
      </c>
      <c r="E155" s="18" t="e">
        <f>VLOOKUP(C:C,'LListat referències'!A:D,4,FALSE)</f>
        <v>#N/A</v>
      </c>
      <c r="F155" s="49">
        <v>20</v>
      </c>
      <c r="G155" s="49">
        <v>20.6</v>
      </c>
      <c r="H155" s="49">
        <v>2</v>
      </c>
      <c r="I155" s="75">
        <f>Tabla1[[#This Row],[Cant. Fabricada (uds)]]/Tabla1[[#This Row],[Cavidades]]*Tabla1[[#This Row],[Tiempo Ciclo]]/60/60</f>
        <v>12.474444444444446</v>
      </c>
      <c r="J155" s="1" t="s">
        <v>797</v>
      </c>
      <c r="K155" s="25"/>
      <c r="L155" s="25">
        <v>14626</v>
      </c>
      <c r="M155" s="25">
        <v>16614</v>
      </c>
      <c r="N155" s="25">
        <v>18986</v>
      </c>
      <c r="O155" s="20">
        <v>49</v>
      </c>
      <c r="P155" s="1">
        <f>Tabla1[[#This Row],[Noche]]-Tabla1[[#This Row],[Mañana ]]</f>
        <v>4360</v>
      </c>
      <c r="Q155" s="58">
        <v>0</v>
      </c>
      <c r="R155" s="21">
        <f t="shared" si="5"/>
        <v>0</v>
      </c>
      <c r="S155" s="22">
        <f>Tabla1[[#This Row],[Merma Salas A &amp; B2]]*1000/Tabla1[[#This Row],[Peso gr.]]</f>
        <v>0</v>
      </c>
      <c r="T155" s="52"/>
      <c r="U155" s="24">
        <f>Tabla1[[#This Row],[Total piezas NOK]]/Tabla1[[#This Row],[Cant. Fabricada (uds)]]</f>
        <v>0</v>
      </c>
    </row>
    <row r="156" spans="1:22" x14ac:dyDescent="0.3">
      <c r="A156" s="43">
        <v>44510</v>
      </c>
      <c r="B156" s="20" t="s">
        <v>855</v>
      </c>
      <c r="C156" s="20" t="s">
        <v>414</v>
      </c>
      <c r="D156" s="13" t="str">
        <f>VLOOKUP(C:C,'LListat referències'!A:B,2,FALSE)</f>
        <v>Int. tapa 50 ml mar-mar prima</v>
      </c>
      <c r="E156" s="18" t="str">
        <f>VLOOKUP(C:C,'LListat referències'!A:D,4,FALSE)</f>
        <v/>
      </c>
      <c r="F156" s="49">
        <v>35</v>
      </c>
      <c r="G156" s="49">
        <v>31.52</v>
      </c>
      <c r="H156" s="49">
        <v>2</v>
      </c>
      <c r="I156" s="75">
        <f>Tabla1[[#This Row],[Cant. Fabricada (uds)]]/Tabla1[[#This Row],[Cavidades]]*Tabla1[[#This Row],[Tiempo Ciclo]]/60/60</f>
        <v>13.282177777777777</v>
      </c>
      <c r="J156" s="1" t="s">
        <v>797</v>
      </c>
      <c r="K156" s="25"/>
      <c r="L156" s="25">
        <v>9262</v>
      </c>
      <c r="M156" s="25">
        <v>10860</v>
      </c>
      <c r="N156" s="25">
        <v>12296</v>
      </c>
      <c r="O156" s="20">
        <v>48</v>
      </c>
      <c r="P156" s="1">
        <f>Tabla1[[#This Row],[Noche]]-Tabla1[[#This Row],[Mañana ]]</f>
        <v>3034</v>
      </c>
      <c r="Q156" s="58">
        <v>0</v>
      </c>
      <c r="R156" s="21">
        <f t="shared" si="5"/>
        <v>0</v>
      </c>
      <c r="S156" s="22">
        <f>Tabla1[[#This Row],[Merma Salas A &amp; B2]]*1000/Tabla1[[#This Row],[Peso gr.]]</f>
        <v>0</v>
      </c>
      <c r="T156" s="52"/>
      <c r="U156" s="24">
        <f>Tabla1[[#This Row],[Total piezas NOK]]/Tabla1[[#This Row],[Cant. Fabricada (uds)]]</f>
        <v>0</v>
      </c>
    </row>
    <row r="157" spans="1:22" x14ac:dyDescent="0.3">
      <c r="A157" s="43">
        <v>44510</v>
      </c>
      <c r="B157" s="20" t="s">
        <v>873</v>
      </c>
      <c r="C157" s="20">
        <v>1704</v>
      </c>
      <c r="D157" s="13" t="str">
        <f>VLOOKUP(C:C,'LListat referències'!A:B,2,FALSE)</f>
        <v>Tarro 50 ml quadrat</v>
      </c>
      <c r="E157" s="18" t="str">
        <f>VLOOKUP(C:C,'LListat referències'!A:D,4,FALSE)</f>
        <v>T046</v>
      </c>
      <c r="F157" s="49">
        <f>VLOOKUP(C:C,'LListat referències'!A:E,5,FALSE)</f>
        <v>99.2</v>
      </c>
      <c r="G157" s="49"/>
      <c r="H157" s="49"/>
      <c r="I157" s="75" t="s">
        <v>842</v>
      </c>
      <c r="J157" s="1" t="s">
        <v>15</v>
      </c>
      <c r="K157" s="25"/>
      <c r="L157" s="25"/>
      <c r="M157" s="25"/>
      <c r="N157" s="25"/>
      <c r="O157" s="20"/>
      <c r="P157" s="1">
        <f>Tabla1[[#This Row],[Noche]]-Tabla1[[#This Row],[Mañana ]]</f>
        <v>0</v>
      </c>
      <c r="Q157" s="58"/>
      <c r="R157" s="21">
        <f t="shared" si="5"/>
        <v>0</v>
      </c>
      <c r="S157" s="22">
        <f>Tabla1[[#This Row],[Merma Salas A &amp; B2]]*1000/Tabla1[[#This Row],[Peso gr.]]</f>
        <v>0</v>
      </c>
      <c r="T157" s="52">
        <v>250</v>
      </c>
      <c r="U157" s="24" t="s">
        <v>842</v>
      </c>
      <c r="V157" s="19" t="s">
        <v>874</v>
      </c>
    </row>
    <row r="158" spans="1:22" x14ac:dyDescent="0.3">
      <c r="A158" s="43">
        <v>44510</v>
      </c>
      <c r="B158" s="20" t="s">
        <v>878</v>
      </c>
      <c r="C158" s="20">
        <v>1905</v>
      </c>
      <c r="D158" s="13" t="str">
        <f>VLOOKUP(C:C,'LListat referències'!A:B,2,FALSE)</f>
        <v>Cubilet 50 ml 4uts</v>
      </c>
      <c r="E158" s="18" t="str">
        <f>VLOOKUP(C:C,'LListat referències'!A:D,4,FALSE)</f>
        <v/>
      </c>
      <c r="F158" s="49">
        <f>VLOOKUP(C:C,'LListat referències'!A:E,5,FALSE)</f>
        <v>3.55</v>
      </c>
      <c r="G158" s="49">
        <v>15.78</v>
      </c>
      <c r="H158" s="49">
        <v>4</v>
      </c>
      <c r="I158" s="75">
        <f>Tabla1[[#This Row],[Cant. Fabricada (uds)]]/Tabla1[[#This Row],[Cavidades]]*Tabla1[[#This Row],[Tiempo Ciclo]]/60/60</f>
        <v>11.348449999999998</v>
      </c>
      <c r="J158" s="1" t="s">
        <v>797</v>
      </c>
      <c r="K158" s="25"/>
      <c r="L158" s="25"/>
      <c r="M158" s="25">
        <v>2936</v>
      </c>
      <c r="N158" s="25">
        <v>10356</v>
      </c>
      <c r="O158" s="20">
        <v>19</v>
      </c>
      <c r="P158" s="1">
        <f>Tabla1[[#This Row],[Noche]]-Tabla1[[#This Row],[Mañana ]]</f>
        <v>10356</v>
      </c>
      <c r="Q158" s="58"/>
      <c r="R158" s="21">
        <f t="shared" si="5"/>
        <v>0</v>
      </c>
      <c r="S158" s="22">
        <f>Tabla1[[#This Row],[Merma Salas A &amp; B2]]*1000/Tabla1[[#This Row],[Peso gr.]]</f>
        <v>0</v>
      </c>
      <c r="T158" s="52"/>
      <c r="U158" s="24">
        <f>Tabla1[[#This Row],[Total piezas NOK]]/Tabla1[[#This Row],[Cant. Fabricada (uds)]]</f>
        <v>0</v>
      </c>
    </row>
    <row r="159" spans="1:22" x14ac:dyDescent="0.3">
      <c r="A159" s="43">
        <v>44510</v>
      </c>
      <c r="B159" s="20" t="s">
        <v>882</v>
      </c>
      <c r="C159" s="20">
        <v>1207</v>
      </c>
      <c r="D159" s="13" t="str">
        <f>VLOOKUP(C:C,'LListat referències'!A:B,2,FALSE)</f>
        <v>Tap principia ovalat rosca gran</v>
      </c>
      <c r="E159" s="18" t="str">
        <f>VLOOKUP(C:C,'LListat referències'!A:D,4,FALSE)</f>
        <v/>
      </c>
      <c r="F159" s="49">
        <f>VLOOKUP(C:C,'LListat referències'!A:E,5,FALSE)</f>
        <v>9</v>
      </c>
      <c r="G159" s="49">
        <v>22</v>
      </c>
      <c r="H159" s="49">
        <v>3</v>
      </c>
      <c r="I159" s="75">
        <f>Tabla1[[#This Row],[Cant. Fabricada (uds)]]/Tabla1[[#This Row],[Cavidades]]*Tabla1[[#This Row],[Tiempo Ciclo]]/60/60</f>
        <v>2.8987037037037031</v>
      </c>
      <c r="J159" s="1" t="s">
        <v>797</v>
      </c>
      <c r="K159" s="25"/>
      <c r="L159" s="25">
        <v>12828</v>
      </c>
      <c r="M159" s="25">
        <v>13492</v>
      </c>
      <c r="N159" s="25">
        <v>14251</v>
      </c>
      <c r="O159" s="20">
        <v>50</v>
      </c>
      <c r="P159" s="1">
        <f>Tabla1[[#This Row],[Noche]]-Tabla1[[#This Row],[Mañana ]]</f>
        <v>1423</v>
      </c>
      <c r="Q159" s="58"/>
      <c r="R159" s="21">
        <f t="shared" si="5"/>
        <v>0</v>
      </c>
      <c r="S159" s="22">
        <f>Tabla1[[#This Row],[Merma Salas A &amp; B2]]*1000/Tabla1[[#This Row],[Peso gr.]]</f>
        <v>0</v>
      </c>
      <c r="T159" s="52"/>
      <c r="U159" s="24">
        <f>Tabla1[[#This Row],[Total piezas NOK]]/Tabla1[[#This Row],[Cant. Fabricada (uds)]]</f>
        <v>0</v>
      </c>
    </row>
    <row r="160" spans="1:22" x14ac:dyDescent="0.3">
      <c r="A160" s="43">
        <v>44511</v>
      </c>
      <c r="B160" s="20" t="s">
        <v>833</v>
      </c>
      <c r="C160" s="20" t="s">
        <v>478</v>
      </c>
      <c r="D160" s="13" t="str">
        <f>VLOOKUP(C:C,'LListat referències'!A:B,2,FALSE)</f>
        <v xml:space="preserve">Tarro 50 ml labiomar </v>
      </c>
      <c r="E160" s="18" t="str">
        <f>VLOOKUP(C:C,'LListat referències'!A:D,4,FALSE)</f>
        <v>T079</v>
      </c>
      <c r="F160" s="49">
        <f>VLOOKUP(C:C,'LListat referències'!A:E,5,FALSE)</f>
        <v>82.7</v>
      </c>
      <c r="G160" s="49">
        <v>105</v>
      </c>
      <c r="H160" s="49">
        <v>4</v>
      </c>
      <c r="I160" s="75">
        <f>Tabla1[[#This Row],[Cant. Fabricada (uds)]]/Tabla1[[#This Row],[Cavidades]]*Tabla1[[#This Row],[Tiempo Ciclo]]/60/60</f>
        <v>11.265625</v>
      </c>
      <c r="J160" s="1" t="s">
        <v>15</v>
      </c>
      <c r="K160" s="25"/>
      <c r="L160" s="25">
        <v>8531</v>
      </c>
      <c r="M160" s="25">
        <v>9278</v>
      </c>
      <c r="N160" s="25">
        <v>10076</v>
      </c>
      <c r="O160" s="20">
        <v>44</v>
      </c>
      <c r="P160" s="1">
        <f>Tabla1[[#This Row],[Noche]]-Tabla1[[#This Row],[Mañana ]]</f>
        <v>1545</v>
      </c>
      <c r="Q160" s="58">
        <v>10</v>
      </c>
      <c r="R160" s="21">
        <f t="shared" si="5"/>
        <v>10</v>
      </c>
      <c r="S160" s="22">
        <f>Tabla1[[#This Row],[Merma Salas A &amp; B2]]*1000/Tabla1[[#This Row],[Peso gr.]]</f>
        <v>120.91898428053204</v>
      </c>
      <c r="T160" s="52"/>
      <c r="U160" s="24">
        <f>Tabla1[[#This Row],[Total piezas NOK]]/Tabla1[[#This Row],[Cant. Fabricada (uds)]]</f>
        <v>7.8264714744680941E-2</v>
      </c>
    </row>
    <row r="161" spans="1:22" x14ac:dyDescent="0.3">
      <c r="A161" s="43">
        <v>44511</v>
      </c>
      <c r="B161" s="20" t="s">
        <v>771</v>
      </c>
      <c r="C161" s="20" t="s">
        <v>615</v>
      </c>
      <c r="D161" s="13" t="str">
        <f>VLOOKUP(C:C,'LListat referències'!A:B,2,FALSE)</f>
        <v>Tarro 50ml Tinter Quadrat</v>
      </c>
      <c r="E161" s="18" t="str">
        <f>VLOOKUP(C:C,'LListat referències'!A:D,4,FALSE)</f>
        <v>T116</v>
      </c>
      <c r="F161" s="49">
        <f>VLOOKUP(C:C,'LListat referències'!A:E,5,FALSE)</f>
        <v>121.5</v>
      </c>
      <c r="G161" s="49">
        <v>126.1</v>
      </c>
      <c r="H161" s="49">
        <v>2</v>
      </c>
      <c r="I161" s="75">
        <f>Tabla1[[#This Row],[Cant. Fabricada (uds)]]/Tabla1[[#This Row],[Cavidades]]*Tabla1[[#This Row],[Tiempo Ciclo]]/60/60</f>
        <v>15.552333333333332</v>
      </c>
      <c r="J161" s="1" t="s">
        <v>8</v>
      </c>
      <c r="K161" s="25"/>
      <c r="L161" s="25">
        <v>12024</v>
      </c>
      <c r="M161" s="25">
        <v>12446</v>
      </c>
      <c r="N161" s="25">
        <v>12912</v>
      </c>
      <c r="O161" s="20">
        <v>30</v>
      </c>
      <c r="P161" s="1">
        <f>Tabla1[[#This Row],[Noche]]-Tabla1[[#This Row],[Mañana ]]</f>
        <v>888</v>
      </c>
      <c r="Q161" s="58">
        <v>20</v>
      </c>
      <c r="R161" s="21">
        <f t="shared" si="5"/>
        <v>20</v>
      </c>
      <c r="S161" s="22">
        <f>Tabla1[[#This Row],[Merma Salas A &amp; B2]]*1000/Tabla1[[#This Row],[Peso gr.]]</f>
        <v>164.6090534979424</v>
      </c>
      <c r="T161" s="52"/>
      <c r="U161" s="24">
        <f>Tabla1[[#This Row],[Total piezas NOK]]/Tabla1[[#This Row],[Cant. Fabricada (uds)]]</f>
        <v>0.18537055574092612</v>
      </c>
      <c r="V161" s="19" t="s">
        <v>843</v>
      </c>
    </row>
    <row r="162" spans="1:22" x14ac:dyDescent="0.3">
      <c r="A162" s="43">
        <v>44511</v>
      </c>
      <c r="B162" s="20" t="s">
        <v>853</v>
      </c>
      <c r="C162" s="20" t="s">
        <v>854</v>
      </c>
      <c r="D162" s="13" t="e">
        <f>VLOOKUP(C:C,'LListat referències'!A:B,2,FALSE)</f>
        <v>#N/A</v>
      </c>
      <c r="E162" s="18" t="e">
        <f>VLOOKUP(C:C,'LListat referències'!A:D,4,FALSE)</f>
        <v>#N/A</v>
      </c>
      <c r="F162" s="49">
        <v>20</v>
      </c>
      <c r="G162" s="49">
        <v>20.6</v>
      </c>
      <c r="H162" s="49">
        <v>2</v>
      </c>
      <c r="I162" s="75">
        <f>Tabla1[[#This Row],[Cant. Fabricada (uds)]]/Tabla1[[#This Row],[Cavidades]]*Tabla1[[#This Row],[Tiempo Ciclo]]/60/60</f>
        <v>1.2703333333333335</v>
      </c>
      <c r="J162" s="1" t="s">
        <v>797</v>
      </c>
      <c r="K162" s="25"/>
      <c r="L162" s="25">
        <v>21666</v>
      </c>
      <c r="M162" s="25">
        <v>22110</v>
      </c>
      <c r="N162" s="25">
        <v>22110</v>
      </c>
      <c r="O162" s="20">
        <v>49</v>
      </c>
      <c r="P162" s="1">
        <f>Tabla1[[#This Row],[Noche]]-Tabla1[[#This Row],[Mañana ]]</f>
        <v>444</v>
      </c>
      <c r="Q162" s="58">
        <v>0</v>
      </c>
      <c r="R162" s="21">
        <f t="shared" si="5"/>
        <v>0</v>
      </c>
      <c r="S162" s="22">
        <f>Tabla1[[#This Row],[Merma Salas A &amp; B2]]*1000/Tabla1[[#This Row],[Peso gr.]]</f>
        <v>0</v>
      </c>
      <c r="T162" s="52"/>
      <c r="U162" s="24">
        <f>Tabla1[[#This Row],[Total piezas NOK]]/Tabla1[[#This Row],[Cant. Fabricada (uds)]]</f>
        <v>0</v>
      </c>
    </row>
    <row r="163" spans="1:22" x14ac:dyDescent="0.3">
      <c r="A163" s="43">
        <v>44511</v>
      </c>
      <c r="B163" s="20" t="s">
        <v>830</v>
      </c>
      <c r="C163" s="20" t="s">
        <v>12</v>
      </c>
      <c r="D163" s="13" t="str">
        <f>VLOOKUP(C:C,'LListat referències'!A:B,2,FALSE)</f>
        <v>Tapa 50 ml mar-mar prima</v>
      </c>
      <c r="E163" s="18" t="str">
        <f>VLOOKUP(C:C,'LListat referències'!A:D,4,FALSE)</f>
        <v>#24</v>
      </c>
      <c r="F163" s="49">
        <f>VLOOKUP(C:C,'LListat referències'!A:E,5,FALSE)</f>
        <v>20.86</v>
      </c>
      <c r="G163" s="49">
        <v>113.2</v>
      </c>
      <c r="H163" s="49">
        <v>4</v>
      </c>
      <c r="I163" s="75">
        <f>Tabla1[[#This Row],[Cant. Fabricada (uds)]]/Tabla1[[#This Row],[Cavidades]]*Tabla1[[#This Row],[Tiempo Ciclo]]/60/60</f>
        <v>1.2735000000000001</v>
      </c>
      <c r="J163" s="1" t="s">
        <v>8</v>
      </c>
      <c r="K163" s="25"/>
      <c r="L163" s="25">
        <v>29966</v>
      </c>
      <c r="M163" s="25">
        <v>30128</v>
      </c>
      <c r="N163" s="25">
        <v>30128</v>
      </c>
      <c r="O163" s="20">
        <v>45</v>
      </c>
      <c r="P163" s="1">
        <f>Tabla1[[#This Row],[Noche]]-Tabla1[[#This Row],[Mañana ]]</f>
        <v>162</v>
      </c>
      <c r="Q163" s="58">
        <v>0</v>
      </c>
      <c r="R163" s="21">
        <f t="shared" si="5"/>
        <v>0</v>
      </c>
      <c r="S163" s="22">
        <f>Tabla1[[#This Row],[Merma Salas A &amp; B2]]*1000/Tabla1[[#This Row],[Peso gr.]]</f>
        <v>0</v>
      </c>
      <c r="T163" s="52"/>
      <c r="U163" s="24">
        <f>Tabla1[[#This Row],[Total piezas NOK]]/Tabla1[[#This Row],[Cant. Fabricada (uds)]]</f>
        <v>0</v>
      </c>
    </row>
    <row r="164" spans="1:22" x14ac:dyDescent="0.3">
      <c r="A164" s="43">
        <v>44511</v>
      </c>
      <c r="B164" s="20" t="s">
        <v>756</v>
      </c>
      <c r="C164" s="20" t="s">
        <v>644</v>
      </c>
      <c r="D164" s="13" t="str">
        <f>VLOOKUP(C:C,'LListat referències'!A:B,2,FALSE)</f>
        <v>Tarro 200ml Quadrat estret (Tapa Rodona)</v>
      </c>
      <c r="E164" s="18">
        <f>VLOOKUP(C:C,'LListat referències'!A:D,4,FALSE)</f>
        <v>0</v>
      </c>
      <c r="F164" s="49">
        <f>VLOOKUP(C:C,'LListat referències'!A:E,5,FALSE)</f>
        <v>220.84</v>
      </c>
      <c r="G164" s="49">
        <v>122.41</v>
      </c>
      <c r="H164" s="49">
        <v>1</v>
      </c>
      <c r="I164" s="75">
        <f>Tabla1[[#This Row],[Cant. Fabricada (uds)]]/Tabla1[[#This Row],[Cavidades]]*Tabla1[[#This Row],[Tiempo Ciclo]]/60/60</f>
        <v>15.369255555555556</v>
      </c>
      <c r="J164" s="1" t="s">
        <v>7</v>
      </c>
      <c r="K164" s="25"/>
      <c r="L164" s="25">
        <v>22573</v>
      </c>
      <c r="M164" s="25">
        <v>22789</v>
      </c>
      <c r="N164" s="25">
        <v>23025</v>
      </c>
      <c r="O164" s="20">
        <v>41</v>
      </c>
      <c r="P164" s="1">
        <f>Tabla1[[#This Row],[Noche]]-Tabla1[[#This Row],[Mañana ]]</f>
        <v>452</v>
      </c>
      <c r="Q164" s="58"/>
      <c r="R164" s="21">
        <f t="shared" si="5"/>
        <v>0</v>
      </c>
      <c r="S164" s="22">
        <f>Tabla1[[#This Row],[Merma Salas A &amp; B2]]*1000/Tabla1[[#This Row],[Peso gr.]]</f>
        <v>0</v>
      </c>
      <c r="T164" s="52"/>
      <c r="U164" s="24">
        <f>Tabla1[[#This Row],[Total piezas NOK]]/Tabla1[[#This Row],[Cant. Fabricada (uds)]]</f>
        <v>0</v>
      </c>
    </row>
    <row r="165" spans="1:22" x14ac:dyDescent="0.3">
      <c r="A165" s="43">
        <v>44511</v>
      </c>
      <c r="B165" s="20" t="s">
        <v>869</v>
      </c>
      <c r="C165" s="20" t="s">
        <v>542</v>
      </c>
      <c r="D165" s="13" t="str">
        <f>VLOOKUP(C:C,'LListat referències'!A:B,2,FALSE)</f>
        <v>Tapa 15ml per tarro Tintero</v>
      </c>
      <c r="E165" s="18" t="str">
        <f>VLOOKUP(C:C,'LListat referències'!A:D,4,FALSE)</f>
        <v>#23</v>
      </c>
      <c r="F165" s="49">
        <f>VLOOKUP(C:C,'LListat referències'!A:E,5,FALSE)</f>
        <v>10</v>
      </c>
      <c r="G165" s="49"/>
      <c r="H165" s="49"/>
      <c r="I165" s="75" t="s">
        <v>842</v>
      </c>
      <c r="J165" s="1" t="s">
        <v>8</v>
      </c>
      <c r="K165" s="25"/>
      <c r="L165" s="25"/>
      <c r="M165" s="25"/>
      <c r="N165" s="25"/>
      <c r="O165" s="20"/>
      <c r="P165" s="1">
        <f>Tabla1[[#This Row],[Noche]]-Tabla1[[#This Row],[Mañana ]]</f>
        <v>0</v>
      </c>
      <c r="Q165" s="58"/>
      <c r="R165" s="21">
        <f t="shared" si="5"/>
        <v>0</v>
      </c>
      <c r="S165" s="22">
        <f>Tabla1[[#This Row],[Merma Salas A &amp; B2]]*1000/Tabla1[[#This Row],[Peso gr.]]</f>
        <v>0</v>
      </c>
      <c r="T165" s="52">
        <v>10</v>
      </c>
      <c r="U165" s="24" t="s">
        <v>842</v>
      </c>
      <c r="V165" s="19" t="s">
        <v>870</v>
      </c>
    </row>
    <row r="166" spans="1:22" x14ac:dyDescent="0.3">
      <c r="A166" s="43">
        <v>44511</v>
      </c>
      <c r="B166" s="20" t="s">
        <v>871</v>
      </c>
      <c r="C166" s="20">
        <v>1879</v>
      </c>
      <c r="D166" s="13" t="str">
        <f>VLOOKUP(C:C,'LListat referències'!A:B,2,FALSE)</f>
        <v>Tapa tarro rectagular 50 ml</v>
      </c>
      <c r="E166" s="18" t="str">
        <f>VLOOKUP(C:C,'LListat referències'!A:D,4,FALSE)</f>
        <v>#23 (50 ml)</v>
      </c>
      <c r="F166" s="49">
        <f>VLOOKUP(C:C,'LListat referències'!A:E,5,FALSE)</f>
        <v>22.6</v>
      </c>
      <c r="G166" s="49">
        <v>73.69</v>
      </c>
      <c r="H166" s="49">
        <v>4</v>
      </c>
      <c r="I166" s="75">
        <f>Tabla1[[#This Row],[Cant. Fabricada (uds)]]/Tabla1[[#This Row],[Cavidades]]*Tabla1[[#This Row],[Tiempo Ciclo]]/60/60</f>
        <v>6.9186722222222219</v>
      </c>
      <c r="J166" s="1" t="s">
        <v>15</v>
      </c>
      <c r="K166" s="25"/>
      <c r="L166" s="25">
        <v>218</v>
      </c>
      <c r="M166" s="25">
        <v>874</v>
      </c>
      <c r="N166" s="25">
        <v>1570</v>
      </c>
      <c r="O166" s="20">
        <v>20</v>
      </c>
      <c r="P166" s="1">
        <f>Tabla1[[#This Row],[Noche]]-Tabla1[[#This Row],[Mañana ]]</f>
        <v>1352</v>
      </c>
      <c r="Q166" s="58">
        <v>2</v>
      </c>
      <c r="R166" s="21">
        <f t="shared" si="5"/>
        <v>2</v>
      </c>
      <c r="S166" s="22">
        <f>Tabla1[[#This Row],[Merma Salas A &amp; B2]]*1000/Tabla1[[#This Row],[Peso gr.]]</f>
        <v>88.495575221238937</v>
      </c>
      <c r="T166" s="52"/>
      <c r="U166" s="24">
        <f>Tabla1[[#This Row],[Total piezas NOK]]/Tabla1[[#This Row],[Cant. Fabricada (uds)]]</f>
        <v>6.5455307116300987E-2</v>
      </c>
    </row>
    <row r="167" spans="1:22" x14ac:dyDescent="0.3">
      <c r="A167" s="43">
        <v>44511</v>
      </c>
      <c r="B167" s="20" t="s">
        <v>839</v>
      </c>
      <c r="C167" s="20" t="s">
        <v>10</v>
      </c>
      <c r="D167" s="13" t="str">
        <f>VLOOKUP(C:C,'LListat referències'!A:B,2,FALSE)</f>
        <v xml:space="preserve">Tapa 100 ml prima </v>
      </c>
      <c r="E167" s="18" t="str">
        <f>VLOOKUP(C:C,'LListat referències'!A:D,4,FALSE)</f>
        <v>#26(100 ml)</v>
      </c>
      <c r="F167" s="49">
        <f>VLOOKUP(C:C,'LListat referències'!A:E,5,FALSE)</f>
        <v>30.3</v>
      </c>
      <c r="G167" s="49">
        <v>66.400000000000006</v>
      </c>
      <c r="H167" s="49">
        <v>4</v>
      </c>
      <c r="I167" s="75">
        <f>Tabla1[[#This Row],[Cant. Fabricada (uds)]]/Tabla1[[#This Row],[Cavidades]]*Tabla1[[#This Row],[Tiempo Ciclo]]/60/60</f>
        <v>5.8376666666666672</v>
      </c>
      <c r="J167" s="1" t="s">
        <v>15</v>
      </c>
      <c r="K167" s="25"/>
      <c r="L167" s="25">
        <v>7620</v>
      </c>
      <c r="M167" s="25">
        <v>8886</v>
      </c>
      <c r="N167" s="25">
        <v>8886</v>
      </c>
      <c r="O167" s="20">
        <v>38</v>
      </c>
      <c r="P167" s="1">
        <f>Tabla1[[#This Row],[Noche]]-Tabla1[[#This Row],[Mañana ]]</f>
        <v>1266</v>
      </c>
      <c r="Q167" s="58"/>
      <c r="R167" s="21">
        <f t="shared" si="5"/>
        <v>0</v>
      </c>
      <c r="S167" s="22">
        <f>Tabla1[[#This Row],[Merma Salas A &amp; B2]]*1000/Tabla1[[#This Row],[Peso gr.]]</f>
        <v>0</v>
      </c>
      <c r="T167" s="52">
        <v>25</v>
      </c>
      <c r="U167" s="24">
        <f>Tabla1[[#This Row],[Total piezas NOK]]/Tabla1[[#This Row],[Cant. Fabricada (uds)]]</f>
        <v>0</v>
      </c>
      <c r="V167" s="19" t="s">
        <v>865</v>
      </c>
    </row>
    <row r="168" spans="1:22" x14ac:dyDescent="0.3">
      <c r="A168" s="43">
        <v>44511</v>
      </c>
      <c r="B168" s="20" t="s">
        <v>878</v>
      </c>
      <c r="C168" s="20">
        <v>1905</v>
      </c>
      <c r="D168" s="13" t="str">
        <f>VLOOKUP(C:C,'LListat referències'!A:B,2,FALSE)</f>
        <v>Cubilet 50 ml 4uts</v>
      </c>
      <c r="E168" s="18" t="str">
        <f>VLOOKUP(C:C,'LListat referències'!A:D,4,FALSE)</f>
        <v/>
      </c>
      <c r="F168" s="49">
        <f>VLOOKUP(C:C,'LListat referències'!A:E,5,FALSE)</f>
        <v>3.55</v>
      </c>
      <c r="G168" s="49">
        <v>15.78</v>
      </c>
      <c r="H168" s="49">
        <v>4</v>
      </c>
      <c r="I168" s="75">
        <f>Tabla1[[#This Row],[Cant. Fabricada (uds)]]/Tabla1[[#This Row],[Cavidades]]*Tabla1[[#This Row],[Tiempo Ciclo]]/60/60</f>
        <v>3.3576333333333332</v>
      </c>
      <c r="J168" s="1" t="s">
        <v>797</v>
      </c>
      <c r="K168" s="25"/>
      <c r="L168" s="25">
        <v>17772</v>
      </c>
      <c r="M168" s="25">
        <v>20836</v>
      </c>
      <c r="N168" s="25">
        <v>20836</v>
      </c>
      <c r="O168" s="20">
        <v>19</v>
      </c>
      <c r="P168" s="1">
        <f>Tabla1[[#This Row],[Noche]]-Tabla1[[#This Row],[Mañana ]]</f>
        <v>3064</v>
      </c>
      <c r="Q168" s="58"/>
      <c r="R168" s="21">
        <f t="shared" si="5"/>
        <v>0</v>
      </c>
      <c r="S168" s="22">
        <f>Tabla1[[#This Row],[Merma Salas A &amp; B2]]*1000/Tabla1[[#This Row],[Peso gr.]]</f>
        <v>0</v>
      </c>
      <c r="T168" s="52"/>
      <c r="U168" s="24">
        <f>Tabla1[[#This Row],[Total piezas NOK]]/Tabla1[[#This Row],[Cant. Fabricada (uds)]]</f>
        <v>0</v>
      </c>
    </row>
    <row r="169" spans="1:22" x14ac:dyDescent="0.3">
      <c r="A169" s="43">
        <v>44511</v>
      </c>
      <c r="B169" s="20" t="s">
        <v>879</v>
      </c>
      <c r="C169" s="20">
        <v>1905</v>
      </c>
      <c r="D169" s="13" t="str">
        <f>VLOOKUP(C:C,'LListat referències'!A:B,2,FALSE)</f>
        <v>Cubilet 50 ml 4uts</v>
      </c>
      <c r="E169" s="18" t="str">
        <f>VLOOKUP(C:C,'LListat referències'!A:D,4,FALSE)</f>
        <v/>
      </c>
      <c r="F169" s="49">
        <f>VLOOKUP(C:C,'LListat referències'!A:E,5,FALSE)</f>
        <v>3.55</v>
      </c>
      <c r="G169" s="49">
        <v>15.78</v>
      </c>
      <c r="H169" s="49">
        <v>4</v>
      </c>
      <c r="I169" s="75">
        <f>Tabla1[[#This Row],[Cant. Fabricada (uds)]]/Tabla1[[#This Row],[Cavidades]]*Tabla1[[#This Row],[Tiempo Ciclo]]/60/60</f>
        <v>11.142433333333333</v>
      </c>
      <c r="J169" s="1" t="s">
        <v>797</v>
      </c>
      <c r="K169" s="25"/>
      <c r="L169" s="25">
        <v>0</v>
      </c>
      <c r="M169" s="25">
        <v>3316</v>
      </c>
      <c r="N169" s="25">
        <v>10168</v>
      </c>
      <c r="O169" s="20">
        <v>19</v>
      </c>
      <c r="P169" s="1">
        <f>Tabla1[[#This Row],[Noche]]-Tabla1[[#This Row],[Mañana ]]</f>
        <v>10168</v>
      </c>
      <c r="Q169" s="58"/>
      <c r="R169" s="21">
        <f t="shared" si="5"/>
        <v>0</v>
      </c>
      <c r="S169" s="22">
        <f>Tabla1[[#This Row],[Merma Salas A &amp; B2]]*1000/Tabla1[[#This Row],[Peso gr.]]</f>
        <v>0</v>
      </c>
      <c r="T169" s="52"/>
      <c r="U169" s="24">
        <f>Tabla1[[#This Row],[Total piezas NOK]]/Tabla1[[#This Row],[Cant. Fabricada (uds)]]</f>
        <v>0</v>
      </c>
    </row>
    <row r="170" spans="1:22" x14ac:dyDescent="0.3">
      <c r="A170" s="43">
        <v>44511</v>
      </c>
      <c r="B170" s="20" t="s">
        <v>882</v>
      </c>
      <c r="C170" s="20">
        <v>1207</v>
      </c>
      <c r="D170" s="13" t="str">
        <f>VLOOKUP(C:C,'LListat referències'!A:B,2,FALSE)</f>
        <v>Tap principia ovalat rosca gran</v>
      </c>
      <c r="E170" s="18" t="str">
        <f>VLOOKUP(C:C,'LListat referències'!A:D,4,FALSE)</f>
        <v/>
      </c>
      <c r="F170" s="49">
        <f>VLOOKUP(C:C,'LListat referències'!A:E,5,FALSE)</f>
        <v>9</v>
      </c>
      <c r="G170" s="49">
        <v>22</v>
      </c>
      <c r="H170" s="49">
        <v>3</v>
      </c>
      <c r="I170" s="75">
        <f>Tabla1[[#This Row],[Cant. Fabricada (uds)]]/Tabla1[[#This Row],[Cavidades]]*Tabla1[[#This Row],[Tiempo Ciclo]]/60/60</f>
        <v>2.963888888888889</v>
      </c>
      <c r="J170" s="1" t="s">
        <v>797</v>
      </c>
      <c r="K170" s="25"/>
      <c r="L170" s="25">
        <v>15004</v>
      </c>
      <c r="M170" s="25">
        <v>15706</v>
      </c>
      <c r="N170" s="25">
        <v>16459</v>
      </c>
      <c r="O170" s="20">
        <v>50</v>
      </c>
      <c r="P170" s="1">
        <f>Tabla1[[#This Row],[Noche]]-Tabla1[[#This Row],[Mañana ]]</f>
        <v>1455</v>
      </c>
      <c r="Q170" s="58"/>
      <c r="R170" s="21">
        <f t="shared" si="5"/>
        <v>0</v>
      </c>
      <c r="S170" s="22">
        <f>Tabla1[[#This Row],[Merma Salas A &amp; B2]]*1000/Tabla1[[#This Row],[Peso gr.]]</f>
        <v>0</v>
      </c>
      <c r="T170" s="52"/>
      <c r="U170" s="24">
        <f>Tabla1[[#This Row],[Total piezas NOK]]/Tabla1[[#This Row],[Cant. Fabricada (uds)]]</f>
        <v>0</v>
      </c>
    </row>
    <row r="171" spans="1:22" x14ac:dyDescent="0.3">
      <c r="A171" s="43">
        <v>44512</v>
      </c>
      <c r="B171" s="20" t="s">
        <v>857</v>
      </c>
      <c r="C171" s="20">
        <v>1800</v>
      </c>
      <c r="D171" s="13" t="str">
        <f>VLOOKUP(C:C,'LListat referències'!A:B,2,FALSE)</f>
        <v>Cubilet tarro juvena 30 ml</v>
      </c>
      <c r="E171" s="18" t="str">
        <f>VLOOKUP(C:C,'LListat referències'!A:D,4,FALSE)</f>
        <v/>
      </c>
      <c r="F171" s="49">
        <f>VLOOKUP(C:C,'LListat referències'!A:E,5,FALSE)</f>
        <v>5.86</v>
      </c>
      <c r="G171" s="49">
        <v>18.149999999999999</v>
      </c>
      <c r="H171" s="49">
        <v>2</v>
      </c>
      <c r="I171" s="75">
        <f>Tabla1[[#This Row],[Cant. Fabricada (uds)]]/Tabla1[[#This Row],[Cavidades]]*Tabla1[[#This Row],[Tiempo Ciclo]]/60/60</f>
        <v>-5.6643124999999994</v>
      </c>
      <c r="J171" s="1" t="s">
        <v>797</v>
      </c>
      <c r="K171" s="25"/>
      <c r="L171" s="25">
        <v>4498</v>
      </c>
      <c r="M171" s="25">
        <v>1198</v>
      </c>
      <c r="N171" s="25">
        <v>2251</v>
      </c>
      <c r="O171" s="20">
        <v>46</v>
      </c>
      <c r="P171" s="1">
        <f>Tabla1[[#This Row],[Noche]]-Tabla1[[#This Row],[Mañana ]]</f>
        <v>-2247</v>
      </c>
      <c r="Q171" s="58">
        <v>0</v>
      </c>
      <c r="R171" s="21">
        <f t="shared" si="5"/>
        <v>0</v>
      </c>
      <c r="S171" s="22">
        <f>Tabla1[[#This Row],[Merma Salas A &amp; B2]]*1000/Tabla1[[#This Row],[Peso gr.]]</f>
        <v>0</v>
      </c>
      <c r="T171" s="52"/>
      <c r="U171" s="24">
        <f>Tabla1[[#This Row],[Total piezas NOK]]/Tabla1[[#This Row],[Cant. Fabricada (uds)]]</f>
        <v>0</v>
      </c>
    </row>
    <row r="172" spans="1:22" x14ac:dyDescent="0.3">
      <c r="A172" s="43">
        <v>44512</v>
      </c>
      <c r="B172" s="20" t="s">
        <v>833</v>
      </c>
      <c r="C172" s="20" t="s">
        <v>478</v>
      </c>
      <c r="D172" s="13" t="str">
        <f>VLOOKUP(C:C,'LListat referències'!A:B,2,FALSE)</f>
        <v xml:space="preserve">Tarro 50 ml labiomar </v>
      </c>
      <c r="E172" s="18" t="str">
        <f>VLOOKUP(C:C,'LListat referències'!A:D,4,FALSE)</f>
        <v>T079</v>
      </c>
      <c r="F172" s="49">
        <f>VLOOKUP(C:C,'LListat referències'!A:E,5,FALSE)</f>
        <v>82.7</v>
      </c>
      <c r="G172" s="49">
        <v>105</v>
      </c>
      <c r="H172" s="49">
        <v>4</v>
      </c>
      <c r="I172" s="75">
        <f>Tabla1[[#This Row],[Cant. Fabricada (uds)]]/Tabla1[[#This Row],[Cavidades]]*Tabla1[[#This Row],[Tiempo Ciclo]]/60/60</f>
        <v>4.7687499999999998</v>
      </c>
      <c r="J172" s="1" t="s">
        <v>15</v>
      </c>
      <c r="K172" s="25"/>
      <c r="L172" s="25">
        <v>11204</v>
      </c>
      <c r="M172" s="25">
        <v>11204</v>
      </c>
      <c r="N172" s="25">
        <v>11858</v>
      </c>
      <c r="O172" s="20">
        <v>44</v>
      </c>
      <c r="P172" s="1">
        <f>Tabla1[[#This Row],[Noche]]-Tabla1[[#This Row],[Mañana ]]</f>
        <v>654</v>
      </c>
      <c r="Q172" s="58"/>
      <c r="R172" s="21">
        <f t="shared" si="5"/>
        <v>0</v>
      </c>
      <c r="S172" s="22">
        <f>Tabla1[[#This Row],[Merma Salas A &amp; B2]]*1000/Tabla1[[#This Row],[Peso gr.]]</f>
        <v>0</v>
      </c>
      <c r="T172" s="52"/>
      <c r="U172" s="24">
        <f>Tabla1[[#This Row],[Total piezas NOK]]/Tabla1[[#This Row],[Cant. Fabricada (uds)]]</f>
        <v>0</v>
      </c>
    </row>
    <row r="173" spans="1:22" x14ac:dyDescent="0.3">
      <c r="A173" s="43">
        <v>44512</v>
      </c>
      <c r="B173" s="20" t="s">
        <v>759</v>
      </c>
      <c r="C173" s="20" t="s">
        <v>513</v>
      </c>
      <c r="D173" s="13" t="str">
        <f>VLOOKUP(C:C,'LListat referències'!A:B,2,FALSE)</f>
        <v>Tarro 150 ml</v>
      </c>
      <c r="E173" s="18" t="str">
        <f>VLOOKUP(C:C,'LListat referències'!A:D,4,FALSE)</f>
        <v>T057</v>
      </c>
      <c r="F173" s="49">
        <f>VLOOKUP(C:C,'LListat referències'!A:E,5,FALSE)</f>
        <v>160</v>
      </c>
      <c r="G173" s="49"/>
      <c r="H173" s="49"/>
      <c r="I173" s="75" t="s">
        <v>842</v>
      </c>
      <c r="J173" s="1" t="s">
        <v>15</v>
      </c>
      <c r="K173" s="25"/>
      <c r="L173" s="25"/>
      <c r="M173" s="25"/>
      <c r="N173" s="25"/>
      <c r="O173" s="20"/>
      <c r="P173" s="1">
        <f>Tabla1[[#This Row],[Noche]]-Tabla1[[#This Row],[Mañana ]]</f>
        <v>0</v>
      </c>
      <c r="Q173" s="58"/>
      <c r="R173" s="21">
        <f t="shared" si="5"/>
        <v>0</v>
      </c>
      <c r="S173" s="22">
        <f>Tabla1[[#This Row],[Merma Salas A &amp; B2]]*1000/Tabla1[[#This Row],[Peso gr.]]</f>
        <v>0</v>
      </c>
      <c r="T173" s="52">
        <v>100</v>
      </c>
      <c r="U173" s="24" t="s">
        <v>842</v>
      </c>
      <c r="V173" s="19" t="s">
        <v>863</v>
      </c>
    </row>
    <row r="174" spans="1:22" x14ac:dyDescent="0.3">
      <c r="A174" s="43">
        <v>44512</v>
      </c>
      <c r="B174" s="20" t="s">
        <v>756</v>
      </c>
      <c r="C174" s="20" t="s">
        <v>644</v>
      </c>
      <c r="D174" s="13" t="str">
        <f>VLOOKUP(C:C,'LListat referències'!A:B,2,FALSE)</f>
        <v>Tarro 200ml Quadrat estret (Tapa Rodona)</v>
      </c>
      <c r="E174" s="18">
        <f>VLOOKUP(C:C,'LListat referències'!A:D,4,FALSE)</f>
        <v>0</v>
      </c>
      <c r="F174" s="49">
        <f>VLOOKUP(C:C,'LListat referències'!A:E,5,FALSE)</f>
        <v>220.84</v>
      </c>
      <c r="G174" s="49">
        <v>122.41</v>
      </c>
      <c r="H174" s="49">
        <v>1</v>
      </c>
      <c r="I174" s="75">
        <f>Tabla1[[#This Row],[Cant. Fabricada (uds)]]/Tabla1[[#This Row],[Cavidades]]*Tabla1[[#This Row],[Tiempo Ciclo]]/60/60</f>
        <v>12.649033333333332</v>
      </c>
      <c r="J174" s="1" t="s">
        <v>7</v>
      </c>
      <c r="K174" s="25"/>
      <c r="L174" s="25">
        <v>23304</v>
      </c>
      <c r="M174" s="25">
        <v>23498</v>
      </c>
      <c r="N174" s="25">
        <v>23676</v>
      </c>
      <c r="O174" s="20">
        <v>41</v>
      </c>
      <c r="P174" s="1">
        <f>Tabla1[[#This Row],[Noche]]-Tabla1[[#This Row],[Mañana ]]</f>
        <v>372</v>
      </c>
      <c r="Q174" s="58">
        <v>3</v>
      </c>
      <c r="R174" s="21">
        <f t="shared" si="5"/>
        <v>3</v>
      </c>
      <c r="S174" s="22">
        <f>Tabla1[[#This Row],[Merma Salas A &amp; B2]]*1000/Tabla1[[#This Row],[Peso gr.]]</f>
        <v>13.584495562398116</v>
      </c>
      <c r="T174" s="52"/>
      <c r="U174" s="24">
        <f>Tabla1[[#This Row],[Total piezas NOK]]/Tabla1[[#This Row],[Cant. Fabricada (uds)]]</f>
        <v>3.6517461189242248E-2</v>
      </c>
    </row>
    <row r="175" spans="1:22" x14ac:dyDescent="0.3">
      <c r="A175" s="43">
        <v>44512</v>
      </c>
      <c r="B175" s="20" t="s">
        <v>871</v>
      </c>
      <c r="C175" s="20">
        <v>1879</v>
      </c>
      <c r="D175" s="13" t="str">
        <f>VLOOKUP(C:C,'LListat referències'!A:B,2,FALSE)</f>
        <v>Tapa tarro rectagular 50 ml</v>
      </c>
      <c r="E175" s="18" t="str">
        <f>VLOOKUP(C:C,'LListat referències'!A:D,4,FALSE)</f>
        <v>#23 (50 ml)</v>
      </c>
      <c r="F175" s="49">
        <f>VLOOKUP(C:C,'LListat referències'!A:E,5,FALSE)</f>
        <v>22.6</v>
      </c>
      <c r="G175" s="49">
        <v>73.69</v>
      </c>
      <c r="H175" s="49">
        <v>4</v>
      </c>
      <c r="I175" s="75">
        <f>Tabla1[[#This Row],[Cant. Fabricada (uds)]]/Tabla1[[#This Row],[Cavidades]]*Tabla1[[#This Row],[Tiempo Ciclo]]/60/60</f>
        <v>5.8030874999999993</v>
      </c>
      <c r="J175" s="1" t="s">
        <v>15</v>
      </c>
      <c r="K175" s="25"/>
      <c r="L175" s="25">
        <v>2292</v>
      </c>
      <c r="M175" s="25">
        <v>2872</v>
      </c>
      <c r="N175" s="25">
        <v>3426</v>
      </c>
      <c r="O175" s="20">
        <v>20</v>
      </c>
      <c r="P175" s="1">
        <f>Tabla1[[#This Row],[Noche]]-Tabla1[[#This Row],[Mañana ]]</f>
        <v>1134</v>
      </c>
      <c r="Q175" s="58">
        <v>4</v>
      </c>
      <c r="R175" s="21">
        <f t="shared" si="5"/>
        <v>4</v>
      </c>
      <c r="S175" s="22">
        <f>Tabla1[[#This Row],[Merma Salas A &amp; B2]]*1000/Tabla1[[#This Row],[Peso gr.]]</f>
        <v>176.99115044247787</v>
      </c>
      <c r="T175" s="52"/>
      <c r="U175" s="24">
        <f>Tabla1[[#This Row],[Total piezas NOK]]/Tabla1[[#This Row],[Cant. Fabricada (uds)]]</f>
        <v>0.15607685224204398</v>
      </c>
    </row>
    <row r="176" spans="1:22" x14ac:dyDescent="0.3">
      <c r="A176" s="43">
        <v>44512</v>
      </c>
      <c r="B176" s="20" t="s">
        <v>753</v>
      </c>
      <c r="C176" s="20">
        <v>1945</v>
      </c>
      <c r="D176" s="13" t="str">
        <f>VLOOKUP(C:C,'LListat referències'!A:B,2,FALSE)</f>
        <v>Tarro 400 ml</v>
      </c>
      <c r="E176" s="18" t="str">
        <f>VLOOKUP(C:C,'LListat referències'!A:D,4,FALSE)</f>
        <v>T113</v>
      </c>
      <c r="F176" s="49">
        <f>VLOOKUP(C:C,'LListat referències'!A:E,5,FALSE)</f>
        <v>211</v>
      </c>
      <c r="G176" s="49">
        <v>102</v>
      </c>
      <c r="H176" s="49">
        <v>2</v>
      </c>
      <c r="I176" s="75">
        <f>Tabla1[[#This Row],[Cant. Fabricada (uds)]]/Tabla1[[#This Row],[Cavidades]]*Tabla1[[#This Row],[Tiempo Ciclo]]/60/60</f>
        <v>12.664999999999999</v>
      </c>
      <c r="J176" s="1" t="s">
        <v>15</v>
      </c>
      <c r="K176" s="25"/>
      <c r="L176" s="25">
        <v>2800</v>
      </c>
      <c r="M176" s="25">
        <v>3236</v>
      </c>
      <c r="N176" s="25">
        <v>3694</v>
      </c>
      <c r="O176" s="20">
        <v>7</v>
      </c>
      <c r="P176" s="1">
        <f>Tabla1[[#This Row],[Noche]]-Tabla1[[#This Row],[Mañana ]]</f>
        <v>894</v>
      </c>
      <c r="Q176" s="58"/>
      <c r="R176" s="21">
        <f t="shared" si="5"/>
        <v>0</v>
      </c>
      <c r="S176" s="22">
        <f>Tabla1[[#This Row],[Merma Salas A &amp; B2]]*1000/Tabla1[[#This Row],[Peso gr.]]</f>
        <v>0</v>
      </c>
      <c r="T176" s="52">
        <v>30</v>
      </c>
      <c r="U176" s="24">
        <f>Tabla1[[#This Row],[Total piezas NOK]]/Tabla1[[#This Row],[Cant. Fabricada (uds)]]</f>
        <v>0</v>
      </c>
      <c r="V176" s="19" t="s">
        <v>872</v>
      </c>
    </row>
    <row r="177" spans="1:22" x14ac:dyDescent="0.3">
      <c r="A177" s="43">
        <v>44512</v>
      </c>
      <c r="B177" s="20" t="s">
        <v>873</v>
      </c>
      <c r="C177" s="20">
        <v>1704</v>
      </c>
      <c r="D177" s="13" t="str">
        <f>VLOOKUP(C:C,'LListat referències'!A:B,2,FALSE)</f>
        <v>Tarro 50 ml quadrat</v>
      </c>
      <c r="E177" s="18" t="str">
        <f>VLOOKUP(C:C,'LListat referències'!A:D,4,FALSE)</f>
        <v>T046</v>
      </c>
      <c r="F177" s="49">
        <f>VLOOKUP(C:C,'LListat referències'!A:E,5,FALSE)</f>
        <v>99.2</v>
      </c>
      <c r="G177" s="49"/>
      <c r="H177" s="49"/>
      <c r="I177" s="75" t="s">
        <v>842</v>
      </c>
      <c r="J177" s="1" t="s">
        <v>15</v>
      </c>
      <c r="K177" s="25"/>
      <c r="L177" s="25"/>
      <c r="M177" s="25"/>
      <c r="N177" s="25"/>
      <c r="O177" s="20"/>
      <c r="P177" s="1">
        <f>Tabla1[[#This Row],[Noche]]-Tabla1[[#This Row],[Mañana ]]</f>
        <v>0</v>
      </c>
      <c r="Q177" s="58"/>
      <c r="R177" s="21">
        <f t="shared" si="5"/>
        <v>0</v>
      </c>
      <c r="S177" s="22">
        <f>Tabla1[[#This Row],[Merma Salas A &amp; B2]]*1000/Tabla1[[#This Row],[Peso gr.]]</f>
        <v>0</v>
      </c>
      <c r="T177" s="52">
        <v>265</v>
      </c>
      <c r="U177" s="24" t="s">
        <v>842</v>
      </c>
      <c r="V177" s="19" t="s">
        <v>874</v>
      </c>
    </row>
    <row r="178" spans="1:22" x14ac:dyDescent="0.3">
      <c r="A178" s="43">
        <v>44512</v>
      </c>
      <c r="B178" s="20" t="s">
        <v>880</v>
      </c>
      <c r="C178" s="20">
        <v>1905</v>
      </c>
      <c r="D178" s="13" t="str">
        <f>VLOOKUP(C:C,'LListat referències'!A:B,2,FALSE)</f>
        <v>Cubilet 50 ml 4uts</v>
      </c>
      <c r="E178" s="18" t="str">
        <f>VLOOKUP(C:C,'LListat referències'!A:D,4,FALSE)</f>
        <v/>
      </c>
      <c r="F178" s="49">
        <f>VLOOKUP(C:C,'LListat referències'!A:E,5,FALSE)</f>
        <v>3.55</v>
      </c>
      <c r="G178" s="49">
        <v>15.78</v>
      </c>
      <c r="H178" s="49">
        <v>4</v>
      </c>
      <c r="I178" s="75">
        <f>Tabla1[[#This Row],[Cant. Fabricada (uds)]]/Tabla1[[#This Row],[Cavidades]]*Tabla1[[#This Row],[Tiempo Ciclo]]/60/60</f>
        <v>5.0298749999999997</v>
      </c>
      <c r="J178" s="1" t="s">
        <v>797</v>
      </c>
      <c r="K178" s="25"/>
      <c r="L178" s="25">
        <v>0</v>
      </c>
      <c r="M178" s="25">
        <v>402</v>
      </c>
      <c r="N178" s="25">
        <v>4590</v>
      </c>
      <c r="O178" s="20">
        <v>19</v>
      </c>
      <c r="P178" s="1">
        <f>Tabla1[[#This Row],[Noche]]-Tabla1[[#This Row],[Mañana ]]</f>
        <v>4590</v>
      </c>
      <c r="Q178" s="58"/>
      <c r="R178" s="21">
        <f t="shared" si="5"/>
        <v>0</v>
      </c>
      <c r="S178" s="22">
        <f>Tabla1[[#This Row],[Merma Salas A &amp; B2]]*1000/Tabla1[[#This Row],[Peso gr.]]</f>
        <v>0</v>
      </c>
      <c r="T178" s="52"/>
      <c r="U178" s="24">
        <f>Tabla1[[#This Row],[Total piezas NOK]]/Tabla1[[#This Row],[Cant. Fabricada (uds)]]</f>
        <v>0</v>
      </c>
    </row>
    <row r="179" spans="1:22" x14ac:dyDescent="0.3">
      <c r="A179" s="43">
        <v>44512</v>
      </c>
      <c r="B179" s="20" t="s">
        <v>882</v>
      </c>
      <c r="C179" s="20">
        <v>1207</v>
      </c>
      <c r="D179" s="13" t="str">
        <f>VLOOKUP(C:C,'LListat referències'!A:B,2,FALSE)</f>
        <v>Tap principia ovalat rosca gran</v>
      </c>
      <c r="E179" s="18" t="str">
        <f>VLOOKUP(C:C,'LListat referències'!A:D,4,FALSE)</f>
        <v/>
      </c>
      <c r="F179" s="49">
        <f>VLOOKUP(C:C,'LListat referències'!A:E,5,FALSE)</f>
        <v>9</v>
      </c>
      <c r="G179" s="49">
        <v>22</v>
      </c>
      <c r="H179" s="49">
        <v>3</v>
      </c>
      <c r="I179" s="75">
        <f>Tabla1[[#This Row],[Cant. Fabricada (uds)]]/Tabla1[[#This Row],[Cavidades]]*Tabla1[[#This Row],[Tiempo Ciclo]]/60/60</f>
        <v>2.5911111111111111</v>
      </c>
      <c r="J179" s="1" t="s">
        <v>797</v>
      </c>
      <c r="K179" s="25"/>
      <c r="L179" s="25">
        <v>17322</v>
      </c>
      <c r="M179" s="25">
        <v>17903</v>
      </c>
      <c r="N179" s="25">
        <v>18594</v>
      </c>
      <c r="O179" s="20">
        <v>50</v>
      </c>
      <c r="P179" s="1">
        <f>Tabla1[[#This Row],[Noche]]-Tabla1[[#This Row],[Mañana ]]</f>
        <v>1272</v>
      </c>
      <c r="Q179" s="58"/>
      <c r="R179" s="21">
        <f t="shared" si="5"/>
        <v>0</v>
      </c>
      <c r="S179" s="22">
        <f>Tabla1[[#This Row],[Merma Salas A &amp; B2]]*1000/Tabla1[[#This Row],[Peso gr.]]</f>
        <v>0</v>
      </c>
      <c r="T179" s="52"/>
      <c r="U179" s="24">
        <f>Tabla1[[#This Row],[Total piezas NOK]]/Tabla1[[#This Row],[Cant. Fabricada (uds)]]</f>
        <v>0</v>
      </c>
    </row>
    <row r="180" spans="1:22" x14ac:dyDescent="0.3">
      <c r="A180" s="43">
        <v>44512</v>
      </c>
      <c r="B180" s="20" t="s">
        <v>771</v>
      </c>
      <c r="C180" s="20" t="s">
        <v>615</v>
      </c>
      <c r="D180" s="13" t="str">
        <f>VLOOKUP(C:C,'LListat referències'!A:B,2,FALSE)</f>
        <v>Tarro 50ml Tinter Quadrat</v>
      </c>
      <c r="E180" s="18" t="str">
        <f>VLOOKUP(C:C,'LListat referències'!A:D,4,FALSE)</f>
        <v>T116</v>
      </c>
      <c r="F180" s="49">
        <f>VLOOKUP(C:C,'LListat referències'!A:E,5,FALSE)</f>
        <v>121.5</v>
      </c>
      <c r="G180" s="49">
        <v>126.1</v>
      </c>
      <c r="H180" s="49">
        <v>2</v>
      </c>
      <c r="I180" s="75">
        <f>Tabla1[[#This Row],[Cant. Fabricada (uds)]]/Tabla1[[#This Row],[Cavidades]]*Tabla1[[#This Row],[Tiempo Ciclo]]/60/60</f>
        <v>18.179416666666665</v>
      </c>
      <c r="J180" s="1" t="s">
        <v>8</v>
      </c>
      <c r="K180" s="25"/>
      <c r="L180" s="25">
        <v>12912</v>
      </c>
      <c r="M180" s="25">
        <v>13808</v>
      </c>
      <c r="N180" s="25">
        <v>13950</v>
      </c>
      <c r="O180" s="20">
        <v>30</v>
      </c>
      <c r="P180" s="1">
        <f>Tabla1[[#This Row],[Noche]]-Tabla1[[#This Row],[Mañana ]]</f>
        <v>1038</v>
      </c>
      <c r="Q180" s="58">
        <v>5</v>
      </c>
      <c r="R180" s="21">
        <f t="shared" si="5"/>
        <v>5</v>
      </c>
      <c r="S180" s="22">
        <f>Tabla1[[#This Row],[Merma Salas A &amp; B2]]*1000/Tabla1[[#This Row],[Peso gr.]]</f>
        <v>41.152263374485599</v>
      </c>
      <c r="T180" s="52"/>
      <c r="U180" s="24">
        <f>Tabla1[[#This Row],[Total piezas NOK]]/Tabla1[[#This Row],[Cant. Fabricada (uds)]]</f>
        <v>3.9645725794302117E-2</v>
      </c>
    </row>
    <row r="181" spans="1:22" x14ac:dyDescent="0.3">
      <c r="A181" s="43">
        <v>44515</v>
      </c>
      <c r="B181" s="20" t="s">
        <v>857</v>
      </c>
      <c r="C181" s="20">
        <v>1800</v>
      </c>
      <c r="D181" s="13" t="str">
        <f>VLOOKUP(C:C,'LListat referències'!A:B,2,FALSE)</f>
        <v>Cubilet tarro juvena 30 ml</v>
      </c>
      <c r="E181" s="18" t="str">
        <f>VLOOKUP(C:C,'LListat referències'!A:D,4,FALSE)</f>
        <v/>
      </c>
      <c r="F181" s="49">
        <f>VLOOKUP(C:C,'LListat referències'!A:E,5,FALSE)</f>
        <v>5.86</v>
      </c>
      <c r="G181" s="49">
        <v>18.149999999999999</v>
      </c>
      <c r="H181" s="49">
        <v>2</v>
      </c>
      <c r="I181" s="75">
        <f>Tabla1[[#This Row],[Cant. Fabricada (uds)]]/Tabla1[[#This Row],[Cavidades]]*Tabla1[[#This Row],[Tiempo Ciclo]]/60/60</f>
        <v>5.8382499999999995</v>
      </c>
      <c r="J181" s="1" t="s">
        <v>797</v>
      </c>
      <c r="K181" s="25"/>
      <c r="L181" s="25">
        <v>3354</v>
      </c>
      <c r="M181" s="25">
        <v>4496</v>
      </c>
      <c r="N181" s="25">
        <v>5670</v>
      </c>
      <c r="O181" s="20">
        <v>46</v>
      </c>
      <c r="P181" s="1">
        <f>Tabla1[[#This Row],[Noche]]-Tabla1[[#This Row],[Mañana ]]</f>
        <v>2316</v>
      </c>
      <c r="Q181" s="58">
        <v>0</v>
      </c>
      <c r="R181" s="21">
        <f t="shared" si="5"/>
        <v>0</v>
      </c>
      <c r="S181" s="22">
        <f>Tabla1[[#This Row],[Merma Salas A &amp; B2]]*1000/Tabla1[[#This Row],[Peso gr.]]</f>
        <v>0</v>
      </c>
      <c r="T181" s="52"/>
      <c r="U181" s="24">
        <f>Tabla1[[#This Row],[Total piezas NOK]]/Tabla1[[#This Row],[Cant. Fabricada (uds)]]</f>
        <v>0</v>
      </c>
    </row>
    <row r="182" spans="1:22" x14ac:dyDescent="0.3">
      <c r="A182" s="43">
        <v>44515</v>
      </c>
      <c r="B182" s="20" t="s">
        <v>833</v>
      </c>
      <c r="C182" s="20" t="s">
        <v>478</v>
      </c>
      <c r="D182" s="13" t="str">
        <f>VLOOKUP(C:C,'LListat referències'!A:B,2,FALSE)</f>
        <v xml:space="preserve">Tarro 50 ml labiomar </v>
      </c>
      <c r="E182" s="18" t="str">
        <f>VLOOKUP(C:C,'LListat referències'!A:D,4,FALSE)</f>
        <v>T079</v>
      </c>
      <c r="F182" s="49">
        <f>VLOOKUP(C:C,'LListat referències'!A:E,5,FALSE)</f>
        <v>82.7</v>
      </c>
      <c r="G182" s="49">
        <v>105</v>
      </c>
      <c r="H182" s="49">
        <v>4</v>
      </c>
      <c r="I182" s="75">
        <f>Tabla1[[#This Row],[Cant. Fabricada (uds)]]/Tabla1[[#This Row],[Cavidades]]*Tabla1[[#This Row],[Tiempo Ciclo]]/60/60</f>
        <v>11.768750000000001</v>
      </c>
      <c r="J182" s="1" t="s">
        <v>15</v>
      </c>
      <c r="K182" s="25"/>
      <c r="L182" s="25">
        <v>12470</v>
      </c>
      <c r="M182" s="25">
        <v>13292</v>
      </c>
      <c r="N182" s="25">
        <v>14084</v>
      </c>
      <c r="O182" s="20">
        <v>44</v>
      </c>
      <c r="P182" s="1">
        <f>Tabla1[[#This Row],[Noche]]-Tabla1[[#This Row],[Mañana ]]</f>
        <v>1614</v>
      </c>
      <c r="Q182" s="58"/>
      <c r="R182" s="21">
        <f t="shared" si="5"/>
        <v>0</v>
      </c>
      <c r="S182" s="22">
        <f>Tabla1[[#This Row],[Merma Salas A &amp; B2]]*1000/Tabla1[[#This Row],[Peso gr.]]</f>
        <v>0</v>
      </c>
      <c r="T182" s="52"/>
      <c r="U182" s="24">
        <f>Tabla1[[#This Row],[Total piezas NOK]]/Tabla1[[#This Row],[Cant. Fabricada (uds)]]</f>
        <v>0</v>
      </c>
    </row>
    <row r="183" spans="1:22" x14ac:dyDescent="0.3">
      <c r="A183" s="43">
        <v>44515</v>
      </c>
      <c r="B183" s="20" t="s">
        <v>759</v>
      </c>
      <c r="C183" s="20" t="s">
        <v>513</v>
      </c>
      <c r="D183" s="13" t="str">
        <f>VLOOKUP(C:C,'LListat referències'!A:B,2,FALSE)</f>
        <v>Tarro 150 ml</v>
      </c>
      <c r="E183" s="18" t="str">
        <f>VLOOKUP(C:C,'LListat referències'!A:D,4,FALSE)</f>
        <v>T057</v>
      </c>
      <c r="F183" s="49">
        <f>VLOOKUP(C:C,'LListat referències'!A:E,5,FALSE)</f>
        <v>160</v>
      </c>
      <c r="G183" s="49"/>
      <c r="H183" s="49"/>
      <c r="I183" s="75" t="s">
        <v>842</v>
      </c>
      <c r="J183" s="1" t="s">
        <v>15</v>
      </c>
      <c r="K183" s="25"/>
      <c r="L183" s="25"/>
      <c r="M183" s="25"/>
      <c r="N183" s="25"/>
      <c r="O183" s="20">
        <v>40</v>
      </c>
      <c r="P183" s="1">
        <f>Tabla1[[#This Row],[Noche]]-Tabla1[[#This Row],[Mañana ]]</f>
        <v>0</v>
      </c>
      <c r="Q183" s="58"/>
      <c r="R183" s="21">
        <f t="shared" si="5"/>
        <v>0</v>
      </c>
      <c r="S183" s="22">
        <f>Tabla1[[#This Row],[Merma Salas A &amp; B2]]*1000/Tabla1[[#This Row],[Peso gr.]]</f>
        <v>0</v>
      </c>
      <c r="T183" s="52">
        <v>85</v>
      </c>
      <c r="U183" s="24" t="s">
        <v>842</v>
      </c>
      <c r="V183" s="19" t="s">
        <v>864</v>
      </c>
    </row>
    <row r="184" spans="1:22" x14ac:dyDescent="0.3">
      <c r="A184" s="43">
        <v>44515</v>
      </c>
      <c r="B184" s="20" t="s">
        <v>756</v>
      </c>
      <c r="C184" s="20" t="s">
        <v>644</v>
      </c>
      <c r="D184" s="13" t="str">
        <f>VLOOKUP(C:C,'LListat referències'!A:B,2,FALSE)</f>
        <v>Tarro 200ml Quadrat estret (Tapa Rodona)</v>
      </c>
      <c r="E184" s="18">
        <f>VLOOKUP(C:C,'LListat referències'!A:D,4,FALSE)</f>
        <v>0</v>
      </c>
      <c r="F184" s="49">
        <f>VLOOKUP(C:C,'LListat referències'!A:E,5,FALSE)</f>
        <v>220.84</v>
      </c>
      <c r="G184" s="49">
        <v>122.41</v>
      </c>
      <c r="H184" s="49">
        <v>1</v>
      </c>
      <c r="I184" s="75">
        <f>Tabla1[[#This Row],[Cant. Fabricada (uds)]]/Tabla1[[#This Row],[Cavidades]]*Tabla1[[#This Row],[Tiempo Ciclo]]/60/60</f>
        <v>15.879297222222222</v>
      </c>
      <c r="J184" s="1" t="s">
        <v>7</v>
      </c>
      <c r="K184" s="25"/>
      <c r="L184" s="25">
        <v>23877</v>
      </c>
      <c r="M184" s="25">
        <v>24109</v>
      </c>
      <c r="N184" s="25">
        <v>24344</v>
      </c>
      <c r="O184" s="20">
        <v>41</v>
      </c>
      <c r="P184" s="1">
        <f>Tabla1[[#This Row],[Noche]]-Tabla1[[#This Row],[Mañana ]]</f>
        <v>467</v>
      </c>
      <c r="Q184" s="58">
        <v>2.5</v>
      </c>
      <c r="R184" s="21">
        <f t="shared" si="5"/>
        <v>2.5</v>
      </c>
      <c r="S184" s="22">
        <f>Tabla1[[#This Row],[Merma Salas A &amp; B2]]*1000/Tabla1[[#This Row],[Peso gr.]]</f>
        <v>11.320412968665098</v>
      </c>
      <c r="T184" s="52"/>
      <c r="U184" s="24">
        <f>Tabla1[[#This Row],[Total piezas NOK]]/Tabla1[[#This Row],[Cant. Fabricada (uds)]]</f>
        <v>2.4240712995000208E-2</v>
      </c>
    </row>
    <row r="185" spans="1:22" x14ac:dyDescent="0.3">
      <c r="A185" s="43">
        <v>44515</v>
      </c>
      <c r="B185" s="20" t="s">
        <v>871</v>
      </c>
      <c r="C185" s="20">
        <v>1879</v>
      </c>
      <c r="D185" s="13" t="str">
        <f>VLOOKUP(C:C,'LListat referències'!A:B,2,FALSE)</f>
        <v>Tapa tarro rectagular 50 ml</v>
      </c>
      <c r="E185" s="18" t="str">
        <f>VLOOKUP(C:C,'LListat referències'!A:D,4,FALSE)</f>
        <v>#23 (50 ml)</v>
      </c>
      <c r="F185" s="49">
        <f>VLOOKUP(C:C,'LListat referències'!A:E,5,FALSE)</f>
        <v>22.6</v>
      </c>
      <c r="G185" s="49">
        <v>73.69</v>
      </c>
      <c r="H185" s="49">
        <v>4</v>
      </c>
      <c r="I185" s="75">
        <f>Tabla1[[#This Row],[Cant. Fabricada (uds)]]/Tabla1[[#This Row],[Cavidades]]*Tabla1[[#This Row],[Tiempo Ciclo]]/60/60</f>
        <v>6.3659972222222221</v>
      </c>
      <c r="J185" s="1" t="s">
        <v>15</v>
      </c>
      <c r="K185" s="25"/>
      <c r="L185" s="25">
        <v>3814</v>
      </c>
      <c r="M185" s="25">
        <v>4382</v>
      </c>
      <c r="N185" s="25">
        <v>5058</v>
      </c>
      <c r="O185" s="20">
        <v>20</v>
      </c>
      <c r="P185" s="1">
        <f>Tabla1[[#This Row],[Noche]]-Tabla1[[#This Row],[Mañana ]]</f>
        <v>1244</v>
      </c>
      <c r="Q185" s="58">
        <v>4</v>
      </c>
      <c r="R185" s="21">
        <f t="shared" si="5"/>
        <v>4</v>
      </c>
      <c r="S185" s="22">
        <f>Tabla1[[#This Row],[Merma Salas A &amp; B2]]*1000/Tabla1[[#This Row],[Peso gr.]]</f>
        <v>176.99115044247787</v>
      </c>
      <c r="T185" s="52"/>
      <c r="U185" s="24">
        <f>Tabla1[[#This Row],[Total piezas NOK]]/Tabla1[[#This Row],[Cant. Fabricada (uds)]]</f>
        <v>0.14227584440713656</v>
      </c>
    </row>
    <row r="186" spans="1:22" x14ac:dyDescent="0.3">
      <c r="A186" s="43">
        <v>44515</v>
      </c>
      <c r="B186" s="20" t="s">
        <v>753</v>
      </c>
      <c r="C186" s="20">
        <v>1945</v>
      </c>
      <c r="D186" s="13" t="str">
        <f>VLOOKUP(C:C,'LListat referències'!A:B,2,FALSE)</f>
        <v>Tarro 400 ml</v>
      </c>
      <c r="E186" s="18" t="str">
        <f>VLOOKUP(C:C,'LListat referències'!A:D,4,FALSE)</f>
        <v>T113</v>
      </c>
      <c r="F186" s="49">
        <f>VLOOKUP(C:C,'LListat referències'!A:E,5,FALSE)</f>
        <v>211</v>
      </c>
      <c r="G186" s="49">
        <v>102</v>
      </c>
      <c r="H186" s="49">
        <v>2</v>
      </c>
      <c r="I186" s="75">
        <f>Tabla1[[#This Row],[Cant. Fabricada (uds)]]/Tabla1[[#This Row],[Cavidades]]*Tabla1[[#This Row],[Tiempo Ciclo]]/60/60</f>
        <v>21.731666666666669</v>
      </c>
      <c r="J186" s="1" t="s">
        <v>15</v>
      </c>
      <c r="K186" s="25"/>
      <c r="L186" s="25">
        <v>3694</v>
      </c>
      <c r="M186" s="25">
        <v>4658</v>
      </c>
      <c r="N186" s="25">
        <v>5228</v>
      </c>
      <c r="O186" s="20">
        <v>7</v>
      </c>
      <c r="P186" s="1">
        <f>Tabla1[[#This Row],[Noche]]-Tabla1[[#This Row],[Mañana ]]</f>
        <v>1534</v>
      </c>
      <c r="Q186" s="58"/>
      <c r="R186" s="21">
        <f t="shared" si="5"/>
        <v>0</v>
      </c>
      <c r="S186" s="22">
        <f>Tabla1[[#This Row],[Merma Salas A &amp; B2]]*1000/Tabla1[[#This Row],[Peso gr.]]</f>
        <v>0</v>
      </c>
      <c r="T186" s="52">
        <v>25</v>
      </c>
      <c r="U186" s="24">
        <f>Tabla1[[#This Row],[Total piezas NOK]]/Tabla1[[#This Row],[Cant. Fabricada (uds)]]</f>
        <v>0</v>
      </c>
      <c r="V186" s="19" t="s">
        <v>872</v>
      </c>
    </row>
    <row r="187" spans="1:22" x14ac:dyDescent="0.3">
      <c r="A187" s="43">
        <v>44515</v>
      </c>
      <c r="B187" s="20" t="s">
        <v>880</v>
      </c>
      <c r="C187" s="20">
        <v>1905</v>
      </c>
      <c r="D187" s="13" t="str">
        <f>VLOOKUP(C:C,'LListat referències'!A:B,2,FALSE)</f>
        <v>Cubilet 50 ml 4uts</v>
      </c>
      <c r="E187" s="18" t="str">
        <f>VLOOKUP(C:C,'LListat referències'!A:D,4,FALSE)</f>
        <v/>
      </c>
      <c r="F187" s="49">
        <f>VLOOKUP(C:C,'LListat referències'!A:E,5,FALSE)</f>
        <v>3.55</v>
      </c>
      <c r="G187" s="49">
        <v>15.78</v>
      </c>
      <c r="H187" s="49">
        <v>4</v>
      </c>
      <c r="I187" s="75">
        <f>Tabla1[[#This Row],[Cant. Fabricada (uds)]]/Tabla1[[#This Row],[Cavidades]]*Tabla1[[#This Row],[Tiempo Ciclo]]/60/60</f>
        <v>2.8097166666666666</v>
      </c>
      <c r="J187" s="1" t="s">
        <v>797</v>
      </c>
      <c r="K187" s="25"/>
      <c r="L187" s="25">
        <v>11482</v>
      </c>
      <c r="M187" s="25">
        <v>14046</v>
      </c>
      <c r="N187" s="25">
        <v>14046</v>
      </c>
      <c r="O187" s="20">
        <v>19</v>
      </c>
      <c r="P187" s="1">
        <f>Tabla1[[#This Row],[Noche]]-Tabla1[[#This Row],[Mañana ]]</f>
        <v>2564</v>
      </c>
      <c r="Q187" s="58"/>
      <c r="R187" s="21">
        <f t="shared" si="5"/>
        <v>0</v>
      </c>
      <c r="S187" s="22">
        <f>Tabla1[[#This Row],[Merma Salas A &amp; B2]]*1000/Tabla1[[#This Row],[Peso gr.]]</f>
        <v>0</v>
      </c>
      <c r="T187" s="52"/>
      <c r="U187" s="24">
        <f>Tabla1[[#This Row],[Total piezas NOK]]/Tabla1[[#This Row],[Cant. Fabricada (uds)]]</f>
        <v>0</v>
      </c>
    </row>
    <row r="188" spans="1:22" x14ac:dyDescent="0.3">
      <c r="A188" s="43">
        <v>44515</v>
      </c>
      <c r="B188" s="20" t="s">
        <v>771</v>
      </c>
      <c r="C188" s="20" t="s">
        <v>615</v>
      </c>
      <c r="D188" s="13" t="str">
        <f>VLOOKUP(C:C,'LListat referències'!A:B,2,FALSE)</f>
        <v>Tarro 50ml Tinter Quadrat</v>
      </c>
      <c r="E188" s="18" t="str">
        <f>VLOOKUP(C:C,'LListat referències'!A:D,4,FALSE)</f>
        <v>T116</v>
      </c>
      <c r="F188" s="49">
        <f>VLOOKUP(C:C,'LListat referències'!A:E,5,FALSE)</f>
        <v>121.5</v>
      </c>
      <c r="G188" s="49">
        <v>126.1</v>
      </c>
      <c r="H188" s="49">
        <v>2</v>
      </c>
      <c r="I188" s="75">
        <f>Tabla1[[#This Row],[Cant. Fabricada (uds)]]/Tabla1[[#This Row],[Cavidades]]*Tabla1[[#This Row],[Tiempo Ciclo]]/60/60</f>
        <v>1.9615555555555555</v>
      </c>
      <c r="J188" s="1" t="s">
        <v>8</v>
      </c>
      <c r="K188" s="25"/>
      <c r="L188" s="25">
        <v>14140</v>
      </c>
      <c r="M188" s="25">
        <v>14252</v>
      </c>
      <c r="N188" s="25">
        <v>14252</v>
      </c>
      <c r="O188" s="20">
        <v>30</v>
      </c>
      <c r="P188" s="1">
        <f>Tabla1[[#This Row],[Noche]]-Tabla1[[#This Row],[Mañana ]]</f>
        <v>112</v>
      </c>
      <c r="Q188" s="58"/>
      <c r="R188" s="21">
        <f t="shared" si="5"/>
        <v>0</v>
      </c>
      <c r="S188" s="22">
        <f>Tabla1[[#This Row],[Merma Salas A &amp; B2]]*1000/Tabla1[[#This Row],[Peso gr.]]</f>
        <v>0</v>
      </c>
      <c r="T188" s="52">
        <v>25</v>
      </c>
      <c r="U188" s="24" t="s">
        <v>842</v>
      </c>
      <c r="V188" s="19" t="s">
        <v>883</v>
      </c>
    </row>
    <row r="189" spans="1:22" x14ac:dyDescent="0.3">
      <c r="A189" s="43">
        <v>44516</v>
      </c>
      <c r="B189" s="20" t="s">
        <v>857</v>
      </c>
      <c r="C189" s="20">
        <v>1800</v>
      </c>
      <c r="D189" s="13" t="str">
        <f>VLOOKUP(C:C,'LListat referències'!A:B,2,FALSE)</f>
        <v>Cubilet tarro juvena 30 ml</v>
      </c>
      <c r="E189" s="18" t="str">
        <f>VLOOKUP(C:C,'LListat referències'!A:D,4,FALSE)</f>
        <v/>
      </c>
      <c r="F189" s="49">
        <f>VLOOKUP(C:C,'LListat referències'!A:E,5,FALSE)</f>
        <v>5.86</v>
      </c>
      <c r="G189" s="49">
        <v>18.149999999999999</v>
      </c>
      <c r="H189" s="49">
        <v>2</v>
      </c>
      <c r="I189" s="75">
        <f>Tabla1[[#This Row],[Cant. Fabricada (uds)]]/Tabla1[[#This Row],[Cavidades]]*Tabla1[[#This Row],[Tiempo Ciclo]]/60/60</f>
        <v>5.3088749999999996</v>
      </c>
      <c r="J189" s="1" t="s">
        <v>797</v>
      </c>
      <c r="K189" s="25"/>
      <c r="L189" s="25">
        <v>7074</v>
      </c>
      <c r="M189" s="25">
        <v>7924</v>
      </c>
      <c r="N189" s="25">
        <v>9180</v>
      </c>
      <c r="O189" s="20">
        <v>46</v>
      </c>
      <c r="P189" s="1">
        <f>Tabla1[[#This Row],[Noche]]-Tabla1[[#This Row],[Mañana ]]</f>
        <v>2106</v>
      </c>
      <c r="Q189" s="58">
        <v>0</v>
      </c>
      <c r="R189" s="21">
        <f t="shared" si="5"/>
        <v>0</v>
      </c>
      <c r="S189" s="22">
        <f>Tabla1[[#This Row],[Merma Salas A &amp; B2]]*1000/Tabla1[[#This Row],[Peso gr.]]</f>
        <v>0</v>
      </c>
      <c r="T189" s="52"/>
      <c r="U189" s="24">
        <f>Tabla1[[#This Row],[Total piezas NOK]]/Tabla1[[#This Row],[Cant. Fabricada (uds)]]</f>
        <v>0</v>
      </c>
    </row>
    <row r="190" spans="1:22" x14ac:dyDescent="0.3">
      <c r="A190" s="43">
        <v>44516</v>
      </c>
      <c r="B190" s="20" t="s">
        <v>859</v>
      </c>
      <c r="C190" s="20" t="s">
        <v>478</v>
      </c>
      <c r="D190" s="13" t="str">
        <f>VLOOKUP(C:C,'LListat referències'!A:B,2,FALSE)</f>
        <v xml:space="preserve">Tarro 50 ml labiomar </v>
      </c>
      <c r="E190" s="18" t="str">
        <f>VLOOKUP(C:C,'LListat referències'!A:D,4,FALSE)</f>
        <v>T079</v>
      </c>
      <c r="F190" s="49">
        <f>VLOOKUP(C:C,'LListat referències'!A:E,5,FALSE)</f>
        <v>82.7</v>
      </c>
      <c r="G190" s="49"/>
      <c r="H190" s="49"/>
      <c r="I190" s="75" t="s">
        <v>842</v>
      </c>
      <c r="J190" s="1" t="s">
        <v>15</v>
      </c>
      <c r="K190" s="25"/>
      <c r="L190" s="25"/>
      <c r="M190" s="25"/>
      <c r="N190" s="25"/>
      <c r="O190" s="20"/>
      <c r="P190" s="1">
        <f>Tabla1[[#This Row],[Noche]]-Tabla1[[#This Row],[Mañana ]]</f>
        <v>0</v>
      </c>
      <c r="Q190" s="58"/>
      <c r="R190" s="21">
        <f t="shared" si="5"/>
        <v>0</v>
      </c>
      <c r="S190" s="22">
        <f>Tabla1[[#This Row],[Merma Salas A &amp; B2]]*1000/Tabla1[[#This Row],[Peso gr.]]</f>
        <v>0</v>
      </c>
      <c r="T190" s="52">
        <v>51</v>
      </c>
      <c r="U190" s="24" t="s">
        <v>842</v>
      </c>
      <c r="V190" s="19" t="s">
        <v>862</v>
      </c>
    </row>
    <row r="191" spans="1:22" x14ac:dyDescent="0.3">
      <c r="A191" s="43">
        <v>44516</v>
      </c>
      <c r="B191" s="20" t="s">
        <v>756</v>
      </c>
      <c r="C191" s="20" t="s">
        <v>644</v>
      </c>
      <c r="D191" s="13" t="str">
        <f>VLOOKUP(C:C,'LListat referències'!A:B,2,FALSE)</f>
        <v>Tarro 200ml Quadrat estret (Tapa Rodona)</v>
      </c>
      <c r="E191" s="18">
        <f>VLOOKUP(C:C,'LListat referències'!A:D,4,FALSE)</f>
        <v>0</v>
      </c>
      <c r="F191" s="49">
        <f>VLOOKUP(C:C,'LListat referències'!A:E,5,FALSE)</f>
        <v>220.84</v>
      </c>
      <c r="G191" s="49">
        <v>122.41</v>
      </c>
      <c r="H191" s="49">
        <v>1</v>
      </c>
      <c r="I191" s="75">
        <f>Tabla1[[#This Row],[Cant. Fabricada (uds)]]/Tabla1[[#This Row],[Cavidades]]*Tabla1[[#This Row],[Tiempo Ciclo]]/60/60</f>
        <v>13.907136111111109</v>
      </c>
      <c r="J191" s="1" t="s">
        <v>7</v>
      </c>
      <c r="K191" s="25"/>
      <c r="L191" s="25">
        <v>24642</v>
      </c>
      <c r="M191" s="25">
        <v>24807</v>
      </c>
      <c r="N191" s="25">
        <v>25051</v>
      </c>
      <c r="O191" s="20">
        <v>41</v>
      </c>
      <c r="P191" s="1">
        <f>Tabla1[[#This Row],[Noche]]-Tabla1[[#This Row],[Mañana ]]</f>
        <v>409</v>
      </c>
      <c r="Q191" s="58">
        <v>1.5</v>
      </c>
      <c r="R191" s="21">
        <f t="shared" si="5"/>
        <v>1.5</v>
      </c>
      <c r="S191" s="22">
        <f>Tabla1[[#This Row],[Merma Salas A &amp; B2]]*1000/Tabla1[[#This Row],[Peso gr.]]</f>
        <v>6.792247781199058</v>
      </c>
      <c r="T191" s="52"/>
      <c r="U191" s="24">
        <f>Tabla1[[#This Row],[Total piezas NOK]]/Tabla1[[#This Row],[Cant. Fabricada (uds)]]</f>
        <v>1.6606962790217745E-2</v>
      </c>
    </row>
    <row r="192" spans="1:22" x14ac:dyDescent="0.3">
      <c r="A192" s="43">
        <v>44516</v>
      </c>
      <c r="B192" s="20" t="s">
        <v>871</v>
      </c>
      <c r="C192" s="20">
        <v>1879</v>
      </c>
      <c r="D192" s="13" t="str">
        <f>VLOOKUP(C:C,'LListat referències'!A:B,2,FALSE)</f>
        <v>Tapa tarro rectagular 50 ml</v>
      </c>
      <c r="E192" s="18" t="str">
        <f>VLOOKUP(C:C,'LListat referències'!A:D,4,FALSE)</f>
        <v>#23 (50 ml)</v>
      </c>
      <c r="F192" s="49">
        <f>VLOOKUP(C:C,'LListat referències'!A:E,5,FALSE)</f>
        <v>22.6</v>
      </c>
      <c r="G192" s="49">
        <v>73.69</v>
      </c>
      <c r="H192" s="49">
        <v>4</v>
      </c>
      <c r="I192" s="75">
        <f>Tabla1[[#This Row],[Cant. Fabricada (uds)]]/Tabla1[[#This Row],[Cavidades]]*Tabla1[[#This Row],[Tiempo Ciclo]]/60/60</f>
        <v>7.051723611111111</v>
      </c>
      <c r="J192" s="1" t="s">
        <v>15</v>
      </c>
      <c r="K192" s="25"/>
      <c r="L192" s="25">
        <v>6026</v>
      </c>
      <c r="M192" s="25">
        <v>6602</v>
      </c>
      <c r="N192" s="25">
        <v>7404</v>
      </c>
      <c r="O192" s="20">
        <v>20</v>
      </c>
      <c r="P192" s="1">
        <f>Tabla1[[#This Row],[Noche]]-Tabla1[[#This Row],[Mañana ]]</f>
        <v>1378</v>
      </c>
      <c r="Q192" s="58">
        <v>5</v>
      </c>
      <c r="R192" s="21">
        <f t="shared" si="5"/>
        <v>5</v>
      </c>
      <c r="S192" s="22">
        <f>Tabla1[[#This Row],[Merma Salas A &amp; B2]]*1000/Tabla1[[#This Row],[Peso gr.]]</f>
        <v>221.23893805309734</v>
      </c>
      <c r="T192" s="52"/>
      <c r="U192" s="24">
        <f>Tabla1[[#This Row],[Total piezas NOK]]/Tabla1[[#This Row],[Cant. Fabricada (uds)]]</f>
        <v>0.16055075330413451</v>
      </c>
    </row>
    <row r="193" spans="1:22" x14ac:dyDescent="0.3">
      <c r="A193" s="43">
        <v>44516</v>
      </c>
      <c r="B193" s="20" t="s">
        <v>753</v>
      </c>
      <c r="C193" s="20">
        <v>1945</v>
      </c>
      <c r="D193" s="13" t="str">
        <f>VLOOKUP(C:C,'LListat referències'!A:B,2,FALSE)</f>
        <v>Tarro 400 ml</v>
      </c>
      <c r="E193" s="18" t="str">
        <f>VLOOKUP(C:C,'LListat referències'!A:D,4,FALSE)</f>
        <v>T113</v>
      </c>
      <c r="F193" s="49">
        <f>VLOOKUP(C:C,'LListat referències'!A:E,5,FALSE)</f>
        <v>211</v>
      </c>
      <c r="G193" s="49">
        <v>102</v>
      </c>
      <c r="H193" s="49">
        <v>2</v>
      </c>
      <c r="I193" s="75">
        <f>Tabla1[[#This Row],[Cant. Fabricada (uds)]]/Tabla1[[#This Row],[Cavidades]]*Tabla1[[#This Row],[Tiempo Ciclo]]/60/60</f>
        <v>1.7</v>
      </c>
      <c r="J193" s="1" t="s">
        <v>15</v>
      </c>
      <c r="K193" s="25"/>
      <c r="L193" s="25">
        <v>5932</v>
      </c>
      <c r="M193" s="25">
        <v>6052</v>
      </c>
      <c r="N193" s="25">
        <v>6052</v>
      </c>
      <c r="O193" s="20">
        <v>7</v>
      </c>
      <c r="P193" s="1">
        <f>Tabla1[[#This Row],[Noche]]-Tabla1[[#This Row],[Mañana ]]</f>
        <v>120</v>
      </c>
      <c r="Q193" s="58"/>
      <c r="R193" s="21">
        <f t="shared" si="5"/>
        <v>0</v>
      </c>
      <c r="S193" s="22">
        <f>Tabla1[[#This Row],[Merma Salas A &amp; B2]]*1000/Tabla1[[#This Row],[Peso gr.]]</f>
        <v>0</v>
      </c>
      <c r="T193" s="52"/>
      <c r="U193" s="24">
        <f>Tabla1[[#This Row],[Total piezas NOK]]/Tabla1[[#This Row],[Cant. Fabricada (uds)]]</f>
        <v>0</v>
      </c>
    </row>
    <row r="194" spans="1:22" x14ac:dyDescent="0.3">
      <c r="A194" s="43">
        <v>44516</v>
      </c>
      <c r="B194" s="20" t="s">
        <v>839</v>
      </c>
      <c r="C194" s="20" t="s">
        <v>10</v>
      </c>
      <c r="D194" s="13" t="str">
        <f>VLOOKUP(C:C,'LListat referències'!A:B,2,FALSE)</f>
        <v xml:space="preserve">Tapa 100 ml prima </v>
      </c>
      <c r="E194" s="18" t="str">
        <f>VLOOKUP(C:C,'LListat referències'!A:D,4,FALSE)</f>
        <v>#26(100 ml)</v>
      </c>
      <c r="F194" s="49">
        <f>VLOOKUP(C:C,'LListat referències'!A:E,5,FALSE)</f>
        <v>30.3</v>
      </c>
      <c r="G194" s="49">
        <v>66.400000000000006</v>
      </c>
      <c r="H194" s="49">
        <v>4</v>
      </c>
      <c r="I194" s="75">
        <f>Tabla1[[#This Row],[Cant. Fabricada (uds)]]/Tabla1[[#This Row],[Cavidades]]*Tabla1[[#This Row],[Tiempo Ciclo]]/60/60</f>
        <v>9.8770000000000024</v>
      </c>
      <c r="J194" s="1" t="s">
        <v>15</v>
      </c>
      <c r="K194" s="25"/>
      <c r="L194" s="25">
        <v>9846</v>
      </c>
      <c r="M194" s="25">
        <v>10701</v>
      </c>
      <c r="N194" s="25">
        <v>11988</v>
      </c>
      <c r="O194" s="20">
        <v>38</v>
      </c>
      <c r="P194" s="1">
        <f>Tabla1[[#This Row],[Noche]]-Tabla1[[#This Row],[Mañana ]]</f>
        <v>2142</v>
      </c>
      <c r="Q194" s="58"/>
      <c r="R194" s="21">
        <f t="shared" si="5"/>
        <v>0</v>
      </c>
      <c r="S194" s="22">
        <f>Tabla1[[#This Row],[Merma Salas A &amp; B2]]*1000/Tabla1[[#This Row],[Peso gr.]]</f>
        <v>0</v>
      </c>
      <c r="T194" s="52"/>
      <c r="U194" s="24">
        <f>Tabla1[[#This Row],[Total piezas NOK]]/Tabla1[[#This Row],[Cant. Fabricada (uds)]]</f>
        <v>0</v>
      </c>
    </row>
    <row r="195" spans="1:22" x14ac:dyDescent="0.3">
      <c r="A195" s="43">
        <v>44516</v>
      </c>
      <c r="B195" s="20" t="s">
        <v>873</v>
      </c>
      <c r="C195" s="20">
        <v>1704</v>
      </c>
      <c r="D195" s="13" t="str">
        <f>VLOOKUP(C:C,'LListat referències'!A:B,2,FALSE)</f>
        <v>Tarro 50 ml quadrat</v>
      </c>
      <c r="E195" s="18" t="str">
        <f>VLOOKUP(C:C,'LListat referències'!A:D,4,FALSE)</f>
        <v>T046</v>
      </c>
      <c r="F195" s="49">
        <f>VLOOKUP(C:C,'LListat referències'!A:E,5,FALSE)</f>
        <v>99.2</v>
      </c>
      <c r="G195" s="49">
        <v>95.45</v>
      </c>
      <c r="H195" s="49">
        <v>4</v>
      </c>
      <c r="I195" s="75">
        <f>Tabla1[[#This Row],[Cant. Fabricada (uds)]]/Tabla1[[#This Row],[Cavidades]]*Tabla1[[#This Row],[Tiempo Ciclo]]/60/60</f>
        <v>13.999333333333333</v>
      </c>
      <c r="J195" s="1" t="s">
        <v>15</v>
      </c>
      <c r="K195" s="25"/>
      <c r="L195" s="25">
        <v>1096</v>
      </c>
      <c r="M195" s="25">
        <v>1928</v>
      </c>
      <c r="N195" s="25">
        <v>3208</v>
      </c>
      <c r="O195" s="20">
        <v>51</v>
      </c>
      <c r="P195" s="1">
        <f>Tabla1[[#This Row],[Noche]]-Tabla1[[#This Row],[Mañana ]]</f>
        <v>2112</v>
      </c>
      <c r="Q195" s="58"/>
      <c r="R195" s="21">
        <f t="shared" si="5"/>
        <v>0</v>
      </c>
      <c r="S195" s="22">
        <f>Tabla1[[#This Row],[Merma Salas A &amp; B2]]*1000/Tabla1[[#This Row],[Peso gr.]]</f>
        <v>0</v>
      </c>
      <c r="T195" s="52"/>
      <c r="U195" s="24">
        <f>Tabla1[[#This Row],[Total piezas NOK]]/Tabla1[[#This Row],[Cant. Fabricada (uds)]]</f>
        <v>0</v>
      </c>
    </row>
    <row r="196" spans="1:22" x14ac:dyDescent="0.3">
      <c r="A196" s="43">
        <v>44516</v>
      </c>
      <c r="B196" s="20" t="s">
        <v>881</v>
      </c>
      <c r="C196" s="20">
        <v>1905</v>
      </c>
      <c r="D196" s="13" t="str">
        <f>VLOOKUP(C:C,'LListat referències'!A:B,2,FALSE)</f>
        <v>Cubilet 50 ml 4uts</v>
      </c>
      <c r="E196" s="18" t="str">
        <f>VLOOKUP(C:C,'LListat referències'!A:D,4,FALSE)</f>
        <v/>
      </c>
      <c r="F196" s="49">
        <f>VLOOKUP(C:C,'LListat referències'!A:E,5,FALSE)</f>
        <v>3.55</v>
      </c>
      <c r="G196" s="49">
        <v>15.78</v>
      </c>
      <c r="H196" s="49">
        <v>4</v>
      </c>
      <c r="I196" s="75">
        <f>Tabla1[[#This Row],[Cant. Fabricada (uds)]]/Tabla1[[#This Row],[Cavidades]]*Tabla1[[#This Row],[Tiempo Ciclo]]/60/60</f>
        <v>13.171916666666668</v>
      </c>
      <c r="J196" s="1" t="s">
        <v>797</v>
      </c>
      <c r="K196" s="25"/>
      <c r="L196" s="25">
        <v>0</v>
      </c>
      <c r="M196" s="25">
        <v>4756</v>
      </c>
      <c r="N196" s="25">
        <v>12020</v>
      </c>
      <c r="O196" s="20">
        <v>19</v>
      </c>
      <c r="P196" s="1">
        <f>Tabla1[[#This Row],[Noche]]-Tabla1[[#This Row],[Mañana ]]</f>
        <v>12020</v>
      </c>
      <c r="Q196" s="58"/>
      <c r="R196" s="21">
        <f t="shared" si="5"/>
        <v>0</v>
      </c>
      <c r="S196" s="22">
        <f>Tabla1[[#This Row],[Merma Salas A &amp; B2]]*1000/Tabla1[[#This Row],[Peso gr.]]</f>
        <v>0</v>
      </c>
      <c r="T196" s="52"/>
      <c r="U196" s="24">
        <f>Tabla1[[#This Row],[Total piezas NOK]]/Tabla1[[#This Row],[Cant. Fabricada (uds)]]</f>
        <v>0</v>
      </c>
    </row>
    <row r="197" spans="1:22" x14ac:dyDescent="0.3">
      <c r="A197" s="43">
        <v>44516</v>
      </c>
      <c r="B197" s="20" t="s">
        <v>771</v>
      </c>
      <c r="C197" s="20" t="s">
        <v>615</v>
      </c>
      <c r="D197" s="13" t="str">
        <f>VLOOKUP(C:C,'LListat referències'!A:B,2,FALSE)</f>
        <v>Tarro 50ml Tinter Quadrat</v>
      </c>
      <c r="E197" s="18" t="str">
        <f>VLOOKUP(C:C,'LListat referències'!A:D,4,FALSE)</f>
        <v>T116</v>
      </c>
      <c r="F197" s="49">
        <f>VLOOKUP(C:C,'LListat referències'!A:E,5,FALSE)</f>
        <v>121.5</v>
      </c>
      <c r="G197" s="49">
        <v>126.1</v>
      </c>
      <c r="H197" s="49">
        <v>2</v>
      </c>
      <c r="I197" s="75">
        <f>Tabla1[[#This Row],[Cant. Fabricada (uds)]]/Tabla1[[#This Row],[Cavidades]]*Tabla1[[#This Row],[Tiempo Ciclo]]/60/60</f>
        <v>0</v>
      </c>
      <c r="J197" s="1" t="s">
        <v>8</v>
      </c>
      <c r="K197" s="25"/>
      <c r="L197" s="25"/>
      <c r="M197" s="25"/>
      <c r="N197" s="25"/>
      <c r="O197" s="20">
        <v>30</v>
      </c>
      <c r="P197" s="1">
        <f>Tabla1[[#This Row],[Noche]]-Tabla1[[#This Row],[Mañana ]]</f>
        <v>0</v>
      </c>
      <c r="Q197" s="58"/>
      <c r="R197" s="21">
        <f t="shared" si="5"/>
        <v>0</v>
      </c>
      <c r="S197" s="22">
        <f>Tabla1[[#This Row],[Merma Salas A &amp; B2]]*1000/Tabla1[[#This Row],[Peso gr.]]</f>
        <v>0</v>
      </c>
      <c r="T197" s="52">
        <v>30</v>
      </c>
      <c r="U197" s="24" t="s">
        <v>842</v>
      </c>
      <c r="V197" s="19" t="s">
        <v>883</v>
      </c>
    </row>
    <row r="198" spans="1:22" x14ac:dyDescent="0.3">
      <c r="A198" s="43">
        <v>44517</v>
      </c>
      <c r="B198" s="20" t="s">
        <v>857</v>
      </c>
      <c r="C198" s="20">
        <v>1800</v>
      </c>
      <c r="D198" s="13" t="str">
        <f>VLOOKUP(C:C,'LListat referències'!A:B,2,FALSE)</f>
        <v>Cubilet tarro juvena 30 ml</v>
      </c>
      <c r="E198" s="18" t="str">
        <f>VLOOKUP(C:C,'LListat referències'!A:D,4,FALSE)</f>
        <v/>
      </c>
      <c r="F198" s="49">
        <f>VLOOKUP(C:C,'LListat referències'!A:E,5,FALSE)</f>
        <v>5.86</v>
      </c>
      <c r="G198" s="49">
        <v>18.149999999999999</v>
      </c>
      <c r="H198" s="49">
        <v>2</v>
      </c>
      <c r="I198" s="75">
        <f>Tabla1[[#This Row],[Cant. Fabricada (uds)]]/Tabla1[[#This Row],[Cavidades]]*Tabla1[[#This Row],[Tiempo Ciclo]]/60/60</f>
        <v>5.9718541666666658</v>
      </c>
      <c r="J198" s="1" t="s">
        <v>797</v>
      </c>
      <c r="K198" s="25"/>
      <c r="L198" s="25">
        <v>10332</v>
      </c>
      <c r="M198" s="25">
        <v>11501</v>
      </c>
      <c r="N198" s="25">
        <v>12701</v>
      </c>
      <c r="O198" s="20">
        <v>46</v>
      </c>
      <c r="P198" s="1">
        <f>Tabla1[[#This Row],[Noche]]-Tabla1[[#This Row],[Mañana ]]</f>
        <v>2369</v>
      </c>
      <c r="Q198" s="58">
        <v>0</v>
      </c>
      <c r="R198" s="21">
        <f t="shared" si="5"/>
        <v>0</v>
      </c>
      <c r="S198" s="22">
        <f>Tabla1[[#This Row],[Merma Salas A &amp; B2]]*1000/Tabla1[[#This Row],[Peso gr.]]</f>
        <v>0</v>
      </c>
      <c r="T198" s="52"/>
      <c r="U198" s="24">
        <f>Tabla1[[#This Row],[Total piezas NOK]]/Tabla1[[#This Row],[Cant. Fabricada (uds)]]</f>
        <v>0</v>
      </c>
    </row>
    <row r="199" spans="1:22" x14ac:dyDescent="0.3">
      <c r="A199" s="43">
        <v>44517</v>
      </c>
      <c r="B199" s="20" t="s">
        <v>858</v>
      </c>
      <c r="C199" s="20">
        <v>1799</v>
      </c>
      <c r="D199" s="13" t="str">
        <f>VLOOKUP(C:C,'LListat referències'!A:B,2,FALSE)</f>
        <v>Tarro tapa juvena 30ml</v>
      </c>
      <c r="E199" s="18" t="str">
        <f>VLOOKUP(C:C,'LListat referències'!A:D,4,FALSE)</f>
        <v>T071</v>
      </c>
      <c r="F199" s="49">
        <f>VLOOKUP(C:C,'LListat referències'!A:E,5,FALSE)</f>
        <v>43.5</v>
      </c>
      <c r="G199" s="49">
        <v>97</v>
      </c>
      <c r="H199" s="49">
        <v>4</v>
      </c>
      <c r="I199" s="75">
        <f>Tabla1[[#This Row],[Cant. Fabricada (uds)]]/Tabla1[[#This Row],[Cavidades]]*Tabla1[[#This Row],[Tiempo Ciclo]]/60/60</f>
        <v>10.238888888888889</v>
      </c>
      <c r="J199" s="1" t="s">
        <v>15</v>
      </c>
      <c r="K199" s="25"/>
      <c r="L199" s="25">
        <v>342</v>
      </c>
      <c r="M199" s="25">
        <v>1426</v>
      </c>
      <c r="N199" s="25">
        <v>1862</v>
      </c>
      <c r="O199" s="20">
        <v>45</v>
      </c>
      <c r="P199" s="1">
        <f>Tabla1[[#This Row],[Noche]]-Tabla1[[#This Row],[Mañana ]]</f>
        <v>1520</v>
      </c>
      <c r="Q199" s="58">
        <v>0</v>
      </c>
      <c r="R199" s="21">
        <f t="shared" si="5"/>
        <v>0</v>
      </c>
      <c r="S199" s="22">
        <f>Tabla1[[#This Row],[Merma Salas A &amp; B2]]*1000/Tabla1[[#This Row],[Peso gr.]]</f>
        <v>0</v>
      </c>
      <c r="T199" s="52"/>
      <c r="U199" s="24">
        <f>Tabla1[[#This Row],[Total piezas NOK]]/Tabla1[[#This Row],[Cant. Fabricada (uds)]]</f>
        <v>0</v>
      </c>
    </row>
    <row r="200" spans="1:22" x14ac:dyDescent="0.3">
      <c r="A200" s="43">
        <v>44517</v>
      </c>
      <c r="B200" s="20" t="s">
        <v>759</v>
      </c>
      <c r="C200" s="20">
        <v>1861</v>
      </c>
      <c r="D200" s="13" t="str">
        <f>VLOOKUP(C:C,'LListat referències'!A:B,2,FALSE)</f>
        <v>Tarro 50ml Standard 8 unitats</v>
      </c>
      <c r="E200" s="18" t="str">
        <f>VLOOKUP(C:C,'LListat referències'!A:D,4,FALSE)</f>
        <v>T022</v>
      </c>
      <c r="F200" s="49">
        <f>VLOOKUP(C:C,'LListat referències'!A:E,5,FALSE)</f>
        <v>92</v>
      </c>
      <c r="G200" s="49">
        <v>109.1</v>
      </c>
      <c r="H200" s="49">
        <v>2</v>
      </c>
      <c r="I200" s="75">
        <f>Tabla1[[#This Row],[Cant. Fabricada (uds)]]/Tabla1[[#This Row],[Cavidades]]*Tabla1[[#This Row],[Tiempo Ciclo]]/60/60</f>
        <v>46.140208333333334</v>
      </c>
      <c r="J200" s="1" t="s">
        <v>15</v>
      </c>
      <c r="K200" s="25"/>
      <c r="L200" s="25">
        <v>0</v>
      </c>
      <c r="M200" s="25">
        <v>1181</v>
      </c>
      <c r="N200" s="25">
        <v>3045</v>
      </c>
      <c r="O200" s="20">
        <v>43</v>
      </c>
      <c r="P200" s="1">
        <f>Tabla1[[#This Row],[Noche]]-Tabla1[[#This Row],[Mañana ]]</f>
        <v>3045</v>
      </c>
      <c r="Q200" s="58">
        <v>35</v>
      </c>
      <c r="R200" s="21">
        <f t="shared" si="5"/>
        <v>35</v>
      </c>
      <c r="S200" s="22">
        <f>Tabla1[[#This Row],[Merma Salas A &amp; B2]]*1000/Tabla1[[#This Row],[Peso gr.]]</f>
        <v>380.43478260869563</v>
      </c>
      <c r="T200" s="52"/>
      <c r="U200" s="24">
        <f>Tabla1[[#This Row],[Total piezas NOK]]/Tabla1[[#This Row],[Cant. Fabricada (uds)]]</f>
        <v>0.1249375312343828</v>
      </c>
      <c r="V200" s="19" t="s">
        <v>875</v>
      </c>
    </row>
    <row r="201" spans="1:22" x14ac:dyDescent="0.3">
      <c r="A201" s="43">
        <v>44517</v>
      </c>
      <c r="B201" s="20" t="s">
        <v>756</v>
      </c>
      <c r="C201" s="20" t="s">
        <v>644</v>
      </c>
      <c r="D201" s="13" t="str">
        <f>VLOOKUP(C:C,'LListat referències'!A:B,2,FALSE)</f>
        <v>Tarro 200ml Quadrat estret (Tapa Rodona)</v>
      </c>
      <c r="E201" s="18">
        <f>VLOOKUP(C:C,'LListat referències'!A:D,4,FALSE)</f>
        <v>0</v>
      </c>
      <c r="F201" s="49">
        <f>VLOOKUP(C:C,'LListat referències'!A:E,5,FALSE)</f>
        <v>220.84</v>
      </c>
      <c r="G201" s="49">
        <v>122.41</v>
      </c>
      <c r="H201" s="49">
        <v>1</v>
      </c>
      <c r="I201" s="75">
        <f>Tabla1[[#This Row],[Cant. Fabricada (uds)]]/Tabla1[[#This Row],[Cavidades]]*Tabla1[[#This Row],[Tiempo Ciclo]]/60/60</f>
        <v>15.879297222222222</v>
      </c>
      <c r="J201" s="1" t="s">
        <v>7</v>
      </c>
      <c r="K201" s="25"/>
      <c r="L201" s="25">
        <v>25279</v>
      </c>
      <c r="M201" s="25">
        <v>25509</v>
      </c>
      <c r="N201" s="25">
        <v>25746</v>
      </c>
      <c r="O201" s="20">
        <v>41</v>
      </c>
      <c r="P201" s="1">
        <f>Tabla1[[#This Row],[Noche]]-Tabla1[[#This Row],[Mañana ]]</f>
        <v>467</v>
      </c>
      <c r="Q201" s="58">
        <v>1.5</v>
      </c>
      <c r="R201" s="21">
        <f t="shared" ref="R201:R264" si="6">SUM(Q201:Q201)</f>
        <v>1.5</v>
      </c>
      <c r="S201" s="22">
        <f>Tabla1[[#This Row],[Merma Salas A &amp; B2]]*1000/Tabla1[[#This Row],[Peso gr.]]</f>
        <v>6.792247781199058</v>
      </c>
      <c r="T201" s="52"/>
      <c r="U201" s="24">
        <f>Tabla1[[#This Row],[Total piezas NOK]]/Tabla1[[#This Row],[Cant. Fabricada (uds)]]</f>
        <v>1.4544427797000124E-2</v>
      </c>
    </row>
    <row r="202" spans="1:22" x14ac:dyDescent="0.3">
      <c r="A202" s="43">
        <v>44517</v>
      </c>
      <c r="B202" s="20" t="s">
        <v>871</v>
      </c>
      <c r="C202" s="20">
        <v>1879</v>
      </c>
      <c r="D202" s="13" t="str">
        <f>VLOOKUP(C:C,'LListat referències'!A:B,2,FALSE)</f>
        <v>Tapa tarro rectagular 50 ml</v>
      </c>
      <c r="E202" s="18" t="str">
        <f>VLOOKUP(C:C,'LListat referències'!A:D,4,FALSE)</f>
        <v>#23 (50 ml)</v>
      </c>
      <c r="F202" s="49">
        <f>VLOOKUP(C:C,'LListat referències'!A:E,5,FALSE)</f>
        <v>22.6</v>
      </c>
      <c r="G202" s="49">
        <v>73.69</v>
      </c>
      <c r="H202" s="49">
        <v>4</v>
      </c>
      <c r="I202" s="75">
        <f>Tabla1[[#This Row],[Cant. Fabricada (uds)]]/Tabla1[[#This Row],[Cavidades]]*Tabla1[[#This Row],[Tiempo Ciclo]]/60/60</f>
        <v>7.6862763888888876</v>
      </c>
      <c r="J202" s="1" t="s">
        <v>15</v>
      </c>
      <c r="K202" s="25"/>
      <c r="L202" s="25">
        <v>8164</v>
      </c>
      <c r="M202" s="25">
        <v>8904</v>
      </c>
      <c r="N202" s="25">
        <v>9666</v>
      </c>
      <c r="O202" s="20">
        <v>20</v>
      </c>
      <c r="P202" s="1">
        <f>Tabla1[[#This Row],[Noche]]-Tabla1[[#This Row],[Mañana ]]</f>
        <v>1502</v>
      </c>
      <c r="Q202" s="58">
        <v>2.5</v>
      </c>
      <c r="R202" s="21">
        <f t="shared" si="6"/>
        <v>2.5</v>
      </c>
      <c r="S202" s="22">
        <f>Tabla1[[#This Row],[Merma Salas A &amp; B2]]*1000/Tabla1[[#This Row],[Peso gr.]]</f>
        <v>110.61946902654867</v>
      </c>
      <c r="T202" s="52"/>
      <c r="U202" s="24">
        <f>Tabla1[[#This Row],[Total piezas NOK]]/Tabla1[[#This Row],[Cant. Fabricada (uds)]]</f>
        <v>7.3648115197435873E-2</v>
      </c>
    </row>
    <row r="203" spans="1:22" x14ac:dyDescent="0.3">
      <c r="A203" s="43">
        <v>44517</v>
      </c>
      <c r="B203" s="20" t="s">
        <v>839</v>
      </c>
      <c r="C203" s="20" t="s">
        <v>10</v>
      </c>
      <c r="D203" s="13" t="str">
        <f>VLOOKUP(C:C,'LListat referències'!A:B,2,FALSE)</f>
        <v xml:space="preserve">Tapa 100 ml prima </v>
      </c>
      <c r="E203" s="18" t="str">
        <f>VLOOKUP(C:C,'LListat referències'!A:D,4,FALSE)</f>
        <v>#26(100 ml)</v>
      </c>
      <c r="F203" s="49">
        <f>VLOOKUP(C:C,'LListat referències'!A:E,5,FALSE)</f>
        <v>30.3</v>
      </c>
      <c r="G203" s="49">
        <v>66.400000000000006</v>
      </c>
      <c r="H203" s="49">
        <v>4</v>
      </c>
      <c r="I203" s="75">
        <f>Tabla1[[#This Row],[Cant. Fabricada (uds)]]/Tabla1[[#This Row],[Cavidades]]*Tabla1[[#This Row],[Tiempo Ciclo]]/60/60</f>
        <v>15.631666666666668</v>
      </c>
      <c r="J203" s="1" t="s">
        <v>15</v>
      </c>
      <c r="K203" s="25"/>
      <c r="L203" s="25">
        <v>11988</v>
      </c>
      <c r="M203" s="25">
        <v>14370</v>
      </c>
      <c r="N203" s="25">
        <v>15378</v>
      </c>
      <c r="O203" s="20">
        <v>38</v>
      </c>
      <c r="P203" s="1">
        <f>Tabla1[[#This Row],[Noche]]-Tabla1[[#This Row],[Mañana ]]</f>
        <v>3390</v>
      </c>
      <c r="Q203" s="58">
        <v>5</v>
      </c>
      <c r="R203" s="21">
        <f t="shared" si="6"/>
        <v>5</v>
      </c>
      <c r="S203" s="22">
        <f>Tabla1[[#This Row],[Merma Salas A &amp; B2]]*1000/Tabla1[[#This Row],[Peso gr.]]</f>
        <v>165.01650165016503</v>
      </c>
      <c r="T203" s="52"/>
      <c r="U203" s="24">
        <f>Tabla1[[#This Row],[Total piezas NOK]]/Tabla1[[#This Row],[Cant. Fabricada (uds)]]</f>
        <v>4.8677434115092927E-2</v>
      </c>
    </row>
    <row r="204" spans="1:22" x14ac:dyDescent="0.3">
      <c r="A204" s="43">
        <v>44517</v>
      </c>
      <c r="B204" s="20" t="s">
        <v>873</v>
      </c>
      <c r="C204" s="20">
        <v>1704</v>
      </c>
      <c r="D204" s="13" t="str">
        <f>VLOOKUP(C:C,'LListat referències'!A:B,2,FALSE)</f>
        <v>Tarro 50 ml quadrat</v>
      </c>
      <c r="E204" s="18" t="str">
        <f>VLOOKUP(C:C,'LListat referències'!A:D,4,FALSE)</f>
        <v>T046</v>
      </c>
      <c r="F204" s="49">
        <f>VLOOKUP(C:C,'LListat referències'!A:E,5,FALSE)</f>
        <v>99.2</v>
      </c>
      <c r="G204" s="49">
        <v>95.45</v>
      </c>
      <c r="H204" s="49">
        <v>4</v>
      </c>
      <c r="I204" s="75">
        <f>Tabla1[[#This Row],[Cant. Fabricada (uds)]]/Tabla1[[#This Row],[Cavidades]]*Tabla1[[#This Row],[Tiempo Ciclo]]/60/60</f>
        <v>15.775763888888889</v>
      </c>
      <c r="J204" s="1" t="s">
        <v>15</v>
      </c>
      <c r="K204" s="25"/>
      <c r="L204" s="25">
        <v>4380</v>
      </c>
      <c r="M204" s="25">
        <v>5516</v>
      </c>
      <c r="N204" s="25">
        <v>6760</v>
      </c>
      <c r="O204" s="20">
        <v>51</v>
      </c>
      <c r="P204" s="1">
        <f>Tabla1[[#This Row],[Noche]]-Tabla1[[#This Row],[Mañana ]]</f>
        <v>2380</v>
      </c>
      <c r="Q204" s="58"/>
      <c r="R204" s="21">
        <f t="shared" si="6"/>
        <v>0</v>
      </c>
      <c r="S204" s="22">
        <f>Tabla1[[#This Row],[Merma Salas A &amp; B2]]*1000/Tabla1[[#This Row],[Peso gr.]]</f>
        <v>0</v>
      </c>
      <c r="T204" s="52"/>
      <c r="U204" s="24">
        <f>Tabla1[[#This Row],[Total piezas NOK]]/Tabla1[[#This Row],[Cant. Fabricada (uds)]]</f>
        <v>0</v>
      </c>
    </row>
    <row r="205" spans="1:22" x14ac:dyDescent="0.3">
      <c r="A205" s="43">
        <v>44517</v>
      </c>
      <c r="B205" s="20" t="s">
        <v>876</v>
      </c>
      <c r="C205" s="20">
        <v>1904</v>
      </c>
      <c r="D205" s="13" t="str">
        <f>VLOOKUP(C:C,'LListat referències'!A:B,2,FALSE)</f>
        <v xml:space="preserve">Interior tapa 200ml </v>
      </c>
      <c r="E205" s="18" t="str">
        <f>VLOOKUP(C:C,'LListat referències'!A:D,4,FALSE)</f>
        <v/>
      </c>
      <c r="F205" s="49">
        <f>VLOOKUP(C:C,'LListat referències'!A:E,5,FALSE)</f>
        <v>10</v>
      </c>
      <c r="G205" s="49">
        <v>29</v>
      </c>
      <c r="H205" s="49">
        <v>4</v>
      </c>
      <c r="I205" s="75">
        <f>Tabla1[[#This Row],[Cant. Fabricada (uds)]]/Tabla1[[#This Row],[Cavidades]]*Tabla1[[#This Row],[Tiempo Ciclo]]/60/60</f>
        <v>6.5652777777777782</v>
      </c>
      <c r="J205" s="1" t="s">
        <v>797</v>
      </c>
      <c r="K205" s="25"/>
      <c r="L205" s="25"/>
      <c r="M205" s="25">
        <v>3260</v>
      </c>
      <c r="N205" s="25">
        <v>3260</v>
      </c>
      <c r="O205" s="20">
        <v>17</v>
      </c>
      <c r="P205" s="1">
        <f>Tabla1[[#This Row],[Noche]]-Tabla1[[#This Row],[Mañana ]]</f>
        <v>3260</v>
      </c>
      <c r="Q205" s="58"/>
      <c r="R205" s="21">
        <f t="shared" si="6"/>
        <v>0</v>
      </c>
      <c r="S205" s="22">
        <f>Tabla1[[#This Row],[Merma Salas A &amp; B2]]*1000/Tabla1[[#This Row],[Peso gr.]]</f>
        <v>0</v>
      </c>
      <c r="T205" s="52"/>
      <c r="U205" s="24">
        <f>Tabla1[[#This Row],[Total piezas NOK]]/Tabla1[[#This Row],[Cant. Fabricada (uds)]]</f>
        <v>0</v>
      </c>
    </row>
    <row r="206" spans="1:22" x14ac:dyDescent="0.3">
      <c r="A206" s="43">
        <v>44517</v>
      </c>
      <c r="B206" s="20" t="s">
        <v>867</v>
      </c>
      <c r="C206" s="20">
        <v>1904</v>
      </c>
      <c r="D206" s="13" t="str">
        <f>VLOOKUP(C:C,'LListat referències'!A:B,2,FALSE)</f>
        <v xml:space="preserve">Interior tapa 200ml </v>
      </c>
      <c r="E206" s="18" t="str">
        <f>VLOOKUP(C:C,'LListat referències'!A:D,4,FALSE)</f>
        <v/>
      </c>
      <c r="F206" s="49">
        <f>VLOOKUP(C:C,'LListat referències'!A:E,5,FALSE)</f>
        <v>10</v>
      </c>
      <c r="G206" s="49">
        <v>29</v>
      </c>
      <c r="H206" s="49">
        <v>4</v>
      </c>
      <c r="I206" s="75">
        <f>Tabla1[[#This Row],[Cant. Fabricada (uds)]]/Tabla1[[#This Row],[Cavidades]]*Tabla1[[#This Row],[Tiempo Ciclo]]/60/60</f>
        <v>8.9094444444444445</v>
      </c>
      <c r="J206" s="1" t="s">
        <v>797</v>
      </c>
      <c r="K206" s="25"/>
      <c r="L206" s="25">
        <v>0</v>
      </c>
      <c r="M206" s="25">
        <v>396</v>
      </c>
      <c r="N206" s="25">
        <v>4424</v>
      </c>
      <c r="O206" s="20">
        <v>17</v>
      </c>
      <c r="P206" s="1">
        <f>Tabla1[[#This Row],[Noche]]-Tabla1[[#This Row],[Mañana ]]</f>
        <v>4424</v>
      </c>
      <c r="Q206" s="58"/>
      <c r="R206" s="21">
        <f t="shared" si="6"/>
        <v>0</v>
      </c>
      <c r="S206" s="22">
        <f>Tabla1[[#This Row],[Merma Salas A &amp; B2]]*1000/Tabla1[[#This Row],[Peso gr.]]</f>
        <v>0</v>
      </c>
      <c r="T206" s="52"/>
      <c r="U206" s="24">
        <f>Tabla1[[#This Row],[Total piezas NOK]]/Tabla1[[#This Row],[Cant. Fabricada (uds)]]</f>
        <v>0</v>
      </c>
    </row>
    <row r="207" spans="1:22" x14ac:dyDescent="0.3">
      <c r="A207" s="43">
        <v>44518</v>
      </c>
      <c r="B207" s="20" t="s">
        <v>857</v>
      </c>
      <c r="C207" s="20">
        <v>1801</v>
      </c>
      <c r="D207" s="13" t="str">
        <f>VLOOKUP(C:C,'LListat referències'!A:B,2,FALSE)</f>
        <v>Int. tapa juvena 30 ml</v>
      </c>
      <c r="E207" s="18" t="str">
        <f>VLOOKUP(C:C,'LListat referències'!A:D,4,FALSE)</f>
        <v/>
      </c>
      <c r="F207" s="49">
        <f>VLOOKUP(C:C,'LListat referències'!A:E,5,FALSE)</f>
        <v>5.86</v>
      </c>
      <c r="G207" s="49">
        <v>18.100000000000001</v>
      </c>
      <c r="H207" s="49">
        <v>2</v>
      </c>
      <c r="I207" s="75">
        <f>Tabla1[[#This Row],[Cant. Fabricada (uds)]]/Tabla1[[#This Row],[Cavidades]]*Tabla1[[#This Row],[Tiempo Ciclo]]/60/60</f>
        <v>6.4883472222222229</v>
      </c>
      <c r="J207" s="1" t="s">
        <v>797</v>
      </c>
      <c r="K207" s="25"/>
      <c r="L207" s="25"/>
      <c r="M207" s="25">
        <v>1089</v>
      </c>
      <c r="N207" s="25">
        <v>2581</v>
      </c>
      <c r="O207" s="20">
        <v>46</v>
      </c>
      <c r="P207" s="1">
        <f>Tabla1[[#This Row],[Noche]]-Tabla1[[#This Row],[Mañana ]]</f>
        <v>2581</v>
      </c>
      <c r="Q207" s="58">
        <v>0</v>
      </c>
      <c r="R207" s="21">
        <f t="shared" si="6"/>
        <v>0</v>
      </c>
      <c r="S207" s="22">
        <f>Tabla1[[#This Row],[Merma Salas A &amp; B2]]*1000/Tabla1[[#This Row],[Peso gr.]]</f>
        <v>0</v>
      </c>
      <c r="T207" s="52"/>
      <c r="U207" s="24">
        <f>Tabla1[[#This Row],[Total piezas NOK]]/Tabla1[[#This Row],[Cant. Fabricada (uds)]]</f>
        <v>0</v>
      </c>
    </row>
    <row r="208" spans="1:22" x14ac:dyDescent="0.3">
      <c r="A208" s="43">
        <v>44518</v>
      </c>
      <c r="B208" s="20" t="s">
        <v>759</v>
      </c>
      <c r="C208" s="20">
        <v>1861</v>
      </c>
      <c r="D208" s="13" t="str">
        <f>VLOOKUP(C:C,'LListat referències'!A:B,2,FALSE)</f>
        <v>Tarro 50ml Standard 8 unitats</v>
      </c>
      <c r="E208" s="18" t="str">
        <f>VLOOKUP(C:C,'LListat referències'!A:D,4,FALSE)</f>
        <v>T022</v>
      </c>
      <c r="F208" s="49">
        <f>VLOOKUP(C:C,'LListat referències'!A:E,5,FALSE)</f>
        <v>92</v>
      </c>
      <c r="G208" s="49">
        <v>109.1</v>
      </c>
      <c r="H208" s="49">
        <v>2</v>
      </c>
      <c r="I208" s="75">
        <f>Tabla1[[#This Row],[Cant. Fabricada (uds)]]/Tabla1[[#This Row],[Cavidades]]*Tabla1[[#This Row],[Tiempo Ciclo]]/60/60</f>
        <v>54.201486111111102</v>
      </c>
      <c r="J208" s="1" t="s">
        <v>15</v>
      </c>
      <c r="K208" s="25"/>
      <c r="L208" s="25">
        <v>4928</v>
      </c>
      <c r="M208" s="25">
        <v>6678</v>
      </c>
      <c r="N208" s="25">
        <v>8505</v>
      </c>
      <c r="O208" s="20">
        <v>43</v>
      </c>
      <c r="P208" s="1">
        <f>Tabla1[[#This Row],[Noche]]-Tabla1[[#This Row],[Mañana ]]</f>
        <v>3577</v>
      </c>
      <c r="Q208" s="58"/>
      <c r="R208" s="21">
        <f t="shared" si="6"/>
        <v>0</v>
      </c>
      <c r="S208" s="22">
        <f>Tabla1[[#This Row],[Merma Salas A &amp; B2]]*1000/Tabla1[[#This Row],[Peso gr.]]</f>
        <v>0</v>
      </c>
      <c r="T208" s="52">
        <v>55</v>
      </c>
      <c r="U208" s="24">
        <f>Tabla1[[#This Row],[Total piezas NOK]]/Tabla1[[#This Row],[Cant. Fabricada (uds)]]</f>
        <v>0</v>
      </c>
      <c r="V208" s="19" t="s">
        <v>866</v>
      </c>
    </row>
    <row r="209" spans="1:21" x14ac:dyDescent="0.3">
      <c r="A209" s="43">
        <v>44518</v>
      </c>
      <c r="B209" s="20" t="s">
        <v>756</v>
      </c>
      <c r="C209" s="20" t="s">
        <v>644</v>
      </c>
      <c r="D209" s="13" t="str">
        <f>VLOOKUP(C:C,'LListat referències'!A:B,2,FALSE)</f>
        <v>Tarro 200ml Quadrat estret (Tapa Rodona)</v>
      </c>
      <c r="E209" s="18">
        <f>VLOOKUP(C:C,'LListat referències'!A:D,4,FALSE)</f>
        <v>0</v>
      </c>
      <c r="F209" s="49">
        <f>VLOOKUP(C:C,'LListat referències'!A:E,5,FALSE)</f>
        <v>220.84</v>
      </c>
      <c r="G209" s="49">
        <v>122.41</v>
      </c>
      <c r="H209" s="49">
        <v>1</v>
      </c>
      <c r="I209" s="75">
        <f>Tabla1[[#This Row],[Cant. Fabricada (uds)]]/Tabla1[[#This Row],[Cavidades]]*Tabla1[[#This Row],[Tiempo Ciclo]]/60/60</f>
        <v>15.029227777777779</v>
      </c>
      <c r="J209" s="1" t="s">
        <v>7</v>
      </c>
      <c r="K209" s="25"/>
      <c r="L209" s="25">
        <v>25986</v>
      </c>
      <c r="M209" s="25">
        <v>26208</v>
      </c>
      <c r="N209" s="25">
        <v>26428</v>
      </c>
      <c r="O209" s="20">
        <v>41</v>
      </c>
      <c r="P209" s="1">
        <f>Tabla1[[#This Row],[Noche]]-Tabla1[[#This Row],[Mañana ]]</f>
        <v>442</v>
      </c>
      <c r="Q209" s="58"/>
      <c r="R209" s="21">
        <f t="shared" si="6"/>
        <v>0</v>
      </c>
      <c r="S209" s="22">
        <f>Tabla1[[#This Row],[Merma Salas A &amp; B2]]*1000/Tabla1[[#This Row],[Peso gr.]]</f>
        <v>0</v>
      </c>
      <c r="T209" s="52"/>
      <c r="U209" s="24">
        <f>Tabla1[[#This Row],[Total piezas NOK]]/Tabla1[[#This Row],[Cant. Fabricada (uds)]]</f>
        <v>0</v>
      </c>
    </row>
    <row r="210" spans="1:21" x14ac:dyDescent="0.3">
      <c r="A210" s="43">
        <v>44518</v>
      </c>
      <c r="B210" s="20" t="s">
        <v>871</v>
      </c>
      <c r="C210" s="20">
        <v>1879</v>
      </c>
      <c r="D210" s="13" t="str">
        <f>VLOOKUP(C:C,'LListat referències'!A:B,2,FALSE)</f>
        <v>Tapa tarro rectagular 50 ml</v>
      </c>
      <c r="E210" s="18" t="str">
        <f>VLOOKUP(C:C,'LListat referències'!A:D,4,FALSE)</f>
        <v>#23 (50 ml)</v>
      </c>
      <c r="F210" s="49">
        <f>VLOOKUP(C:C,'LListat referències'!A:E,5,FALSE)</f>
        <v>22.6</v>
      </c>
      <c r="G210" s="49">
        <v>73.69</v>
      </c>
      <c r="H210" s="49">
        <v>4</v>
      </c>
      <c r="I210" s="75">
        <f>Tabla1[[#This Row],[Cant. Fabricada (uds)]]/Tabla1[[#This Row],[Cavidades]]*Tabla1[[#This Row],[Tiempo Ciclo]]/60/60</f>
        <v>7.8090930555555556</v>
      </c>
      <c r="J210" s="1" t="s">
        <v>15</v>
      </c>
      <c r="K210" s="25"/>
      <c r="L210" s="25">
        <v>10122</v>
      </c>
      <c r="M210" s="25">
        <v>10850</v>
      </c>
      <c r="N210" s="25">
        <v>11648</v>
      </c>
      <c r="O210" s="20">
        <v>20</v>
      </c>
      <c r="P210" s="1">
        <f>Tabla1[[#This Row],[Noche]]-Tabla1[[#This Row],[Mañana ]]</f>
        <v>1526</v>
      </c>
      <c r="Q210" s="58">
        <v>3</v>
      </c>
      <c r="R210" s="21">
        <f t="shared" si="6"/>
        <v>3</v>
      </c>
      <c r="S210" s="22">
        <f>Tabla1[[#This Row],[Merma Salas A &amp; B2]]*1000/Tabla1[[#This Row],[Peso gr.]]</f>
        <v>132.74336283185841</v>
      </c>
      <c r="T210" s="52"/>
      <c r="U210" s="24">
        <f>Tabla1[[#This Row],[Total piezas NOK]]/Tabla1[[#This Row],[Cant. Fabricada (uds)]]</f>
        <v>8.6987786914717175E-2</v>
      </c>
    </row>
    <row r="211" spans="1:21" x14ac:dyDescent="0.3">
      <c r="A211" s="43">
        <v>44518</v>
      </c>
      <c r="B211" s="20" t="s">
        <v>839</v>
      </c>
      <c r="C211" s="20" t="s">
        <v>10</v>
      </c>
      <c r="D211" s="13" t="str">
        <f>VLOOKUP(C:C,'LListat referències'!A:B,2,FALSE)</f>
        <v xml:space="preserve">Tapa 100 ml prima </v>
      </c>
      <c r="E211" s="18" t="str">
        <f>VLOOKUP(C:C,'LListat referències'!A:D,4,FALSE)</f>
        <v>#26(100 ml)</v>
      </c>
      <c r="F211" s="49">
        <f>VLOOKUP(C:C,'LListat referències'!A:E,5,FALSE)</f>
        <v>30.3</v>
      </c>
      <c r="G211" s="49">
        <v>66.400000000000006</v>
      </c>
      <c r="H211" s="49">
        <v>4</v>
      </c>
      <c r="I211" s="75">
        <f>Tabla1[[#This Row],[Cant. Fabricada (uds)]]/Tabla1[[#This Row],[Cavidades]]*Tabla1[[#This Row],[Tiempo Ciclo]]/60/60</f>
        <v>7.4607777777777784</v>
      </c>
      <c r="J211" s="1" t="s">
        <v>15</v>
      </c>
      <c r="K211" s="25"/>
      <c r="L211" s="25">
        <v>16230</v>
      </c>
      <c r="M211" s="25">
        <v>17002</v>
      </c>
      <c r="N211" s="25">
        <v>17848</v>
      </c>
      <c r="O211" s="20">
        <v>38</v>
      </c>
      <c r="P211" s="1">
        <f>Tabla1[[#This Row],[Noche]]-Tabla1[[#This Row],[Mañana ]]</f>
        <v>1618</v>
      </c>
      <c r="Q211" s="58">
        <v>5</v>
      </c>
      <c r="R211" s="21">
        <f t="shared" si="6"/>
        <v>5</v>
      </c>
      <c r="S211" s="22">
        <f>Tabla1[[#This Row],[Merma Salas A &amp; B2]]*1000/Tabla1[[#This Row],[Peso gr.]]</f>
        <v>165.01650165016503</v>
      </c>
      <c r="T211" s="52"/>
      <c r="U211" s="24">
        <f>Tabla1[[#This Row],[Total piezas NOK]]/Tabla1[[#This Row],[Cant. Fabricada (uds)]]</f>
        <v>0.10198794910393388</v>
      </c>
    </row>
    <row r="212" spans="1:21" x14ac:dyDescent="0.3">
      <c r="A212" s="43">
        <v>44518</v>
      </c>
      <c r="B212" s="20" t="s">
        <v>873</v>
      </c>
      <c r="C212" s="20">
        <v>1704</v>
      </c>
      <c r="D212" s="13" t="str">
        <f>VLOOKUP(C:C,'LListat referències'!A:B,2,FALSE)</f>
        <v>Tarro 50 ml quadrat</v>
      </c>
      <c r="E212" s="18" t="str">
        <f>VLOOKUP(C:C,'LListat referències'!A:D,4,FALSE)</f>
        <v>T046</v>
      </c>
      <c r="F212" s="49">
        <f>VLOOKUP(C:C,'LListat referències'!A:E,5,FALSE)</f>
        <v>99.2</v>
      </c>
      <c r="G212" s="49">
        <v>95.45</v>
      </c>
      <c r="H212" s="49">
        <v>4</v>
      </c>
      <c r="I212" s="75">
        <f>Tabla1[[#This Row],[Cant. Fabricada (uds)]]/Tabla1[[#This Row],[Cavidades]]*Tabla1[[#This Row],[Tiempo Ciclo]]/60/60</f>
        <v>15.643194444444445</v>
      </c>
      <c r="J212" s="1" t="s">
        <v>15</v>
      </c>
      <c r="K212" s="25"/>
      <c r="L212" s="25">
        <v>8000</v>
      </c>
      <c r="M212" s="25">
        <v>9140</v>
      </c>
      <c r="N212" s="25">
        <v>10360</v>
      </c>
      <c r="O212" s="20">
        <v>51</v>
      </c>
      <c r="P212" s="1">
        <f>Tabla1[[#This Row],[Noche]]-Tabla1[[#This Row],[Mañana ]]</f>
        <v>2360</v>
      </c>
      <c r="Q212" s="58"/>
      <c r="R212" s="21">
        <f t="shared" si="6"/>
        <v>0</v>
      </c>
      <c r="S212" s="22">
        <f>Tabla1[[#This Row],[Merma Salas A &amp; B2]]*1000/Tabla1[[#This Row],[Peso gr.]]</f>
        <v>0</v>
      </c>
      <c r="T212" s="52"/>
      <c r="U212" s="24">
        <f>Tabla1[[#This Row],[Total piezas NOK]]/Tabla1[[#This Row],[Cant. Fabricada (uds)]]</f>
        <v>0</v>
      </c>
    </row>
    <row r="213" spans="1:21" x14ac:dyDescent="0.3">
      <c r="A213" s="43">
        <v>44518</v>
      </c>
      <c r="B213" s="20" t="s">
        <v>867</v>
      </c>
      <c r="C213" s="20">
        <v>1904</v>
      </c>
      <c r="D213" s="13" t="str">
        <f>VLOOKUP(C:C,'LListat referències'!A:B,2,FALSE)</f>
        <v xml:space="preserve">Interior tapa 200ml </v>
      </c>
      <c r="E213" s="18" t="str">
        <f>VLOOKUP(C:C,'LListat referències'!A:D,4,FALSE)</f>
        <v/>
      </c>
      <c r="F213" s="49">
        <f>VLOOKUP(C:C,'LListat referències'!A:E,5,FALSE)</f>
        <v>10</v>
      </c>
      <c r="G213" s="49">
        <v>29</v>
      </c>
      <c r="H213" s="49">
        <v>4</v>
      </c>
      <c r="I213" s="75">
        <f>Tabla1[[#This Row],[Cant. Fabricada (uds)]]/Tabla1[[#This Row],[Cavidades]]*Tabla1[[#This Row],[Tiempo Ciclo]]/60/60</f>
        <v>15.031666666666666</v>
      </c>
      <c r="J213" s="1" t="s">
        <v>797</v>
      </c>
      <c r="K213" s="25"/>
      <c r="L213" s="25">
        <v>7928</v>
      </c>
      <c r="M213" s="25">
        <v>11532</v>
      </c>
      <c r="N213" s="25">
        <v>15392</v>
      </c>
      <c r="O213" s="20">
        <v>17</v>
      </c>
      <c r="P213" s="1">
        <f>Tabla1[[#This Row],[Noche]]-Tabla1[[#This Row],[Mañana ]]</f>
        <v>7464</v>
      </c>
      <c r="Q213" s="58"/>
      <c r="R213" s="21">
        <f t="shared" si="6"/>
        <v>0</v>
      </c>
      <c r="S213" s="22">
        <f>Tabla1[[#This Row],[Merma Salas A &amp; B2]]*1000/Tabla1[[#This Row],[Peso gr.]]</f>
        <v>0</v>
      </c>
      <c r="T213" s="52"/>
      <c r="U213" s="24">
        <f>Tabla1[[#This Row],[Total piezas NOK]]/Tabla1[[#This Row],[Cant. Fabricada (uds)]]</f>
        <v>0</v>
      </c>
    </row>
    <row r="214" spans="1:21" x14ac:dyDescent="0.3">
      <c r="A214" s="43">
        <v>44518</v>
      </c>
      <c r="B214" s="20" t="s">
        <v>858</v>
      </c>
      <c r="C214" s="20">
        <v>1799</v>
      </c>
      <c r="D214" s="13" t="str">
        <f>VLOOKUP(C:C,'LListat referències'!A:B,2,FALSE)</f>
        <v>Tarro tapa juvena 30ml</v>
      </c>
      <c r="E214" s="18" t="str">
        <f>VLOOKUP(C:C,'LListat referències'!A:D,4,FALSE)</f>
        <v>T071</v>
      </c>
      <c r="F214" s="49">
        <f>VLOOKUP(C:C,'LListat referències'!A:E,5,FALSE)</f>
        <v>43.5</v>
      </c>
      <c r="G214" s="49">
        <v>97</v>
      </c>
      <c r="H214" s="49">
        <v>4</v>
      </c>
      <c r="I214" s="75">
        <f>Tabla1[[#This Row],[Cant. Fabricada (uds)]]/Tabla1[[#This Row],[Cavidades]]*Tabla1[[#This Row],[Tiempo Ciclo]]/60/60</f>
        <v>9.9963888888888892</v>
      </c>
      <c r="J214" s="1" t="s">
        <v>15</v>
      </c>
      <c r="K214" s="25"/>
      <c r="L214" s="25">
        <v>342</v>
      </c>
      <c r="M214" s="25">
        <v>1426</v>
      </c>
      <c r="N214" s="25">
        <v>1826</v>
      </c>
      <c r="O214" s="20">
        <v>45</v>
      </c>
      <c r="P214" s="1">
        <f>Tabla1[[#This Row],[Noche]]-Tabla1[[#This Row],[Mañana ]]</f>
        <v>1484</v>
      </c>
      <c r="Q214" s="58"/>
      <c r="R214" s="21">
        <f t="shared" si="6"/>
        <v>0</v>
      </c>
      <c r="S214" s="22">
        <f>Tabla1[[#This Row],[Merma Salas A &amp; B2]]*1000/Tabla1[[#This Row],[Peso gr.]]</f>
        <v>0</v>
      </c>
      <c r="T214" s="52"/>
      <c r="U214" s="24">
        <f>Tabla1[[#This Row],[Total piezas NOK]]/Tabla1[[#This Row],[Cant. Fabricada (uds)]]</f>
        <v>0</v>
      </c>
    </row>
    <row r="215" spans="1:21" x14ac:dyDescent="0.3">
      <c r="A215" s="43">
        <v>44519</v>
      </c>
      <c r="B215" s="20" t="s">
        <v>856</v>
      </c>
      <c r="C215" s="20">
        <v>1171</v>
      </c>
      <c r="D215" s="13" t="str">
        <f>VLOOKUP(C:C,'LListat referències'!A:B,2,FALSE)</f>
        <v>Obturador BOTELLA</v>
      </c>
      <c r="E215" s="18" t="str">
        <f>VLOOKUP(C:C,'LListat referències'!A:D,4,FALSE)</f>
        <v/>
      </c>
      <c r="F215" s="49">
        <v>0.3</v>
      </c>
      <c r="G215" s="49">
        <v>16.5</v>
      </c>
      <c r="H215" s="49">
        <v>4</v>
      </c>
      <c r="I215" s="75">
        <f>Tabla1[[#This Row],[Cant. Fabricada (uds)]]/Tabla1[[#This Row],[Cavidades]]*Tabla1[[#This Row],[Tiempo Ciclo]]/60/60</f>
        <v>2.4108333333333336</v>
      </c>
      <c r="J215" s="1" t="s">
        <v>868</v>
      </c>
      <c r="K215" s="25"/>
      <c r="L215" s="25">
        <v>2940</v>
      </c>
      <c r="M215" s="25">
        <v>5044</v>
      </c>
      <c r="N215" s="25">
        <v>5044</v>
      </c>
      <c r="O215" s="20">
        <v>48</v>
      </c>
      <c r="P215" s="1">
        <f>Tabla1[[#This Row],[Noche]]-Tabla1[[#This Row],[Mañana ]]</f>
        <v>2104</v>
      </c>
      <c r="Q215" s="58">
        <v>0</v>
      </c>
      <c r="R215" s="21">
        <f t="shared" si="6"/>
        <v>0</v>
      </c>
      <c r="S215" s="22">
        <f>Tabla1[[#This Row],[Merma Salas A &amp; B2]]*1000/Tabla1[[#This Row],[Peso gr.]]</f>
        <v>0</v>
      </c>
      <c r="T215" s="52"/>
      <c r="U215" s="24">
        <f>Tabla1[[#This Row],[Total piezas NOK]]/Tabla1[[#This Row],[Cant. Fabricada (uds)]]</f>
        <v>0</v>
      </c>
    </row>
    <row r="216" spans="1:21" x14ac:dyDescent="0.3">
      <c r="A216" s="43">
        <v>44519</v>
      </c>
      <c r="B216" s="20" t="s">
        <v>857</v>
      </c>
      <c r="C216" s="20">
        <v>1801</v>
      </c>
      <c r="D216" s="13" t="str">
        <f>VLOOKUP(C:C,'LListat referències'!A:B,2,FALSE)</f>
        <v>Int. tapa juvena 30 ml</v>
      </c>
      <c r="E216" s="18" t="str">
        <f>VLOOKUP(C:C,'LListat referències'!A:D,4,FALSE)</f>
        <v/>
      </c>
      <c r="F216" s="49">
        <f>VLOOKUP(C:C,'LListat referències'!A:E,5,FALSE)</f>
        <v>5.86</v>
      </c>
      <c r="G216" s="49">
        <v>18.100000000000001</v>
      </c>
      <c r="H216" s="49">
        <v>2</v>
      </c>
      <c r="I216" s="75">
        <f>Tabla1[[#This Row],[Cant. Fabricada (uds)]]/Tabla1[[#This Row],[Cavidades]]*Tabla1[[#This Row],[Tiempo Ciclo]]/60/60</f>
        <v>3.8437361111111112</v>
      </c>
      <c r="J216" s="1" t="s">
        <v>797</v>
      </c>
      <c r="K216" s="25"/>
      <c r="L216" s="25">
        <v>3997</v>
      </c>
      <c r="M216" s="25">
        <v>5463</v>
      </c>
      <c r="N216" s="25">
        <v>5526</v>
      </c>
      <c r="O216" s="20">
        <v>46</v>
      </c>
      <c r="P216" s="1">
        <f>Tabla1[[#This Row],[Noche]]-Tabla1[[#This Row],[Mañana ]]</f>
        <v>1529</v>
      </c>
      <c r="Q216" s="58">
        <v>0</v>
      </c>
      <c r="R216" s="21">
        <f t="shared" si="6"/>
        <v>0</v>
      </c>
      <c r="S216" s="22">
        <f>Tabla1[[#This Row],[Merma Salas A &amp; B2]]*1000/Tabla1[[#This Row],[Peso gr.]]</f>
        <v>0</v>
      </c>
      <c r="T216" s="52"/>
      <c r="U216" s="24">
        <f>Tabla1[[#This Row],[Total piezas NOK]]/Tabla1[[#This Row],[Cant. Fabricada (uds)]]</f>
        <v>0</v>
      </c>
    </row>
    <row r="217" spans="1:21" x14ac:dyDescent="0.3">
      <c r="A217" s="43">
        <v>44519</v>
      </c>
      <c r="B217" s="20" t="s">
        <v>860</v>
      </c>
      <c r="C217" s="20" t="s">
        <v>478</v>
      </c>
      <c r="D217" s="13" t="str">
        <f>VLOOKUP(C:C,'LListat referències'!A:B,2,FALSE)</f>
        <v xml:space="preserve">Tarro 50 ml labiomar </v>
      </c>
      <c r="E217" s="18" t="str">
        <f>VLOOKUP(C:C,'LListat referències'!A:D,4,FALSE)</f>
        <v>T079</v>
      </c>
      <c r="F217" s="49">
        <f>VLOOKUP(C:C,'LListat referències'!A:E,5,FALSE)</f>
        <v>82.7</v>
      </c>
      <c r="G217" s="49">
        <v>105</v>
      </c>
      <c r="H217" s="49">
        <v>4</v>
      </c>
      <c r="I217" s="75">
        <f>Tabla1[[#This Row],[Cant. Fabricada (uds)]]/Tabla1[[#This Row],[Cavidades]]*Tabla1[[#This Row],[Tiempo Ciclo]]/60/60</f>
        <v>4.921875</v>
      </c>
      <c r="J217" s="1" t="s">
        <v>8</v>
      </c>
      <c r="K217" s="25"/>
      <c r="L217" s="25">
        <v>603</v>
      </c>
      <c r="M217" s="25">
        <v>1278</v>
      </c>
      <c r="N217" s="25">
        <v>1278</v>
      </c>
      <c r="O217" s="20">
        <v>44</v>
      </c>
      <c r="P217" s="1">
        <f>Tabla1[[#This Row],[Noche]]-Tabla1[[#This Row],[Mañana ]]</f>
        <v>675</v>
      </c>
      <c r="Q217" s="58"/>
      <c r="R217" s="21">
        <f t="shared" si="6"/>
        <v>0</v>
      </c>
      <c r="S217" s="22">
        <f>Tabla1[[#This Row],[Merma Salas A &amp; B2]]*1000/Tabla1[[#This Row],[Peso gr.]]</f>
        <v>0</v>
      </c>
      <c r="T217" s="52"/>
      <c r="U217" s="24">
        <f>Tabla1[[#This Row],[Total piezas NOK]]/Tabla1[[#This Row],[Cant. Fabricada (uds)]]</f>
        <v>0</v>
      </c>
    </row>
    <row r="218" spans="1:21" x14ac:dyDescent="0.3">
      <c r="A218" s="43">
        <v>44519</v>
      </c>
      <c r="B218" s="20" t="s">
        <v>759</v>
      </c>
      <c r="C218" s="20">
        <v>1861</v>
      </c>
      <c r="D218" s="13" t="str">
        <f>VLOOKUP(C:C,'LListat referències'!A:B,2,FALSE)</f>
        <v>Tarro 50ml Standard 8 unitats</v>
      </c>
      <c r="E218" s="18" t="str">
        <f>VLOOKUP(C:C,'LListat referències'!A:D,4,FALSE)</f>
        <v>T022</v>
      </c>
      <c r="F218" s="49">
        <f>VLOOKUP(C:C,'LListat referències'!A:E,5,FALSE)</f>
        <v>92</v>
      </c>
      <c r="G218" s="49">
        <v>109.1</v>
      </c>
      <c r="H218" s="49">
        <v>2</v>
      </c>
      <c r="I218" s="75">
        <f>Tabla1[[#This Row],[Cant. Fabricada (uds)]]/Tabla1[[#This Row],[Cavidades]]*Tabla1[[#This Row],[Tiempo Ciclo]]/60/60</f>
        <v>47.519111111111108</v>
      </c>
      <c r="J218" s="1" t="s">
        <v>15</v>
      </c>
      <c r="K218" s="25"/>
      <c r="L218" s="25">
        <v>10395</v>
      </c>
      <c r="M218" s="25">
        <v>12075</v>
      </c>
      <c r="N218" s="25">
        <v>13531</v>
      </c>
      <c r="O218" s="20">
        <v>43</v>
      </c>
      <c r="P218" s="1">
        <f>Tabla1[[#This Row],[Noche]]-Tabla1[[#This Row],[Mañana ]]</f>
        <v>3136</v>
      </c>
      <c r="Q218" s="58"/>
      <c r="R218" s="21">
        <f t="shared" si="6"/>
        <v>0</v>
      </c>
      <c r="S218" s="22">
        <f>Tabla1[[#This Row],[Merma Salas A &amp; B2]]*1000/Tabla1[[#This Row],[Peso gr.]]</f>
        <v>0</v>
      </c>
      <c r="T218" s="52"/>
      <c r="U218" s="24">
        <f>Tabla1[[#This Row],[Total piezas NOK]]/Tabla1[[#This Row],[Cant. Fabricada (uds)]]</f>
        <v>0</v>
      </c>
    </row>
    <row r="219" spans="1:21" x14ac:dyDescent="0.3">
      <c r="A219" s="43">
        <v>44519</v>
      </c>
      <c r="B219" s="20" t="s">
        <v>756</v>
      </c>
      <c r="C219" s="20" t="s">
        <v>644</v>
      </c>
      <c r="D219" s="13" t="str">
        <f>VLOOKUP(C:C,'LListat referències'!A:B,2,FALSE)</f>
        <v>Tarro 200ml Quadrat estret (Tapa Rodona)</v>
      </c>
      <c r="E219" s="18">
        <f>VLOOKUP(C:C,'LListat referències'!A:D,4,FALSE)</f>
        <v>0</v>
      </c>
      <c r="F219" s="49">
        <f>VLOOKUP(C:C,'LListat referències'!A:E,5,FALSE)</f>
        <v>220.84</v>
      </c>
      <c r="G219" s="49">
        <v>122.41</v>
      </c>
      <c r="H219" s="49">
        <v>1</v>
      </c>
      <c r="I219" s="75">
        <f>Tabla1[[#This Row],[Cant. Fabricada (uds)]]/Tabla1[[#This Row],[Cavidades]]*Tabla1[[#This Row],[Tiempo Ciclo]]/60/60</f>
        <v>14.247163888888888</v>
      </c>
      <c r="J219" s="1" t="s">
        <v>7</v>
      </c>
      <c r="K219" s="25"/>
      <c r="L219" s="25">
        <v>26643</v>
      </c>
      <c r="M219" s="25">
        <v>26867</v>
      </c>
      <c r="N219" s="25">
        <v>27062</v>
      </c>
      <c r="O219" s="20">
        <v>41</v>
      </c>
      <c r="P219" s="1">
        <f>Tabla1[[#This Row],[Noche]]-Tabla1[[#This Row],[Mañana ]]</f>
        <v>419</v>
      </c>
      <c r="Q219" s="58"/>
      <c r="R219" s="21">
        <f t="shared" si="6"/>
        <v>0</v>
      </c>
      <c r="S219" s="22">
        <f>Tabla1[[#This Row],[Merma Salas A &amp; B2]]*1000/Tabla1[[#This Row],[Peso gr.]]</f>
        <v>0</v>
      </c>
      <c r="T219" s="52"/>
      <c r="U219" s="24">
        <f>Tabla1[[#This Row],[Total piezas NOK]]/Tabla1[[#This Row],[Cant. Fabricada (uds)]]</f>
        <v>0</v>
      </c>
    </row>
    <row r="220" spans="1:21" x14ac:dyDescent="0.3">
      <c r="A220" s="43">
        <v>44519</v>
      </c>
      <c r="B220" s="20" t="s">
        <v>871</v>
      </c>
      <c r="C220" s="20">
        <v>1879</v>
      </c>
      <c r="D220" s="13" t="str">
        <f>VLOOKUP(C:C,'LListat referències'!A:B,2,FALSE)</f>
        <v>Tapa tarro rectagular 50 ml</v>
      </c>
      <c r="E220" s="18" t="str">
        <f>VLOOKUP(C:C,'LListat referències'!A:D,4,FALSE)</f>
        <v>#23 (50 ml)</v>
      </c>
      <c r="F220" s="49">
        <f>VLOOKUP(C:C,'LListat referències'!A:E,5,FALSE)</f>
        <v>22.6</v>
      </c>
      <c r="G220" s="49">
        <v>73.69</v>
      </c>
      <c r="H220" s="49">
        <v>4</v>
      </c>
      <c r="I220" s="75">
        <f>Tabla1[[#This Row],[Cant. Fabricada (uds)]]/Tabla1[[#This Row],[Cavidades]]*Tabla1[[#This Row],[Tiempo Ciclo]]/60/60</f>
        <v>7.1643055555555559</v>
      </c>
      <c r="J220" s="1" t="s">
        <v>15</v>
      </c>
      <c r="K220" s="25"/>
      <c r="L220" s="25">
        <v>12348</v>
      </c>
      <c r="M220" s="25">
        <v>13102</v>
      </c>
      <c r="N220" s="25">
        <v>13748</v>
      </c>
      <c r="O220" s="20">
        <v>20</v>
      </c>
      <c r="P220" s="1">
        <f>Tabla1[[#This Row],[Noche]]-Tabla1[[#This Row],[Mañana ]]</f>
        <v>1400</v>
      </c>
      <c r="Q220" s="58">
        <v>5</v>
      </c>
      <c r="R220" s="21">
        <f t="shared" si="6"/>
        <v>5</v>
      </c>
      <c r="S220" s="22">
        <f>Tabla1[[#This Row],[Merma Salas A &amp; B2]]*1000/Tabla1[[#This Row],[Peso gr.]]</f>
        <v>221.23893805309734</v>
      </c>
      <c r="T220" s="52"/>
      <c r="U220" s="24">
        <f>Tabla1[[#This Row],[Total piezas NOK]]/Tabla1[[#This Row],[Cant. Fabricada (uds)]]</f>
        <v>0.15802781289506954</v>
      </c>
    </row>
    <row r="221" spans="1:21" x14ac:dyDescent="0.3">
      <c r="A221" s="43">
        <v>44519</v>
      </c>
      <c r="B221" s="20" t="s">
        <v>839</v>
      </c>
      <c r="C221" s="20" t="s">
        <v>10</v>
      </c>
      <c r="D221" s="13" t="str">
        <f>VLOOKUP(C:C,'LListat referències'!A:B,2,FALSE)</f>
        <v xml:space="preserve">Tapa 100 ml prima </v>
      </c>
      <c r="E221" s="18" t="str">
        <f>VLOOKUP(C:C,'LListat referències'!A:D,4,FALSE)</f>
        <v>#26(100 ml)</v>
      </c>
      <c r="F221" s="49">
        <f>VLOOKUP(C:C,'LListat referències'!A:E,5,FALSE)</f>
        <v>30.3</v>
      </c>
      <c r="G221" s="49">
        <v>66.400000000000006</v>
      </c>
      <c r="H221" s="49">
        <v>4</v>
      </c>
      <c r="I221" s="75">
        <f>Tabla1[[#This Row],[Cant. Fabricada (uds)]]/Tabla1[[#This Row],[Cavidades]]*Tabla1[[#This Row],[Tiempo Ciclo]]/60/60</f>
        <v>5.2843333333333344</v>
      </c>
      <c r="J221" s="1" t="s">
        <v>15</v>
      </c>
      <c r="K221" s="25"/>
      <c r="L221" s="25">
        <v>18700</v>
      </c>
      <c r="M221" s="25">
        <v>19494</v>
      </c>
      <c r="N221" s="25">
        <v>19846</v>
      </c>
      <c r="O221" s="20">
        <v>38</v>
      </c>
      <c r="P221" s="1">
        <f>Tabla1[[#This Row],[Noche]]-Tabla1[[#This Row],[Mañana ]]</f>
        <v>1146</v>
      </c>
      <c r="Q221" s="58">
        <v>5</v>
      </c>
      <c r="R221" s="21">
        <f t="shared" si="6"/>
        <v>5</v>
      </c>
      <c r="S221" s="22">
        <f>Tabla1[[#This Row],[Merma Salas A &amp; B2]]*1000/Tabla1[[#This Row],[Peso gr.]]</f>
        <v>165.01650165016503</v>
      </c>
      <c r="T221" s="52"/>
      <c r="U221" s="24">
        <f>Tabla1[[#This Row],[Total piezas NOK]]/Tabla1[[#This Row],[Cant. Fabricada (uds)]]</f>
        <v>0.14399345693731677</v>
      </c>
    </row>
    <row r="222" spans="1:21" x14ac:dyDescent="0.3">
      <c r="A222" s="43">
        <v>44519</v>
      </c>
      <c r="B222" s="20" t="s">
        <v>873</v>
      </c>
      <c r="C222" s="20">
        <v>1704</v>
      </c>
      <c r="D222" s="13" t="str">
        <f>VLOOKUP(C:C,'LListat referències'!A:B,2,FALSE)</f>
        <v>Tarro 50 ml quadrat</v>
      </c>
      <c r="E222" s="18" t="str">
        <f>VLOOKUP(C:C,'LListat referències'!A:D,4,FALSE)</f>
        <v>T046</v>
      </c>
      <c r="F222" s="49">
        <f>VLOOKUP(C:C,'LListat referències'!A:E,5,FALSE)</f>
        <v>99.2</v>
      </c>
      <c r="G222" s="49">
        <v>95.45</v>
      </c>
      <c r="H222" s="49">
        <v>4</v>
      </c>
      <c r="I222" s="75">
        <f>Tabla1[[#This Row],[Cant. Fabricada (uds)]]/Tabla1[[#This Row],[Cavidades]]*Tabla1[[#This Row],[Tiempo Ciclo]]/60/60</f>
        <v>4.7194722222222225</v>
      </c>
      <c r="J222" s="1" t="s">
        <v>15</v>
      </c>
      <c r="K222" s="25"/>
      <c r="L222" s="25">
        <v>11600</v>
      </c>
      <c r="M222" s="25">
        <v>12312</v>
      </c>
      <c r="N222" s="25">
        <v>12312</v>
      </c>
      <c r="O222" s="20">
        <v>51</v>
      </c>
      <c r="P222" s="1">
        <f>Tabla1[[#This Row],[Noche]]-Tabla1[[#This Row],[Mañana ]]</f>
        <v>712</v>
      </c>
      <c r="Q222" s="58"/>
      <c r="R222" s="21">
        <f t="shared" si="6"/>
        <v>0</v>
      </c>
      <c r="S222" s="22">
        <f>Tabla1[[#This Row],[Merma Salas A &amp; B2]]*1000/Tabla1[[#This Row],[Peso gr.]]</f>
        <v>0</v>
      </c>
      <c r="T222" s="52"/>
      <c r="U222" s="24">
        <f>Tabla1[[#This Row],[Total piezas NOK]]/Tabla1[[#This Row],[Cant. Fabricada (uds)]]</f>
        <v>0</v>
      </c>
    </row>
    <row r="223" spans="1:21" x14ac:dyDescent="0.3">
      <c r="A223" s="43">
        <v>44519</v>
      </c>
      <c r="B223" s="20" t="s">
        <v>867</v>
      </c>
      <c r="C223" s="20">
        <v>1904</v>
      </c>
      <c r="D223" s="13" t="str">
        <f>VLOOKUP(C:C,'LListat referències'!A:B,2,FALSE)</f>
        <v xml:space="preserve">Interior tapa 200ml </v>
      </c>
      <c r="E223" s="18" t="str">
        <f>VLOOKUP(C:C,'LListat referències'!A:D,4,FALSE)</f>
        <v/>
      </c>
      <c r="F223" s="49">
        <f>VLOOKUP(C:C,'LListat referències'!A:E,5,FALSE)</f>
        <v>10</v>
      </c>
      <c r="G223" s="49">
        <v>29</v>
      </c>
      <c r="H223" s="49">
        <v>4</v>
      </c>
      <c r="I223" s="75">
        <f>Tabla1[[#This Row],[Cant. Fabricada (uds)]]/Tabla1[[#This Row],[Cavidades]]*Tabla1[[#This Row],[Tiempo Ciclo]]/60/60</f>
        <v>14.612777777777778</v>
      </c>
      <c r="J223" s="1" t="s">
        <v>797</v>
      </c>
      <c r="K223" s="25"/>
      <c r="L223" s="25">
        <v>19232</v>
      </c>
      <c r="M223" s="25">
        <v>23072</v>
      </c>
      <c r="N223" s="25">
        <v>26488</v>
      </c>
      <c r="O223" s="20">
        <v>17</v>
      </c>
      <c r="P223" s="1">
        <f>Tabla1[[#This Row],[Noche]]-Tabla1[[#This Row],[Mañana ]]</f>
        <v>7256</v>
      </c>
      <c r="Q223" s="58"/>
      <c r="R223" s="21">
        <f t="shared" si="6"/>
        <v>0</v>
      </c>
      <c r="S223" s="22">
        <f>Tabla1[[#This Row],[Merma Salas A &amp; B2]]*1000/Tabla1[[#This Row],[Peso gr.]]</f>
        <v>0</v>
      </c>
      <c r="T223" s="52"/>
      <c r="U223" s="24">
        <f>Tabla1[[#This Row],[Total piezas NOK]]/Tabla1[[#This Row],[Cant. Fabricada (uds)]]</f>
        <v>0</v>
      </c>
    </row>
    <row r="224" spans="1:21" x14ac:dyDescent="0.3">
      <c r="A224" s="43">
        <v>44519</v>
      </c>
      <c r="B224" s="20" t="s">
        <v>858</v>
      </c>
      <c r="C224" s="20">
        <v>1799</v>
      </c>
      <c r="D224" s="13" t="str">
        <f>VLOOKUP(C:C,'LListat referències'!A:B,2,FALSE)</f>
        <v>Tarro tapa juvena 30ml</v>
      </c>
      <c r="E224" s="18" t="str">
        <f>VLOOKUP(C:C,'LListat referències'!A:D,4,FALSE)</f>
        <v>T071</v>
      </c>
      <c r="F224" s="49">
        <f>VLOOKUP(C:C,'LListat referències'!A:E,5,FALSE)</f>
        <v>43.5</v>
      </c>
      <c r="G224" s="49">
        <v>97</v>
      </c>
      <c r="H224" s="49">
        <v>4</v>
      </c>
      <c r="I224" s="75">
        <f>Tabla1[[#This Row],[Cant. Fabricada (uds)]]/Tabla1[[#This Row],[Cavidades]]*Tabla1[[#This Row],[Tiempo Ciclo]]/60/60</f>
        <v>0</v>
      </c>
      <c r="J224" s="1" t="s">
        <v>15</v>
      </c>
      <c r="K224" s="25"/>
      <c r="L224" s="25">
        <v>2848</v>
      </c>
      <c r="M224" s="25"/>
      <c r="N224" s="25">
        <v>2848</v>
      </c>
      <c r="O224" s="20">
        <v>45</v>
      </c>
      <c r="P224" s="1">
        <f>Tabla1[[#This Row],[Noche]]-Tabla1[[#This Row],[Mañana ]]</f>
        <v>0</v>
      </c>
      <c r="Q224" s="58"/>
      <c r="R224" s="21">
        <f t="shared" si="6"/>
        <v>0</v>
      </c>
      <c r="S224" s="22">
        <f>Tabla1[[#This Row],[Merma Salas A &amp; B2]]*1000/Tabla1[[#This Row],[Peso gr.]]</f>
        <v>0</v>
      </c>
      <c r="T224" s="52"/>
      <c r="U224" s="24" t="s">
        <v>842</v>
      </c>
    </row>
    <row r="225" spans="1:22" x14ac:dyDescent="0.3">
      <c r="A225" s="43">
        <v>44522</v>
      </c>
      <c r="B225" s="20" t="s">
        <v>857</v>
      </c>
      <c r="C225" s="20">
        <v>1801</v>
      </c>
      <c r="D225" s="13" t="str">
        <f>VLOOKUP(C:C,'LListat referències'!A:B,2,FALSE)</f>
        <v>Int. tapa juvena 30 ml</v>
      </c>
      <c r="E225" s="18" t="str">
        <f>VLOOKUP(C:C,'LListat referències'!A:D,4,FALSE)</f>
        <v/>
      </c>
      <c r="F225" s="49">
        <f>VLOOKUP(C:C,'LListat referències'!A:E,5,FALSE)</f>
        <v>5.86</v>
      </c>
      <c r="G225" s="49">
        <v>18.100000000000001</v>
      </c>
      <c r="H225" s="49">
        <v>2</v>
      </c>
      <c r="I225" s="75">
        <f>Tabla1[[#This Row],[Cant. Fabricada (uds)]]/Tabla1[[#This Row],[Cavidades]]*Tabla1[[#This Row],[Tiempo Ciclo]]/60/60</f>
        <v>7.5818888888888889</v>
      </c>
      <c r="J225" s="1" t="s">
        <v>797</v>
      </c>
      <c r="K225" s="25"/>
      <c r="L225" s="25">
        <v>6780</v>
      </c>
      <c r="M225" s="25">
        <v>8221</v>
      </c>
      <c r="N225" s="25">
        <v>9796</v>
      </c>
      <c r="O225" s="20">
        <v>46</v>
      </c>
      <c r="P225" s="1">
        <f>Tabla1[[#This Row],[Noche]]-Tabla1[[#This Row],[Mañana ]]</f>
        <v>3016</v>
      </c>
      <c r="Q225" s="58">
        <v>0</v>
      </c>
      <c r="R225" s="21">
        <f t="shared" si="6"/>
        <v>0</v>
      </c>
      <c r="S225" s="22">
        <f>Tabla1[[#This Row],[Merma Salas A &amp; B2]]*1000/Tabla1[[#This Row],[Peso gr.]]</f>
        <v>0</v>
      </c>
      <c r="T225" s="52"/>
      <c r="U225" s="24">
        <f>Tabla1[[#This Row],[Total piezas NOK]]/Tabla1[[#This Row],[Cant. Fabricada (uds)]]</f>
        <v>0</v>
      </c>
    </row>
    <row r="226" spans="1:22" x14ac:dyDescent="0.3">
      <c r="A226" s="43">
        <v>44522</v>
      </c>
      <c r="B226" s="20" t="s">
        <v>861</v>
      </c>
      <c r="C226" s="20" t="s">
        <v>478</v>
      </c>
      <c r="D226" s="13" t="str">
        <f>VLOOKUP(C:C,'LListat referències'!A:B,2,FALSE)</f>
        <v xml:space="preserve">Tarro 50 ml labiomar </v>
      </c>
      <c r="E226" s="18" t="str">
        <f>VLOOKUP(C:C,'LListat referències'!A:D,4,FALSE)</f>
        <v>T079</v>
      </c>
      <c r="F226" s="49">
        <f>VLOOKUP(C:C,'LListat referències'!A:E,5,FALSE)</f>
        <v>82.7</v>
      </c>
      <c r="G226" s="49">
        <v>105</v>
      </c>
      <c r="H226" s="49">
        <v>4</v>
      </c>
      <c r="I226" s="75">
        <f>Tabla1[[#This Row],[Cant. Fabricada (uds)]]/Tabla1[[#This Row],[Cavidades]]*Tabla1[[#This Row],[Tiempo Ciclo]]/60/60</f>
        <v>11.9</v>
      </c>
      <c r="J226" s="1" t="s">
        <v>8</v>
      </c>
      <c r="K226" s="25"/>
      <c r="L226" s="25">
        <v>1950</v>
      </c>
      <c r="M226" s="25">
        <v>2736</v>
      </c>
      <c r="N226" s="25">
        <v>3582</v>
      </c>
      <c r="O226" s="20">
        <v>44</v>
      </c>
      <c r="P226" s="1">
        <f>Tabla1[[#This Row],[Noche]]-Tabla1[[#This Row],[Mañana ]]</f>
        <v>1632</v>
      </c>
      <c r="Q226" s="58"/>
      <c r="R226" s="21">
        <f t="shared" si="6"/>
        <v>0</v>
      </c>
      <c r="S226" s="22">
        <f>Tabla1[[#This Row],[Merma Salas A &amp; B2]]*1000/Tabla1[[#This Row],[Peso gr.]]</f>
        <v>0</v>
      </c>
      <c r="T226" s="52"/>
      <c r="U226" s="24">
        <f>Tabla1[[#This Row],[Total piezas NOK]]/Tabla1[[#This Row],[Cant. Fabricada (uds)]]</f>
        <v>0</v>
      </c>
    </row>
    <row r="227" spans="1:22" x14ac:dyDescent="0.3">
      <c r="A227" s="43">
        <v>44522</v>
      </c>
      <c r="B227" s="20" t="s">
        <v>756</v>
      </c>
      <c r="C227" s="20" t="s">
        <v>644</v>
      </c>
      <c r="D227" s="13" t="str">
        <f>VLOOKUP(C:C,'LListat referències'!A:B,2,FALSE)</f>
        <v>Tarro 200ml Quadrat estret (Tapa Rodona)</v>
      </c>
      <c r="E227" s="18">
        <f>VLOOKUP(C:C,'LListat referències'!A:D,4,FALSE)</f>
        <v>0</v>
      </c>
      <c r="F227" s="49">
        <f>VLOOKUP(C:C,'LListat referències'!A:E,5,FALSE)</f>
        <v>220.84</v>
      </c>
      <c r="G227" s="49">
        <v>122.41</v>
      </c>
      <c r="H227" s="49">
        <v>1</v>
      </c>
      <c r="I227" s="75">
        <f>Tabla1[[#This Row],[Cant. Fabricada (uds)]]/Tabla1[[#This Row],[Cavidades]]*Tabla1[[#This Row],[Tiempo Ciclo]]/60/60</f>
        <v>15.505266666666667</v>
      </c>
      <c r="J227" s="1" t="s">
        <v>7</v>
      </c>
      <c r="K227" s="25"/>
      <c r="L227" s="25">
        <v>27271</v>
      </c>
      <c r="M227" s="25">
        <v>27493</v>
      </c>
      <c r="N227" s="25">
        <v>27727</v>
      </c>
      <c r="O227" s="20">
        <v>41</v>
      </c>
      <c r="P227" s="1">
        <f>Tabla1[[#This Row],[Noche]]-Tabla1[[#This Row],[Mañana ]]</f>
        <v>456</v>
      </c>
      <c r="Q227" s="58">
        <v>2</v>
      </c>
      <c r="R227" s="21">
        <f t="shared" si="6"/>
        <v>2</v>
      </c>
      <c r="S227" s="22">
        <f>Tabla1[[#This Row],[Merma Salas A &amp; B2]]*1000/Tabla1[[#This Row],[Peso gr.]]</f>
        <v>9.0563303749320774</v>
      </c>
      <c r="T227" s="52"/>
      <c r="U227" s="24">
        <f>Tabla1[[#This Row],[Total piezas NOK]]/Tabla1[[#This Row],[Cant. Fabricada (uds)]]</f>
        <v>1.986037362923701E-2</v>
      </c>
    </row>
    <row r="228" spans="1:22" x14ac:dyDescent="0.3">
      <c r="A228" s="43">
        <v>44522</v>
      </c>
      <c r="B228" s="20" t="s">
        <v>869</v>
      </c>
      <c r="C228" s="20" t="s">
        <v>542</v>
      </c>
      <c r="D228" s="13" t="str">
        <f>VLOOKUP(C:C,'LListat referències'!A:B,2,FALSE)</f>
        <v>Tapa 15ml per tarro Tintero</v>
      </c>
      <c r="E228" s="18" t="str">
        <f>VLOOKUP(C:C,'LListat referències'!A:D,4,FALSE)</f>
        <v>#23</v>
      </c>
      <c r="F228" s="49">
        <f>VLOOKUP(C:C,'LListat referències'!A:E,5,FALSE)</f>
        <v>10</v>
      </c>
      <c r="G228" s="49"/>
      <c r="H228" s="49"/>
      <c r="I228" s="75" t="s">
        <v>842</v>
      </c>
      <c r="J228" s="1" t="s">
        <v>8</v>
      </c>
      <c r="K228" s="25"/>
      <c r="L228" s="25"/>
      <c r="M228" s="25"/>
      <c r="N228" s="25"/>
      <c r="O228" s="20"/>
      <c r="P228" s="1">
        <f>Tabla1[[#This Row],[Noche]]-Tabla1[[#This Row],[Mañana ]]</f>
        <v>0</v>
      </c>
      <c r="Q228" s="58"/>
      <c r="R228" s="21">
        <f t="shared" si="6"/>
        <v>0</v>
      </c>
      <c r="S228" s="22">
        <f>Tabla1[[#This Row],[Merma Salas A &amp; B2]]*1000/Tabla1[[#This Row],[Peso gr.]]</f>
        <v>0</v>
      </c>
      <c r="T228" s="52">
        <v>5</v>
      </c>
      <c r="U228" s="24" t="s">
        <v>842</v>
      </c>
      <c r="V228" s="19" t="s">
        <v>870</v>
      </c>
    </row>
    <row r="229" spans="1:22" x14ac:dyDescent="0.3">
      <c r="A229" s="43">
        <v>44522</v>
      </c>
      <c r="B229" s="20" t="s">
        <v>871</v>
      </c>
      <c r="C229" s="20">
        <v>1879</v>
      </c>
      <c r="D229" s="13" t="str">
        <f>VLOOKUP(C:C,'LListat referències'!A:B,2,FALSE)</f>
        <v>Tapa tarro rectagular 50 ml</v>
      </c>
      <c r="E229" s="18" t="str">
        <f>VLOOKUP(C:C,'LListat referències'!A:D,4,FALSE)</f>
        <v>#23 (50 ml)</v>
      </c>
      <c r="F229" s="49">
        <f>VLOOKUP(C:C,'LListat referències'!A:E,5,FALSE)</f>
        <v>22.6</v>
      </c>
      <c r="G229" s="49">
        <v>73.69</v>
      </c>
      <c r="H229" s="49">
        <v>4</v>
      </c>
      <c r="I229" s="75">
        <f>Tabla1[[#This Row],[Cant. Fabricada (uds)]]/Tabla1[[#This Row],[Cavidades]]*Tabla1[[#This Row],[Tiempo Ciclo]]/60/60</f>
        <v>7.8705013888888882</v>
      </c>
      <c r="J229" s="1" t="s">
        <v>15</v>
      </c>
      <c r="K229" s="25"/>
      <c r="L229" s="25">
        <v>14440</v>
      </c>
      <c r="M229" s="25">
        <v>15184</v>
      </c>
      <c r="N229" s="25">
        <v>15978</v>
      </c>
      <c r="O229" s="20">
        <v>20</v>
      </c>
      <c r="P229" s="1">
        <f>Tabla1[[#This Row],[Noche]]-Tabla1[[#This Row],[Mañana ]]</f>
        <v>1538</v>
      </c>
      <c r="Q229" s="58"/>
      <c r="R229" s="21">
        <f t="shared" si="6"/>
        <v>0</v>
      </c>
      <c r="S229" s="22">
        <f>Tabla1[[#This Row],[Merma Salas A &amp; B2]]*1000/Tabla1[[#This Row],[Peso gr.]]</f>
        <v>0</v>
      </c>
      <c r="T229" s="52">
        <v>10</v>
      </c>
      <c r="U229" s="24">
        <f>Tabla1[[#This Row],[Total piezas NOK]]/Tabla1[[#This Row],[Cant. Fabricada (uds)]]</f>
        <v>0</v>
      </c>
      <c r="V229" s="19" t="s">
        <v>872</v>
      </c>
    </row>
    <row r="230" spans="1:22" x14ac:dyDescent="0.3">
      <c r="A230" s="43">
        <v>44522</v>
      </c>
      <c r="B230" s="20" t="s">
        <v>839</v>
      </c>
      <c r="C230" s="20" t="s">
        <v>10</v>
      </c>
      <c r="D230" s="13" t="str">
        <f>VLOOKUP(C:C,'LListat referències'!A:B,2,FALSE)</f>
        <v xml:space="preserve">Tapa 100 ml prima </v>
      </c>
      <c r="E230" s="18" t="str">
        <f>VLOOKUP(C:C,'LListat referències'!A:D,4,FALSE)</f>
        <v>#26(100 ml)</v>
      </c>
      <c r="F230" s="49">
        <f>VLOOKUP(C:C,'LListat referències'!A:E,5,FALSE)</f>
        <v>30.3</v>
      </c>
      <c r="G230" s="49"/>
      <c r="H230" s="49"/>
      <c r="I230" s="75" t="s">
        <v>842</v>
      </c>
      <c r="J230" s="1" t="s">
        <v>15</v>
      </c>
      <c r="K230" s="25"/>
      <c r="L230" s="25"/>
      <c r="M230" s="25"/>
      <c r="N230" s="25"/>
      <c r="O230" s="20"/>
      <c r="P230" s="1">
        <f>Tabla1[[#This Row],[Noche]]-Tabla1[[#This Row],[Mañana ]]</f>
        <v>0</v>
      </c>
      <c r="Q230" s="58"/>
      <c r="R230" s="21">
        <f t="shared" si="6"/>
        <v>0</v>
      </c>
      <c r="S230" s="22">
        <f>Tabla1[[#This Row],[Merma Salas A &amp; B2]]*1000/Tabla1[[#This Row],[Peso gr.]]</f>
        <v>0</v>
      </c>
      <c r="T230" s="52">
        <v>10</v>
      </c>
      <c r="U230" s="24" t="s">
        <v>842</v>
      </c>
    </row>
    <row r="231" spans="1:22" x14ac:dyDescent="0.3">
      <c r="A231" s="43">
        <v>44522</v>
      </c>
      <c r="B231" s="20" t="s">
        <v>867</v>
      </c>
      <c r="C231" s="20">
        <v>1904</v>
      </c>
      <c r="D231" s="13" t="str">
        <f>VLOOKUP(C:C,'LListat referències'!A:B,2,FALSE)</f>
        <v xml:space="preserve">Interior tapa 200ml </v>
      </c>
      <c r="E231" s="18" t="str">
        <f>VLOOKUP(C:C,'LListat referències'!A:D,4,FALSE)</f>
        <v/>
      </c>
      <c r="F231" s="49">
        <f>VLOOKUP(C:C,'LListat referències'!A:E,5,FALSE)</f>
        <v>10</v>
      </c>
      <c r="G231" s="49">
        <v>29</v>
      </c>
      <c r="H231" s="49">
        <v>4</v>
      </c>
      <c r="I231" s="75">
        <f>Tabla1[[#This Row],[Cant. Fabricada (uds)]]/Tabla1[[#This Row],[Cavidades]]*Tabla1[[#This Row],[Tiempo Ciclo]]/60/60</f>
        <v>60.738888888888894</v>
      </c>
      <c r="J231" s="1" t="s">
        <v>797</v>
      </c>
      <c r="K231" s="25"/>
      <c r="L231" s="25"/>
      <c r="M231" s="25"/>
      <c r="N231" s="25">
        <v>30160</v>
      </c>
      <c r="O231" s="20">
        <v>17</v>
      </c>
      <c r="P231" s="1">
        <f>Tabla1[[#This Row],[Noche]]-Tabla1[[#This Row],[Mañana ]]</f>
        <v>30160</v>
      </c>
      <c r="Q231" s="58"/>
      <c r="R231" s="21">
        <f t="shared" si="6"/>
        <v>0</v>
      </c>
      <c r="S231" s="22">
        <f>Tabla1[[#This Row],[Merma Salas A &amp; B2]]*1000/Tabla1[[#This Row],[Peso gr.]]</f>
        <v>0</v>
      </c>
      <c r="T231" s="52"/>
      <c r="U231" s="24">
        <f>Tabla1[[#This Row],[Total piezas NOK]]/Tabla1[[#This Row],[Cant. Fabricada (uds)]]</f>
        <v>0</v>
      </c>
    </row>
    <row r="232" spans="1:22" x14ac:dyDescent="0.3">
      <c r="A232" s="43">
        <v>44522</v>
      </c>
      <c r="B232" s="20" t="s">
        <v>881</v>
      </c>
      <c r="C232" s="20">
        <v>1905</v>
      </c>
      <c r="D232" s="13" t="str">
        <f>VLOOKUP(C:C,'LListat referències'!A:B,2,FALSE)</f>
        <v>Cubilet 50 ml 4uts</v>
      </c>
      <c r="E232" s="18" t="str">
        <f>VLOOKUP(C:C,'LListat referències'!A:D,4,FALSE)</f>
        <v/>
      </c>
      <c r="F232" s="49">
        <f>VLOOKUP(C:C,'LListat referències'!A:E,5,FALSE)</f>
        <v>3.55</v>
      </c>
      <c r="G232" s="49">
        <v>15.78</v>
      </c>
      <c r="H232" s="49">
        <v>4</v>
      </c>
      <c r="I232" s="75">
        <f>Tabla1[[#This Row],[Cant. Fabricada (uds)]]/Tabla1[[#This Row],[Cavidades]]*Tabla1[[#This Row],[Tiempo Ciclo]]/60/60</f>
        <v>8.7666666666666675</v>
      </c>
      <c r="J232" s="1" t="s">
        <v>797</v>
      </c>
      <c r="K232" s="25"/>
      <c r="L232" s="25">
        <v>19488</v>
      </c>
      <c r="M232" s="25">
        <v>26048</v>
      </c>
      <c r="N232" s="25">
        <v>27488</v>
      </c>
      <c r="O232" s="20">
        <v>19</v>
      </c>
      <c r="P232" s="1">
        <f>Tabla1[[#This Row],[Noche]]-Tabla1[[#This Row],[Mañana ]]</f>
        <v>8000</v>
      </c>
      <c r="Q232" s="58"/>
      <c r="R232" s="21">
        <f t="shared" si="6"/>
        <v>0</v>
      </c>
      <c r="S232" s="22">
        <f>Tabla1[[#This Row],[Merma Salas A &amp; B2]]*1000/Tabla1[[#This Row],[Peso gr.]]</f>
        <v>0</v>
      </c>
      <c r="T232" s="52"/>
      <c r="U232" s="24">
        <f>Tabla1[[#This Row],[Total piezas NOK]]/Tabla1[[#This Row],[Cant. Fabricada (uds)]]</f>
        <v>0</v>
      </c>
    </row>
    <row r="233" spans="1:22" x14ac:dyDescent="0.3">
      <c r="A233" s="43">
        <v>44522</v>
      </c>
      <c r="B233" s="20" t="s">
        <v>771</v>
      </c>
      <c r="C233" s="20" t="s">
        <v>615</v>
      </c>
      <c r="D233" s="13" t="str">
        <f>VLOOKUP(C:C,'LListat referències'!A:B,2,FALSE)</f>
        <v>Tarro 50ml Tinter Quadrat</v>
      </c>
      <c r="E233" s="18" t="str">
        <f>VLOOKUP(C:C,'LListat referències'!A:D,4,FALSE)</f>
        <v>T116</v>
      </c>
      <c r="F233" s="49">
        <f>VLOOKUP(C:C,'LListat referències'!A:E,5,FALSE)</f>
        <v>121.5</v>
      </c>
      <c r="G233" s="49">
        <v>126.1</v>
      </c>
      <c r="H233" s="49">
        <v>2</v>
      </c>
      <c r="I233" s="75">
        <f>Tabla1[[#This Row],[Cant. Fabricada (uds)]]/Tabla1[[#This Row],[Cavidades]]*Tabla1[[#This Row],[Tiempo Ciclo]]/60/60</f>
        <v>15.552333333333332</v>
      </c>
      <c r="J233" s="1" t="s">
        <v>8</v>
      </c>
      <c r="K233" s="25"/>
      <c r="L233" s="25">
        <v>14638</v>
      </c>
      <c r="M233" s="25">
        <v>15068</v>
      </c>
      <c r="N233" s="25">
        <v>15526</v>
      </c>
      <c r="O233" s="20">
        <v>30</v>
      </c>
      <c r="P233" s="1">
        <f>Tabla1[[#This Row],[Noche]]-Tabla1[[#This Row],[Mañana ]]</f>
        <v>888</v>
      </c>
      <c r="Q233" s="58"/>
      <c r="R233" s="21">
        <f t="shared" si="6"/>
        <v>0</v>
      </c>
      <c r="S233" s="22">
        <f>Tabla1[[#This Row],[Merma Salas A &amp; B2]]*1000/Tabla1[[#This Row],[Peso gr.]]</f>
        <v>0</v>
      </c>
      <c r="T233" s="52"/>
      <c r="U233" s="24">
        <f>Tabla1[[#This Row],[Total piezas NOK]]/Tabla1[[#This Row],[Cant. Fabricada (uds)]]</f>
        <v>0</v>
      </c>
    </row>
    <row r="234" spans="1:22" x14ac:dyDescent="0.3">
      <c r="A234" s="43">
        <v>44523</v>
      </c>
      <c r="B234" s="20" t="s">
        <v>771</v>
      </c>
      <c r="C234" s="20" t="s">
        <v>615</v>
      </c>
      <c r="D234" s="13" t="str">
        <f>VLOOKUP(C:C,'LListat referències'!A:B,2,FALSE)</f>
        <v>Tarro 50ml Tinter Quadrat</v>
      </c>
      <c r="E234" s="18" t="str">
        <f>VLOOKUP(C:C,'LListat referències'!A:D,4,FALSE)</f>
        <v>T116</v>
      </c>
      <c r="F234" s="49">
        <f>VLOOKUP(C:C,'LListat referències'!A:E,5,FALSE)</f>
        <v>121.5</v>
      </c>
      <c r="G234" s="49">
        <v>126.1</v>
      </c>
      <c r="H234" s="49">
        <v>2</v>
      </c>
      <c r="I234" s="75">
        <f>Tabla1[[#This Row],[Cant. Fabricada (uds)]]/Tabla1[[#This Row],[Cavidades]]*Tabla1[[#This Row],[Tiempo Ciclo]]/60/60</f>
        <v>15.72747222222222</v>
      </c>
      <c r="J234" s="1" t="s">
        <v>8</v>
      </c>
      <c r="K234" s="25"/>
      <c r="L234" s="25">
        <v>15992</v>
      </c>
      <c r="M234" s="25">
        <v>16424</v>
      </c>
      <c r="N234" s="25">
        <v>16890</v>
      </c>
      <c r="O234" s="20">
        <v>30</v>
      </c>
      <c r="P234" s="1">
        <f>Tabla1[[#This Row],[Noche]]-Tabla1[[#This Row],[Mañana ]]</f>
        <v>898</v>
      </c>
      <c r="Q234" s="58">
        <v>10</v>
      </c>
      <c r="R234" s="21">
        <f t="shared" si="6"/>
        <v>10</v>
      </c>
      <c r="S234" s="22">
        <f>Tabla1[[#This Row],[Merma Salas A &amp; B2]]*1000/Tabla1[[#This Row],[Peso gr.]]</f>
        <v>82.304526748971199</v>
      </c>
      <c r="T234" s="52"/>
      <c r="U234" s="24">
        <f>Tabla1[[#This Row],[Total piezas NOK]]/Tabla1[[#This Row],[Cant. Fabricada (uds)]]</f>
        <v>9.1653147827362141E-2</v>
      </c>
    </row>
    <row r="235" spans="1:22" x14ac:dyDescent="0.3">
      <c r="A235" s="43">
        <v>44523</v>
      </c>
      <c r="B235" s="20" t="s">
        <v>856</v>
      </c>
      <c r="C235" s="20">
        <v>1171</v>
      </c>
      <c r="D235" s="13" t="str">
        <f>VLOOKUP(C:C,'LListat referències'!A:B,2,FALSE)</f>
        <v>Obturador BOTELLA</v>
      </c>
      <c r="E235" s="18" t="str">
        <f>VLOOKUP(C:C,'LListat referències'!A:D,4,FALSE)</f>
        <v/>
      </c>
      <c r="F235" s="49">
        <v>0.1</v>
      </c>
      <c r="G235" s="49">
        <v>16.5</v>
      </c>
      <c r="H235" s="49">
        <v>4</v>
      </c>
      <c r="I235" s="75">
        <f>Tabla1[[#This Row],[Cant. Fabricada (uds)]]/Tabla1[[#This Row],[Cavidades]]*Tabla1[[#This Row],[Tiempo Ciclo]]/60/60</f>
        <v>4.1708333333333334</v>
      </c>
      <c r="J235" s="1" t="s">
        <v>868</v>
      </c>
      <c r="K235" s="25"/>
      <c r="L235" s="25">
        <v>8160</v>
      </c>
      <c r="M235" s="25">
        <v>11800</v>
      </c>
      <c r="N235" s="25">
        <v>11800</v>
      </c>
      <c r="O235" s="20">
        <v>48</v>
      </c>
      <c r="P235" s="1">
        <f>Tabla1[[#This Row],[Noche]]-Tabla1[[#This Row],[Mañana ]]</f>
        <v>3640</v>
      </c>
      <c r="Q235" s="58"/>
      <c r="R235" s="21">
        <f t="shared" si="6"/>
        <v>0</v>
      </c>
      <c r="S235" s="22">
        <f>Tabla1[[#This Row],[Merma Salas A &amp; B2]]*1000/Tabla1[[#This Row],[Peso gr.]]</f>
        <v>0</v>
      </c>
      <c r="T235" s="52"/>
      <c r="U235" s="24">
        <f>Tabla1[[#This Row],[Total piezas NOK]]/Tabla1[[#This Row],[Cant. Fabricada (uds)]]</f>
        <v>0</v>
      </c>
    </row>
    <row r="236" spans="1:22" x14ac:dyDescent="0.3">
      <c r="A236" s="43">
        <v>44523</v>
      </c>
      <c r="B236" s="20" t="s">
        <v>890</v>
      </c>
      <c r="C236" s="20">
        <v>1801</v>
      </c>
      <c r="D236" s="13" t="str">
        <f>VLOOKUP(C:C,'LListat referències'!A:B,2,FALSE)</f>
        <v>Int. tapa juvena 30 ml</v>
      </c>
      <c r="E236" s="18" t="str">
        <f>VLOOKUP(C:C,'LListat referències'!A:D,4,FALSE)</f>
        <v/>
      </c>
      <c r="F236" s="49">
        <f>VLOOKUP(C:C,'LListat referències'!A:E,5,FALSE)</f>
        <v>5.86</v>
      </c>
      <c r="G236" s="49">
        <v>18.100000000000001</v>
      </c>
      <c r="H236" s="49">
        <v>2</v>
      </c>
      <c r="I236" s="75">
        <f>Tabla1[[#This Row],[Cant. Fabricada (uds)]]/Tabla1[[#This Row],[Cavidades]]*Tabla1[[#This Row],[Tiempo Ciclo]]/60/60</f>
        <v>1.5234166666666666</v>
      </c>
      <c r="J236" s="1" t="s">
        <v>797</v>
      </c>
      <c r="K236" s="25"/>
      <c r="L236" s="25">
        <v>11371</v>
      </c>
      <c r="M236" s="25">
        <v>11977</v>
      </c>
      <c r="N236" s="25">
        <v>11977</v>
      </c>
      <c r="O236" s="20">
        <v>46</v>
      </c>
      <c r="P236" s="1">
        <f>Tabla1[[#This Row],[Noche]]-Tabla1[[#This Row],[Mañana ]]</f>
        <v>606</v>
      </c>
      <c r="Q236" s="58"/>
      <c r="R236" s="21">
        <f t="shared" si="6"/>
        <v>0</v>
      </c>
      <c r="S236" s="22">
        <f>Tabla1[[#This Row],[Merma Salas A &amp; B2]]*1000/Tabla1[[#This Row],[Peso gr.]]</f>
        <v>0</v>
      </c>
      <c r="T236" s="52"/>
      <c r="U236" s="24">
        <f>Tabla1[[#This Row],[Total piezas NOK]]/Tabla1[[#This Row],[Cant. Fabricada (uds)]]</f>
        <v>0</v>
      </c>
    </row>
    <row r="237" spans="1:22" x14ac:dyDescent="0.3">
      <c r="A237" s="43">
        <v>44523</v>
      </c>
      <c r="B237" s="20" t="s">
        <v>899</v>
      </c>
      <c r="C237" s="20" t="s">
        <v>478</v>
      </c>
      <c r="D237" s="13" t="str">
        <f>VLOOKUP(C:C,'LListat referències'!A:B,2,FALSE)</f>
        <v xml:space="preserve">Tarro 50 ml labiomar </v>
      </c>
      <c r="E237" s="18" t="str">
        <f>VLOOKUP(C:C,'LListat referències'!A:D,4,FALSE)</f>
        <v>T079</v>
      </c>
      <c r="F237" s="49">
        <f>VLOOKUP(C:C,'LListat referències'!A:E,5,FALSE)</f>
        <v>82.7</v>
      </c>
      <c r="G237" s="49">
        <v>103.83</v>
      </c>
      <c r="H237" s="49">
        <v>4</v>
      </c>
      <c r="I237" s="75">
        <f>Tabla1[[#This Row],[Cant. Fabricada (uds)]]/Tabla1[[#This Row],[Cavidades]]*Tabla1[[#This Row],[Tiempo Ciclo]]/60/60</f>
        <v>3.6773124999999998</v>
      </c>
      <c r="J237" s="1" t="s">
        <v>8</v>
      </c>
      <c r="K237" s="25"/>
      <c r="L237" s="25">
        <v>4272</v>
      </c>
      <c r="M237" s="25">
        <v>4617</v>
      </c>
      <c r="N237" s="25">
        <v>4782</v>
      </c>
      <c r="O237" s="20">
        <v>44</v>
      </c>
      <c r="P237" s="1">
        <f>Tabla1[[#This Row],[Noche]]-Tabla1[[#This Row],[Mañana ]]</f>
        <v>510</v>
      </c>
      <c r="Q237" s="58">
        <v>5</v>
      </c>
      <c r="R237" s="21">
        <f t="shared" si="6"/>
        <v>5</v>
      </c>
      <c r="S237" s="22">
        <f>Tabla1[[#This Row],[Merma Salas A &amp; B2]]*1000/Tabla1[[#This Row],[Peso gr.]]</f>
        <v>60.459492140266022</v>
      </c>
      <c r="T237" s="52"/>
      <c r="U237" s="24">
        <f>Tabla1[[#This Row],[Total piezas NOK]]/Tabla1[[#This Row],[Cant. Fabricada (uds)]]</f>
        <v>0.11854802380444318</v>
      </c>
      <c r="V237" s="19" t="s">
        <v>837</v>
      </c>
    </row>
    <row r="238" spans="1:22" x14ac:dyDescent="0.3">
      <c r="A238" s="43">
        <v>44523</v>
      </c>
      <c r="B238" s="20" t="s">
        <v>756</v>
      </c>
      <c r="C238" s="20" t="s">
        <v>644</v>
      </c>
      <c r="D238" s="13" t="str">
        <f>VLOOKUP(C:C,'LListat referències'!A:B,2,FALSE)</f>
        <v>Tarro 200ml Quadrat estret (Tapa Rodona)</v>
      </c>
      <c r="E238" s="18">
        <f>VLOOKUP(C:C,'LListat referències'!A:D,4,FALSE)</f>
        <v>0</v>
      </c>
      <c r="F238" s="49">
        <f>VLOOKUP(C:C,'LListat referències'!A:E,5,FALSE)</f>
        <v>220.84</v>
      </c>
      <c r="G238" s="49">
        <v>112.6</v>
      </c>
      <c r="H238" s="49">
        <v>1</v>
      </c>
      <c r="I238" s="75">
        <f>Tabla1[[#This Row],[Cant. Fabricada (uds)]]/Tabla1[[#This Row],[Cavidades]]*Tabla1[[#This Row],[Tiempo Ciclo]]/60/60</f>
        <v>14.106277777777779</v>
      </c>
      <c r="J238" s="1" t="s">
        <v>7</v>
      </c>
      <c r="K238" s="25"/>
      <c r="L238" s="25">
        <v>27969</v>
      </c>
      <c r="M238" s="25">
        <v>28188</v>
      </c>
      <c r="N238" s="25">
        <v>28420</v>
      </c>
      <c r="O238" s="20">
        <v>41</v>
      </c>
      <c r="P238" s="1">
        <f>Tabla1[[#This Row],[Noche]]-Tabla1[[#This Row],[Mañana ]]</f>
        <v>451</v>
      </c>
      <c r="Q238" s="58">
        <v>5</v>
      </c>
      <c r="R238" s="21">
        <f t="shared" si="6"/>
        <v>5</v>
      </c>
      <c r="S238" s="22">
        <f>Tabla1[[#This Row],[Merma Salas A &amp; B2]]*1000/Tabla1[[#This Row],[Peso gr.]]</f>
        <v>22.640825937330195</v>
      </c>
      <c r="T238" s="52"/>
      <c r="U238" s="24">
        <f>Tabla1[[#This Row],[Total piezas NOK]]/Tabla1[[#This Row],[Cant. Fabricada (uds)]]</f>
        <v>5.0201387887650099E-2</v>
      </c>
    </row>
    <row r="239" spans="1:22" x14ac:dyDescent="0.3">
      <c r="A239" s="43">
        <v>44523</v>
      </c>
      <c r="B239" s="20" t="s">
        <v>839</v>
      </c>
      <c r="C239" s="20" t="s">
        <v>10</v>
      </c>
      <c r="D239" s="13" t="str">
        <f>VLOOKUP(C:C,'LListat referències'!A:B,2,FALSE)</f>
        <v xml:space="preserve">Tapa 100 ml prima </v>
      </c>
      <c r="E239" s="18" t="str">
        <f>VLOOKUP(C:C,'LListat referències'!A:D,4,FALSE)</f>
        <v>#26(100 ml)</v>
      </c>
      <c r="F239" s="49">
        <f>VLOOKUP(C:C,'LListat referències'!A:E,5,FALSE)</f>
        <v>30.3</v>
      </c>
      <c r="G239" s="49">
        <v>66.400000000000006</v>
      </c>
      <c r="H239" s="49">
        <v>4</v>
      </c>
      <c r="I239" s="75">
        <f>Tabla1[[#This Row],[Cant. Fabricada (uds)]]/Tabla1[[#This Row],[Cavidades]]*Tabla1[[#This Row],[Tiempo Ciclo]]/60/60</f>
        <v>4.8647222222222224</v>
      </c>
      <c r="J239" s="1" t="s">
        <v>15</v>
      </c>
      <c r="K239" s="25"/>
      <c r="L239" s="25">
        <v>21202</v>
      </c>
      <c r="M239" s="25">
        <v>21997</v>
      </c>
      <c r="N239" s="25">
        <v>22257</v>
      </c>
      <c r="O239" s="20">
        <v>38</v>
      </c>
      <c r="P239" s="1">
        <f>Tabla1[[#This Row],[Noche]]-Tabla1[[#This Row],[Mañana ]]</f>
        <v>1055</v>
      </c>
      <c r="Q239" s="58"/>
      <c r="R239" s="21">
        <f t="shared" si="6"/>
        <v>0</v>
      </c>
      <c r="S239" s="22">
        <f>Tabla1[[#This Row],[Merma Salas A &amp; B2]]*1000/Tabla1[[#This Row],[Peso gr.]]</f>
        <v>0</v>
      </c>
      <c r="T239" s="52"/>
      <c r="U239" s="24">
        <f>Tabla1[[#This Row],[Total piezas NOK]]/Tabla1[[#This Row],[Cant. Fabricada (uds)]]</f>
        <v>0</v>
      </c>
    </row>
    <row r="240" spans="1:22" x14ac:dyDescent="0.3">
      <c r="A240" s="43">
        <v>44523</v>
      </c>
      <c r="B240" s="20" t="s">
        <v>869</v>
      </c>
      <c r="C240" s="20" t="s">
        <v>542</v>
      </c>
      <c r="D240" s="13" t="str">
        <f>VLOOKUP(C:C,'LListat referències'!A:B,2,FALSE)</f>
        <v>Tapa 15ml per tarro Tintero</v>
      </c>
      <c r="E240" s="18" t="str">
        <f>VLOOKUP(C:C,'LListat referències'!A:D,4,FALSE)</f>
        <v>#23</v>
      </c>
      <c r="F240" s="49">
        <f>VLOOKUP(C:C,'LListat referències'!A:E,5,FALSE)</f>
        <v>10</v>
      </c>
      <c r="G240" s="49">
        <v>41.96</v>
      </c>
      <c r="H240" s="49">
        <v>2</v>
      </c>
      <c r="I240" s="75">
        <f>Tabla1[[#This Row],[Cant. Fabricada (uds)]]/Tabla1[[#This Row],[Cavidades]]*Tabla1[[#This Row],[Tiempo Ciclo]]/60/60</f>
        <v>0</v>
      </c>
      <c r="J240" s="1" t="s">
        <v>8</v>
      </c>
      <c r="K240" s="25"/>
      <c r="L240" s="25"/>
      <c r="M240" s="25"/>
      <c r="N240" s="25"/>
      <c r="O240" s="20">
        <v>25</v>
      </c>
      <c r="P240" s="1">
        <f>Tabla1[[#This Row],[Noche]]-Tabla1[[#This Row],[Mañana ]]</f>
        <v>0</v>
      </c>
      <c r="Q240" s="58"/>
      <c r="R240" s="21">
        <f t="shared" si="6"/>
        <v>0</v>
      </c>
      <c r="S240" s="22">
        <f>Tabla1[[#This Row],[Merma Salas A &amp; B2]]*1000/Tabla1[[#This Row],[Peso gr.]]</f>
        <v>0</v>
      </c>
      <c r="T240" s="52">
        <v>4</v>
      </c>
      <c r="U240" s="24" t="s">
        <v>842</v>
      </c>
    </row>
    <row r="241" spans="1:22" x14ac:dyDescent="0.3">
      <c r="A241" s="43">
        <v>44523</v>
      </c>
      <c r="B241" s="20" t="s">
        <v>871</v>
      </c>
      <c r="C241" s="20">
        <v>1879</v>
      </c>
      <c r="D241" s="13" t="str">
        <f>VLOOKUP(C:C,'LListat referències'!A:B,2,FALSE)</f>
        <v>Tapa tarro rectagular 50 ml</v>
      </c>
      <c r="E241" s="18" t="str">
        <f>VLOOKUP(C:C,'LListat referències'!A:D,4,FALSE)</f>
        <v>#23 (50 ml)</v>
      </c>
      <c r="F241" s="49">
        <f>VLOOKUP(C:C,'LListat referències'!A:E,5,FALSE)</f>
        <v>22.6</v>
      </c>
      <c r="G241" s="49">
        <v>73.69</v>
      </c>
      <c r="H241" s="49">
        <v>4</v>
      </c>
      <c r="I241" s="75">
        <f>Tabla1[[#This Row],[Cant. Fabricada (uds)]]/Tabla1[[#This Row],[Cavidades]]*Tabla1[[#This Row],[Tiempo Ciclo]]/60/60</f>
        <v>7.8602666666666661</v>
      </c>
      <c r="J241" s="1" t="s">
        <v>8</v>
      </c>
      <c r="K241" s="25"/>
      <c r="L241" s="25">
        <v>16776</v>
      </c>
      <c r="M241" s="25">
        <v>17516</v>
      </c>
      <c r="N241" s="25">
        <v>18312</v>
      </c>
      <c r="O241" s="20">
        <v>20</v>
      </c>
      <c r="P241" s="1">
        <f>Tabla1[[#This Row],[Noche]]-Tabla1[[#This Row],[Mañana ]]</f>
        <v>1536</v>
      </c>
      <c r="Q241" s="58">
        <v>5</v>
      </c>
      <c r="R241" s="21">
        <f t="shared" si="6"/>
        <v>5</v>
      </c>
      <c r="S241" s="22">
        <f>Tabla1[[#This Row],[Merma Salas A &amp; B2]]*1000/Tabla1[[#This Row],[Peso gr.]]</f>
        <v>221.23893805309734</v>
      </c>
      <c r="T241" s="52"/>
      <c r="U241" s="24">
        <f>Tabla1[[#This Row],[Total piezas NOK]]/Tabla1[[#This Row],[Cant. Fabricada (uds)]]</f>
        <v>0.14403576696165191</v>
      </c>
    </row>
    <row r="242" spans="1:22" x14ac:dyDescent="0.3">
      <c r="A242" s="43">
        <v>44524</v>
      </c>
      <c r="B242" s="20" t="s">
        <v>884</v>
      </c>
      <c r="C242" s="20">
        <v>1861</v>
      </c>
      <c r="D242" s="13" t="str">
        <f>VLOOKUP(C:C,'LListat referències'!A:B,2,FALSE)</f>
        <v>Tarro 50ml Standard 8 unitats</v>
      </c>
      <c r="E242" s="18" t="str">
        <f>VLOOKUP(C:C,'LListat referències'!A:D,4,FALSE)</f>
        <v>T022</v>
      </c>
      <c r="F242" s="49">
        <f>VLOOKUP(C:C,'LListat referències'!A:E,5,FALSE)</f>
        <v>92</v>
      </c>
      <c r="G242" s="49">
        <v>148</v>
      </c>
      <c r="H242" s="49">
        <v>8</v>
      </c>
      <c r="I242" s="75">
        <f>Tabla1[[#This Row],[Cant. Fabricada (uds)]]/Tabla1[[#This Row],[Cavidades]]*Tabla1[[#This Row],[Tiempo Ciclo]]/60/60</f>
        <v>0</v>
      </c>
      <c r="J242" s="1" t="s">
        <v>885</v>
      </c>
      <c r="K242" s="25"/>
      <c r="L242" s="25"/>
      <c r="M242" s="25"/>
      <c r="N242" s="25"/>
      <c r="O242" s="20">
        <v>40</v>
      </c>
      <c r="P242" s="1">
        <f>Tabla1[[#This Row],[Noche]]-Tabla1[[#This Row],[Mañana ]]</f>
        <v>0</v>
      </c>
      <c r="Q242" s="58">
        <v>130</v>
      </c>
      <c r="R242" s="21">
        <f t="shared" si="6"/>
        <v>130</v>
      </c>
      <c r="S242" s="22">
        <f>Tabla1[[#This Row],[Merma Salas A &amp; B2]]*1000/Tabla1[[#This Row],[Peso gr.]]</f>
        <v>1413.0434782608695</v>
      </c>
      <c r="T242" s="52"/>
      <c r="U242" s="24" t="s">
        <v>889</v>
      </c>
    </row>
    <row r="243" spans="1:22" x14ac:dyDescent="0.3">
      <c r="A243" s="43">
        <v>44524</v>
      </c>
      <c r="B243" s="20" t="s">
        <v>856</v>
      </c>
      <c r="C243" s="20">
        <v>1171</v>
      </c>
      <c r="D243" s="13" t="str">
        <f>VLOOKUP(C:C,'LListat referències'!A:B,2,FALSE)</f>
        <v>Obturador BOTELLA</v>
      </c>
      <c r="E243" s="18" t="str">
        <f>VLOOKUP(C:C,'LListat referències'!A:D,4,FALSE)</f>
        <v/>
      </c>
      <c r="F243" s="49">
        <v>0.1</v>
      </c>
      <c r="G243" s="49">
        <v>16.5</v>
      </c>
      <c r="H243" s="49">
        <v>4</v>
      </c>
      <c r="I243" s="75">
        <f>Tabla1[[#This Row],[Cant. Fabricada (uds)]]/Tabla1[[#This Row],[Cavidades]]*Tabla1[[#This Row],[Tiempo Ciclo]]/60/60</f>
        <v>12.627083333333333</v>
      </c>
      <c r="J243" s="1" t="s">
        <v>887</v>
      </c>
      <c r="K243" s="25"/>
      <c r="L243" s="25">
        <v>3572</v>
      </c>
      <c r="M243" s="25">
        <v>7704</v>
      </c>
      <c r="N243" s="25">
        <v>14592</v>
      </c>
      <c r="O243" s="20">
        <v>48</v>
      </c>
      <c r="P243" s="1">
        <f>Tabla1[[#This Row],[Noche]]-Tabla1[[#This Row],[Mañana ]]</f>
        <v>11020</v>
      </c>
      <c r="Q243" s="58"/>
      <c r="R243" s="21">
        <f t="shared" si="6"/>
        <v>0</v>
      </c>
      <c r="S243" s="22">
        <f>Tabla1[[#This Row],[Merma Salas A &amp; B2]]*1000/Tabla1[[#This Row],[Peso gr.]]</f>
        <v>0</v>
      </c>
      <c r="T243" s="52"/>
      <c r="U243" s="24">
        <f>Tabla1[[#This Row],[Total piezas NOK]]/Tabla1[[#This Row],[Cant. Fabricada (uds)]]</f>
        <v>0</v>
      </c>
    </row>
    <row r="244" spans="1:22" x14ac:dyDescent="0.3">
      <c r="A244" s="43">
        <v>44524</v>
      </c>
      <c r="B244" s="20" t="s">
        <v>893</v>
      </c>
      <c r="C244" s="20">
        <v>1809</v>
      </c>
      <c r="D244" s="13" t="str">
        <f>VLOOKUP(C:C,'LListat referències'!A:B,2,FALSE)</f>
        <v>Tarro 200ml mónaco</v>
      </c>
      <c r="E244" s="18" t="str">
        <f>VLOOKUP(C:C,'LListat referències'!A:D,4,FALSE)</f>
        <v>T060</v>
      </c>
      <c r="F244" s="49">
        <f>VLOOKUP(C:C,'LListat referències'!A:E,5,FALSE)</f>
        <v>47.15</v>
      </c>
      <c r="G244" s="49">
        <v>82.5</v>
      </c>
      <c r="H244" s="49">
        <v>4</v>
      </c>
      <c r="I244" s="75">
        <f>Tabla1[[#This Row],[Cant. Fabricada (uds)]]/Tabla1[[#This Row],[Cavidades]]*Tabla1[[#This Row],[Tiempo Ciclo]]/60/60</f>
        <v>16.247916666666665</v>
      </c>
      <c r="J244" s="1" t="s">
        <v>7</v>
      </c>
      <c r="K244" s="25"/>
      <c r="L244" s="25">
        <v>1072</v>
      </c>
      <c r="M244" s="25">
        <v>2404</v>
      </c>
      <c r="N244" s="25">
        <v>3908</v>
      </c>
      <c r="O244" s="20">
        <v>39</v>
      </c>
      <c r="P244" s="1">
        <f>Tabla1[[#This Row],[Noche]]-Tabla1[[#This Row],[Mañana ]]</f>
        <v>2836</v>
      </c>
      <c r="Q244" s="58"/>
      <c r="R244" s="21">
        <f t="shared" si="6"/>
        <v>0</v>
      </c>
      <c r="S244" s="22">
        <f>Tabla1[[#This Row],[Merma Salas A &amp; B2]]*1000/Tabla1[[#This Row],[Peso gr.]]</f>
        <v>0</v>
      </c>
      <c r="T244" s="52">
        <v>100</v>
      </c>
      <c r="U244" s="24">
        <f>Tabla1[[#This Row],[Total piezas NOK]]/Tabla1[[#This Row],[Cant. Fabricada (uds)]]</f>
        <v>0</v>
      </c>
      <c r="V244" s="19" t="s">
        <v>894</v>
      </c>
    </row>
    <row r="245" spans="1:22" x14ac:dyDescent="0.3">
      <c r="A245" s="43">
        <v>44524</v>
      </c>
      <c r="B245" s="20" t="s">
        <v>858</v>
      </c>
      <c r="C245" s="20">
        <v>1799</v>
      </c>
      <c r="D245" s="13" t="str">
        <f>VLOOKUP(C:C,'LListat referències'!A:B,2,FALSE)</f>
        <v>Tarro tapa juvena 30ml</v>
      </c>
      <c r="E245" s="18" t="str">
        <f>VLOOKUP(C:C,'LListat referències'!A:D,4,FALSE)</f>
        <v>T071</v>
      </c>
      <c r="F245" s="49">
        <f>VLOOKUP(C:C,'LListat referències'!A:E,5,FALSE)</f>
        <v>43.5</v>
      </c>
      <c r="G245" s="49">
        <v>97</v>
      </c>
      <c r="H245" s="49">
        <v>4</v>
      </c>
      <c r="I245" s="75">
        <f>Tabla1[[#This Row],[Cant. Fabricada (uds)]]/Tabla1[[#This Row],[Cavidades]]*Tabla1[[#This Row],[Tiempo Ciclo]]/60/60</f>
        <v>0</v>
      </c>
      <c r="J245" s="1" t="s">
        <v>15</v>
      </c>
      <c r="K245" s="25"/>
      <c r="L245" s="25"/>
      <c r="M245" s="25"/>
      <c r="N245" s="25"/>
      <c r="O245" s="20">
        <v>45</v>
      </c>
      <c r="P245" s="1">
        <f>Tabla1[[#This Row],[Noche]]-Tabla1[[#This Row],[Mañana ]]</f>
        <v>0</v>
      </c>
      <c r="Q245" s="58"/>
      <c r="R245" s="21">
        <f t="shared" si="6"/>
        <v>0</v>
      </c>
      <c r="S245" s="22">
        <f>Tabla1[[#This Row],[Merma Salas A &amp; B2]]*1000/Tabla1[[#This Row],[Peso gr.]]</f>
        <v>0</v>
      </c>
      <c r="T245" s="52">
        <v>155</v>
      </c>
      <c r="U245" s="24" t="s">
        <v>842</v>
      </c>
      <c r="V245" s="19" t="s">
        <v>897</v>
      </c>
    </row>
    <row r="246" spans="1:22" x14ac:dyDescent="0.3">
      <c r="A246" s="43">
        <v>44524</v>
      </c>
      <c r="B246" s="20" t="s">
        <v>899</v>
      </c>
      <c r="C246" s="20" t="s">
        <v>478</v>
      </c>
      <c r="D246" s="13" t="str">
        <f>VLOOKUP(C:C,'LListat referències'!A:B,2,FALSE)</f>
        <v xml:space="preserve">Tarro 50 ml labiomar </v>
      </c>
      <c r="E246" s="18" t="str">
        <f>VLOOKUP(C:C,'LListat referències'!A:D,4,FALSE)</f>
        <v>T079</v>
      </c>
      <c r="F246" s="49">
        <f>VLOOKUP(C:C,'LListat referències'!A:E,5,FALSE)</f>
        <v>82.7</v>
      </c>
      <c r="G246" s="49">
        <v>103.83</v>
      </c>
      <c r="H246" s="49">
        <v>4</v>
      </c>
      <c r="I246" s="75">
        <f>Tabla1[[#This Row],[Cant. Fabricada (uds)]]/Tabla1[[#This Row],[Cavidades]]*Tabla1[[#This Row],[Tiempo Ciclo]]/60/60</f>
        <v>11.810662500000001</v>
      </c>
      <c r="J246" s="1" t="s">
        <v>8</v>
      </c>
      <c r="K246" s="25"/>
      <c r="L246" s="25">
        <v>5643</v>
      </c>
      <c r="M246" s="25">
        <v>6426</v>
      </c>
      <c r="N246" s="25">
        <v>7281</v>
      </c>
      <c r="O246" s="20">
        <v>44</v>
      </c>
      <c r="P246" s="1">
        <f>Tabla1[[#This Row],[Noche]]-Tabla1[[#This Row],[Mañana ]]</f>
        <v>1638</v>
      </c>
      <c r="Q246" s="58">
        <v>5</v>
      </c>
      <c r="R246" s="21">
        <f t="shared" si="6"/>
        <v>5</v>
      </c>
      <c r="S246" s="22">
        <f>Tabla1[[#This Row],[Merma Salas A &amp; B2]]*1000/Tabla1[[#This Row],[Peso gr.]]</f>
        <v>60.459492140266022</v>
      </c>
      <c r="T246" s="52"/>
      <c r="U246" s="24">
        <f>Tabla1[[#This Row],[Total piezas NOK]]/Tabla1[[#This Row],[Cant. Fabricada (uds)]]</f>
        <v>3.6910556862189269E-2</v>
      </c>
    </row>
    <row r="247" spans="1:22" x14ac:dyDescent="0.3">
      <c r="A247" s="43">
        <v>44524</v>
      </c>
      <c r="B247" s="20" t="s">
        <v>901</v>
      </c>
      <c r="C247" s="20" t="s">
        <v>644</v>
      </c>
      <c r="D247" s="13" t="str">
        <f>VLOOKUP(C:C,'LListat referències'!A:B,2,FALSE)</f>
        <v>Tarro 200ml Quadrat estret (Tapa Rodona)</v>
      </c>
      <c r="E247" s="18">
        <f>VLOOKUP(C:C,'LListat referències'!A:D,4,FALSE)</f>
        <v>0</v>
      </c>
      <c r="F247" s="49">
        <f>VLOOKUP(C:C,'LListat referències'!A:E,5,FALSE)</f>
        <v>220.84</v>
      </c>
      <c r="G247" s="49">
        <v>112.6</v>
      </c>
      <c r="H247" s="49">
        <v>1</v>
      </c>
      <c r="I247" s="75">
        <f>Tabla1[[#This Row],[Cant. Fabricada (uds)]]/Tabla1[[#This Row],[Cavidades]]*Tabla1[[#This Row],[Tiempo Ciclo]]/60/60</f>
        <v>14.168833333333332</v>
      </c>
      <c r="J247" s="1" t="s">
        <v>7</v>
      </c>
      <c r="K247" s="25"/>
      <c r="L247" s="25">
        <v>28661</v>
      </c>
      <c r="M247" s="25">
        <v>28885</v>
      </c>
      <c r="N247" s="25">
        <v>29114</v>
      </c>
      <c r="O247" s="20">
        <v>41</v>
      </c>
      <c r="P247" s="1">
        <f>Tabla1[[#This Row],[Noche]]-Tabla1[[#This Row],[Mañana ]]</f>
        <v>453</v>
      </c>
      <c r="Q247" s="58">
        <v>30</v>
      </c>
      <c r="R247" s="21">
        <f t="shared" si="6"/>
        <v>30</v>
      </c>
      <c r="S247" s="22">
        <f>Tabla1[[#This Row],[Merma Salas A &amp; B2]]*1000/Tabla1[[#This Row],[Peso gr.]]</f>
        <v>135.84495562398115</v>
      </c>
      <c r="T247" s="52"/>
      <c r="U247" s="24">
        <f>Tabla1[[#This Row],[Total piezas NOK]]/Tabla1[[#This Row],[Cant. Fabricada (uds)]]</f>
        <v>0.29987848923616151</v>
      </c>
    </row>
    <row r="248" spans="1:22" x14ac:dyDescent="0.3">
      <c r="A248" s="43">
        <v>44524</v>
      </c>
      <c r="B248" s="20" t="s">
        <v>909</v>
      </c>
      <c r="C248" s="20">
        <v>1936</v>
      </c>
      <c r="D248" s="13" t="str">
        <f>VLOOKUP(C:C,'LListat referències'!A:B,2,FALSE)</f>
        <v>Cubilet 200 ml.</v>
      </c>
      <c r="E248" s="18" t="str">
        <f>VLOOKUP(C:C,'LListat referències'!A:D,4,FALSE)</f>
        <v/>
      </c>
      <c r="F248" s="49">
        <f>VLOOKUP(C:C,'LListat referències'!A:E,5,FALSE)</f>
        <v>14.18</v>
      </c>
      <c r="G248" s="49">
        <v>26.58</v>
      </c>
      <c r="H248" s="49">
        <v>2</v>
      </c>
      <c r="I248" s="75">
        <f>Tabla1[[#This Row],[Cant. Fabricada (uds)]]/Tabla1[[#This Row],[Cavidades]]*Tabla1[[#This Row],[Tiempo Ciclo]]/60/60</f>
        <v>10.366199999999999</v>
      </c>
      <c r="J248" s="1" t="s">
        <v>797</v>
      </c>
      <c r="K248" s="25"/>
      <c r="L248" s="25">
        <v>2372</v>
      </c>
      <c r="M248" s="25">
        <v>5180</v>
      </c>
      <c r="N248" s="25">
        <v>5180</v>
      </c>
      <c r="O248" s="20">
        <v>17</v>
      </c>
      <c r="P248" s="1">
        <f>Tabla1[[#This Row],[Noche]]-Tabla1[[#This Row],[Mañana ]]</f>
        <v>2808</v>
      </c>
      <c r="Q248" s="58"/>
      <c r="R248" s="21">
        <f t="shared" si="6"/>
        <v>0</v>
      </c>
      <c r="S248" s="22">
        <f>Tabla1[[#This Row],[Merma Salas A &amp; B2]]*1000/Tabla1[[#This Row],[Peso gr.]]</f>
        <v>0</v>
      </c>
      <c r="T248" s="52"/>
      <c r="U248" s="24">
        <f>Tabla1[[#This Row],[Total piezas NOK]]/Tabla1[[#This Row],[Cant. Fabricada (uds)]]</f>
        <v>0</v>
      </c>
    </row>
    <row r="249" spans="1:22" x14ac:dyDescent="0.3">
      <c r="A249" s="43">
        <v>44524</v>
      </c>
      <c r="B249" s="20" t="s">
        <v>771</v>
      </c>
      <c r="C249" s="20" t="s">
        <v>615</v>
      </c>
      <c r="D249" s="13" t="str">
        <f>VLOOKUP(C:C,'LListat referències'!A:B,2,FALSE)</f>
        <v>Tarro 50ml Tinter Quadrat</v>
      </c>
      <c r="E249" s="18" t="str">
        <f>VLOOKUP(C:C,'LListat referències'!A:D,4,FALSE)</f>
        <v>T116</v>
      </c>
      <c r="F249" s="49">
        <f>VLOOKUP(C:C,'LListat referències'!A:E,5,FALSE)</f>
        <v>121.5</v>
      </c>
      <c r="G249" s="49">
        <v>126.1</v>
      </c>
      <c r="H249" s="49">
        <v>2</v>
      </c>
      <c r="I249" s="75">
        <f>Tabla1[[#This Row],[Cant. Fabricada (uds)]]/Tabla1[[#This Row],[Cavidades]]*Tabla1[[#This Row],[Tiempo Ciclo]]/60/60</f>
        <v>15.307138888888888</v>
      </c>
      <c r="J249" s="1" t="s">
        <v>8</v>
      </c>
      <c r="K249" s="25"/>
      <c r="L249" s="25">
        <v>17378</v>
      </c>
      <c r="M249" s="25">
        <v>17786</v>
      </c>
      <c r="N249" s="25">
        <v>18252</v>
      </c>
      <c r="O249" s="20">
        <v>30</v>
      </c>
      <c r="P249" s="1">
        <f>Tabla1[[#This Row],[Noche]]-Tabla1[[#This Row],[Mañana ]]</f>
        <v>874</v>
      </c>
      <c r="Q249" s="58">
        <v>15</v>
      </c>
      <c r="R249" s="21">
        <f t="shared" si="6"/>
        <v>15</v>
      </c>
      <c r="S249" s="22">
        <f>Tabla1[[#This Row],[Merma Salas A &amp; B2]]*1000/Tabla1[[#This Row],[Peso gr.]]</f>
        <v>123.45679012345678</v>
      </c>
      <c r="T249" s="52"/>
      <c r="U249" s="24">
        <f>Tabla1[[#This Row],[Total piezas NOK]]/Tabla1[[#This Row],[Cant. Fabricada (uds)]]</f>
        <v>0.14125490860807413</v>
      </c>
    </row>
    <row r="250" spans="1:22" x14ac:dyDescent="0.3">
      <c r="A250" s="43">
        <v>44524</v>
      </c>
      <c r="B250" s="20" t="s">
        <v>839</v>
      </c>
      <c r="C250" s="20" t="s">
        <v>10</v>
      </c>
      <c r="D250" s="13" t="str">
        <f>VLOOKUP(C:C,'LListat referències'!A:B,2,FALSE)</f>
        <v xml:space="preserve">Tapa 100 ml prima </v>
      </c>
      <c r="E250" s="18" t="str">
        <f>VLOOKUP(C:C,'LListat referències'!A:D,4,FALSE)</f>
        <v>#26(100 ml)</v>
      </c>
      <c r="F250" s="49">
        <f>VLOOKUP(C:C,'LListat referències'!A:E,5,FALSE)</f>
        <v>30.3</v>
      </c>
      <c r="G250" s="49">
        <v>66.400000000000006</v>
      </c>
      <c r="H250" s="49">
        <v>4</v>
      </c>
      <c r="I250" s="75">
        <f>Tabla1[[#This Row],[Cant. Fabricada (uds)]]/Tabla1[[#This Row],[Cavidades]]*Tabla1[[#This Row],[Tiempo Ciclo]]/60/60</f>
        <v>0</v>
      </c>
      <c r="J250" s="1" t="s">
        <v>15</v>
      </c>
      <c r="K250" s="25"/>
      <c r="L250" s="25"/>
      <c r="M250" s="25"/>
      <c r="N250" s="25"/>
      <c r="O250" s="20">
        <v>38</v>
      </c>
      <c r="P250" s="1">
        <f>Tabla1[[#This Row],[Noche]]-Tabla1[[#This Row],[Mañana ]]</f>
        <v>0</v>
      </c>
      <c r="Q250" s="58"/>
      <c r="R250" s="21">
        <f t="shared" si="6"/>
        <v>0</v>
      </c>
      <c r="S250" s="22">
        <f>Tabla1[[#This Row],[Merma Salas A &amp; B2]]*1000/Tabla1[[#This Row],[Peso gr.]]</f>
        <v>0</v>
      </c>
      <c r="T250" s="52">
        <v>30</v>
      </c>
      <c r="U250" s="24" t="s">
        <v>842</v>
      </c>
    </row>
    <row r="251" spans="1:22" x14ac:dyDescent="0.3">
      <c r="A251" s="43">
        <v>44524</v>
      </c>
      <c r="B251" s="20" t="s">
        <v>805</v>
      </c>
      <c r="C251" s="20">
        <v>1879</v>
      </c>
      <c r="D251" s="13" t="str">
        <f>VLOOKUP(C:C,'LListat referències'!A:B,2,FALSE)</f>
        <v>Tapa tarro rectagular 50 ml</v>
      </c>
      <c r="E251" s="18" t="str">
        <f>VLOOKUP(C:C,'LListat referències'!A:D,4,FALSE)</f>
        <v>#23 (50 ml)</v>
      </c>
      <c r="F251" s="49">
        <f>VLOOKUP(C:C,'LListat referències'!A:E,5,FALSE)</f>
        <v>22.6</v>
      </c>
      <c r="G251" s="49">
        <v>73.69</v>
      </c>
      <c r="H251" s="49">
        <v>4</v>
      </c>
      <c r="I251" s="75">
        <f>Tabla1[[#This Row],[Cant. Fabricada (uds)]]/Tabla1[[#This Row],[Cavidades]]*Tabla1[[#This Row],[Tiempo Ciclo]]/60/60</f>
        <v>7.8193277777777768</v>
      </c>
      <c r="J251" s="1" t="s">
        <v>8</v>
      </c>
      <c r="K251" s="25"/>
      <c r="L251" s="25">
        <v>19050</v>
      </c>
      <c r="M251" s="25">
        <v>19792</v>
      </c>
      <c r="N251" s="25">
        <v>20578</v>
      </c>
      <c r="O251" s="20">
        <v>20</v>
      </c>
      <c r="P251" s="1">
        <f>Tabla1[[#This Row],[Noche]]-Tabla1[[#This Row],[Mañana ]]</f>
        <v>1528</v>
      </c>
      <c r="Q251" s="58">
        <v>4</v>
      </c>
      <c r="R251" s="21">
        <f t="shared" si="6"/>
        <v>4</v>
      </c>
      <c r="S251" s="22">
        <f>Tabla1[[#This Row],[Merma Salas A &amp; B2]]*1000/Tabla1[[#This Row],[Peso gr.]]</f>
        <v>176.99115044247787</v>
      </c>
      <c r="T251" s="52"/>
      <c r="U251" s="24">
        <f>Tabla1[[#This Row],[Total piezas NOK]]/Tabla1[[#This Row],[Cant. Fabricada (uds)]]</f>
        <v>0.11583190473984153</v>
      </c>
    </row>
    <row r="252" spans="1:22" x14ac:dyDescent="0.3">
      <c r="A252" s="43">
        <v>44525</v>
      </c>
      <c r="B252" s="20" t="s">
        <v>884</v>
      </c>
      <c r="C252" s="20">
        <v>1861</v>
      </c>
      <c r="D252" s="13" t="str">
        <f>VLOOKUP(C:C,'LListat referències'!A:B,2,FALSE)</f>
        <v>Tarro 50ml Standard 8 unitats</v>
      </c>
      <c r="E252" s="18" t="str">
        <f>VLOOKUP(C:C,'LListat referències'!A:D,4,FALSE)</f>
        <v>T022</v>
      </c>
      <c r="F252" s="49">
        <f>VLOOKUP(C:C,'LListat referències'!A:E,5,FALSE)</f>
        <v>92</v>
      </c>
      <c r="G252" s="49">
        <v>148</v>
      </c>
      <c r="H252" s="49">
        <v>8</v>
      </c>
      <c r="I252" s="75">
        <f>Tabla1[[#This Row],[Cant. Fabricada (uds)]]/Tabla1[[#This Row],[Cavidades]]*Tabla1[[#This Row],[Tiempo Ciclo]]/60/60</f>
        <v>0</v>
      </c>
      <c r="J252" s="1" t="s">
        <v>885</v>
      </c>
      <c r="K252" s="25"/>
      <c r="L252" s="25"/>
      <c r="M252" s="25"/>
      <c r="N252" s="25"/>
      <c r="O252" s="20">
        <v>40</v>
      </c>
      <c r="P252" s="1">
        <f>Tabla1[[#This Row],[Noche]]-Tabla1[[#This Row],[Mañana ]]</f>
        <v>0</v>
      </c>
      <c r="Q252" s="58">
        <v>360</v>
      </c>
      <c r="R252" s="21">
        <f t="shared" si="6"/>
        <v>360</v>
      </c>
      <c r="S252" s="22">
        <f>Tabla1[[#This Row],[Merma Salas A &amp; B2]]*1000/Tabla1[[#This Row],[Peso gr.]]</f>
        <v>3913.0434782608695</v>
      </c>
      <c r="T252" s="52"/>
      <c r="U252" s="24" t="s">
        <v>889</v>
      </c>
    </row>
    <row r="253" spans="1:22" x14ac:dyDescent="0.3">
      <c r="A253" s="43">
        <v>44525</v>
      </c>
      <c r="B253" s="20" t="s">
        <v>856</v>
      </c>
      <c r="C253" s="20">
        <v>1171</v>
      </c>
      <c r="D253" s="13" t="str">
        <f>VLOOKUP(C:C,'LListat referències'!A:B,2,FALSE)</f>
        <v>Obturador BOTELLA</v>
      </c>
      <c r="E253" s="18" t="str">
        <f>VLOOKUP(C:C,'LListat referències'!A:D,4,FALSE)</f>
        <v/>
      </c>
      <c r="F253" s="49">
        <v>0.1</v>
      </c>
      <c r="G253" s="49">
        <v>16.5</v>
      </c>
      <c r="H253" s="49">
        <v>4</v>
      </c>
      <c r="I253" s="75">
        <f>Tabla1[[#This Row],[Cant. Fabricada (uds)]]/Tabla1[[#This Row],[Cavidades]]*Tabla1[[#This Row],[Tiempo Ciclo]]/60/60</f>
        <v>5.5229166666666663</v>
      </c>
      <c r="J253" s="1" t="s">
        <v>888</v>
      </c>
      <c r="K253" s="25"/>
      <c r="L253" s="25">
        <v>21680</v>
      </c>
      <c r="M253" s="25">
        <v>26500</v>
      </c>
      <c r="N253" s="25">
        <v>26500</v>
      </c>
      <c r="O253" s="20">
        <v>48</v>
      </c>
      <c r="P253" s="1">
        <f>Tabla1[[#This Row],[Noche]]-Tabla1[[#This Row],[Mañana ]]</f>
        <v>4820</v>
      </c>
      <c r="Q253" s="58"/>
      <c r="R253" s="21">
        <f t="shared" si="6"/>
        <v>0</v>
      </c>
      <c r="S253" s="22">
        <f>Tabla1[[#This Row],[Merma Salas A &amp; B2]]*1000/Tabla1[[#This Row],[Peso gr.]]</f>
        <v>0</v>
      </c>
      <c r="T253" s="52"/>
      <c r="U253" s="24">
        <f>Tabla1[[#This Row],[Total piezas NOK]]/Tabla1[[#This Row],[Cant. Fabricada (uds)]]</f>
        <v>0</v>
      </c>
    </row>
    <row r="254" spans="1:22" x14ac:dyDescent="0.3">
      <c r="A254" s="43">
        <v>44525</v>
      </c>
      <c r="B254" s="20" t="s">
        <v>893</v>
      </c>
      <c r="C254" s="20">
        <v>1809</v>
      </c>
      <c r="D254" s="13" t="str">
        <f>VLOOKUP(C:C,'LListat referències'!A:B,2,FALSE)</f>
        <v>Tarro 200ml mónaco</v>
      </c>
      <c r="E254" s="18" t="str">
        <f>VLOOKUP(C:C,'LListat referències'!A:D,4,FALSE)</f>
        <v>T060</v>
      </c>
      <c r="F254" s="49">
        <f>VLOOKUP(C:C,'LListat referències'!A:E,5,FALSE)</f>
        <v>47.15</v>
      </c>
      <c r="G254" s="49">
        <v>82.5</v>
      </c>
      <c r="H254" s="49">
        <v>4</v>
      </c>
      <c r="I254" s="75">
        <f>Tabla1[[#This Row],[Cant. Fabricada (uds)]]/Tabla1[[#This Row],[Cavidades]]*Tabla1[[#This Row],[Tiempo Ciclo]]/60/60</f>
        <v>16.408333333333335</v>
      </c>
      <c r="J254" s="1" t="s">
        <v>7</v>
      </c>
      <c r="K254" s="25"/>
      <c r="L254" s="25">
        <v>5192</v>
      </c>
      <c r="M254" s="25">
        <v>6564</v>
      </c>
      <c r="N254" s="25">
        <v>8056</v>
      </c>
      <c r="O254" s="20">
        <v>39</v>
      </c>
      <c r="P254" s="1">
        <f>Tabla1[[#This Row],[Noche]]-Tabla1[[#This Row],[Mañana ]]</f>
        <v>2864</v>
      </c>
      <c r="Q254" s="58"/>
      <c r="R254" s="21">
        <f t="shared" si="6"/>
        <v>0</v>
      </c>
      <c r="S254" s="22">
        <f>Tabla1[[#This Row],[Merma Salas A &amp; B2]]*1000/Tabla1[[#This Row],[Peso gr.]]</f>
        <v>0</v>
      </c>
      <c r="T254" s="52">
        <v>80</v>
      </c>
      <c r="U254" s="24">
        <f>Tabla1[[#This Row],[Total piezas NOK]]/Tabla1[[#This Row],[Cant. Fabricada (uds)]]</f>
        <v>0</v>
      </c>
      <c r="V254" s="19" t="s">
        <v>894</v>
      </c>
    </row>
    <row r="255" spans="1:22" x14ac:dyDescent="0.3">
      <c r="A255" s="43">
        <v>44525</v>
      </c>
      <c r="B255" s="20" t="s">
        <v>895</v>
      </c>
      <c r="C255" s="20" t="s">
        <v>604</v>
      </c>
      <c r="D255" s="13" t="str">
        <f>VLOOKUP(C:C,'LListat referències'!A:B,2,FALSE)</f>
        <v>Tapa gota gruixuda</v>
      </c>
      <c r="E255" s="18" t="str">
        <f>VLOOKUP(C:C,'LListat referències'!A:D,4,FALSE)</f>
        <v>#40</v>
      </c>
      <c r="F255" s="49">
        <f>VLOOKUP(C:C,'LListat referències'!A:E,5,FALSE)</f>
        <v>54.1</v>
      </c>
      <c r="G255" s="49">
        <v>114.02</v>
      </c>
      <c r="H255" s="49">
        <v>4</v>
      </c>
      <c r="I255" s="75">
        <f>Tabla1[[#This Row],[Cant. Fabricada (uds)]]/Tabla1[[#This Row],[Cavidades]]*Tabla1[[#This Row],[Tiempo Ciclo]]/60/60</f>
        <v>9.4541583333333339</v>
      </c>
      <c r="J255" s="1" t="s">
        <v>8</v>
      </c>
      <c r="K255" s="25"/>
      <c r="L255" s="25">
        <v>0</v>
      </c>
      <c r="M255" s="25">
        <v>310</v>
      </c>
      <c r="N255" s="25">
        <v>1194</v>
      </c>
      <c r="O255" s="20">
        <v>45</v>
      </c>
      <c r="P255" s="1">
        <f>Tabla1[[#This Row],[Noche]]-Tabla1[[#This Row],[Mañana ]]</f>
        <v>1194</v>
      </c>
      <c r="Q255" s="58"/>
      <c r="R255" s="21">
        <f t="shared" si="6"/>
        <v>0</v>
      </c>
      <c r="S255" s="22">
        <f>Tabla1[[#This Row],[Merma Salas A &amp; B2]]*1000/Tabla1[[#This Row],[Peso gr.]]</f>
        <v>0</v>
      </c>
      <c r="T255" s="52">
        <v>60</v>
      </c>
      <c r="U255" s="24">
        <f>Tabla1[[#This Row],[Total piezas NOK]]/Tabla1[[#This Row],[Cant. Fabricada (uds)]]</f>
        <v>0</v>
      </c>
      <c r="V255" s="19" t="s">
        <v>803</v>
      </c>
    </row>
    <row r="256" spans="1:22" x14ac:dyDescent="0.3">
      <c r="A256" s="43">
        <v>44525</v>
      </c>
      <c r="B256" s="20" t="s">
        <v>899</v>
      </c>
      <c r="C256" s="20" t="s">
        <v>478</v>
      </c>
      <c r="D256" s="13" t="str">
        <f>VLOOKUP(C:C,'LListat referències'!A:B,2,FALSE)</f>
        <v xml:space="preserve">Tarro 50 ml labiomar </v>
      </c>
      <c r="E256" s="18" t="str">
        <f>VLOOKUP(C:C,'LListat referències'!A:D,4,FALSE)</f>
        <v>T079</v>
      </c>
      <c r="F256" s="49">
        <f>VLOOKUP(C:C,'LListat referències'!A:E,5,FALSE)</f>
        <v>82.7</v>
      </c>
      <c r="G256" s="49">
        <v>103.83</v>
      </c>
      <c r="H256" s="49">
        <v>4</v>
      </c>
      <c r="I256" s="75">
        <f>Tabla1[[#This Row],[Cant. Fabricada (uds)]]/Tabla1[[#This Row],[Cavidades]]*Tabla1[[#This Row],[Tiempo Ciclo]]/60/60</f>
        <v>11.83229375</v>
      </c>
      <c r="J256" s="1" t="s">
        <v>8</v>
      </c>
      <c r="K256" s="25"/>
      <c r="L256" s="25">
        <v>8133</v>
      </c>
      <c r="M256" s="25">
        <v>8922</v>
      </c>
      <c r="N256" s="25">
        <v>9774</v>
      </c>
      <c r="O256" s="20">
        <v>44</v>
      </c>
      <c r="P256" s="1">
        <f>Tabla1[[#This Row],[Noche]]-Tabla1[[#This Row],[Mañana ]]</f>
        <v>1641</v>
      </c>
      <c r="Q256" s="58">
        <v>15</v>
      </c>
      <c r="R256" s="21">
        <f t="shared" si="6"/>
        <v>15</v>
      </c>
      <c r="S256" s="22">
        <f>Tabla1[[#This Row],[Merma Salas A &amp; B2]]*1000/Tabla1[[#This Row],[Peso gr.]]</f>
        <v>181.37847642079805</v>
      </c>
      <c r="T256" s="52"/>
      <c r="U256" s="24">
        <f>Tabla1[[#This Row],[Total piezas NOK]]/Tabla1[[#This Row],[Cant. Fabricada (uds)]]</f>
        <v>0.1105292360882377</v>
      </c>
    </row>
    <row r="257" spans="1:22" x14ac:dyDescent="0.3">
      <c r="A257" s="43">
        <v>44525</v>
      </c>
      <c r="B257" s="20" t="s">
        <v>839</v>
      </c>
      <c r="C257" s="20" t="s">
        <v>644</v>
      </c>
      <c r="D257" s="13" t="str">
        <f>VLOOKUP(C:C,'LListat referències'!A:B,2,FALSE)</f>
        <v>Tarro 200ml Quadrat estret (Tapa Rodona)</v>
      </c>
      <c r="E257" s="18">
        <f>VLOOKUP(C:C,'LListat referències'!A:D,4,FALSE)</f>
        <v>0</v>
      </c>
      <c r="F257" s="49">
        <f>VLOOKUP(C:C,'LListat referències'!A:E,5,FALSE)</f>
        <v>220.84</v>
      </c>
      <c r="G257" s="49">
        <v>112.6</v>
      </c>
      <c r="H257" s="49">
        <v>1</v>
      </c>
      <c r="I257" s="75">
        <f>Tabla1[[#This Row],[Cant. Fabricada (uds)]]/Tabla1[[#This Row],[Cavidades]]*Tabla1[[#This Row],[Tiempo Ciclo]]/60/60</f>
        <v>14.387777777777778</v>
      </c>
      <c r="J257" s="1" t="s">
        <v>7</v>
      </c>
      <c r="K257" s="25"/>
      <c r="L257" s="25">
        <v>29354</v>
      </c>
      <c r="M257" s="25">
        <v>29577</v>
      </c>
      <c r="N257" s="25">
        <v>29814</v>
      </c>
      <c r="O257" s="20">
        <v>41</v>
      </c>
      <c r="P257" s="1">
        <f>Tabla1[[#This Row],[Noche]]-Tabla1[[#This Row],[Mañana ]]</f>
        <v>460</v>
      </c>
      <c r="Q257" s="58">
        <v>25</v>
      </c>
      <c r="R257" s="21">
        <f t="shared" si="6"/>
        <v>25</v>
      </c>
      <c r="S257" s="22">
        <f>Tabla1[[#This Row],[Merma Salas A &amp; B2]]*1000/Tabla1[[#This Row],[Peso gr.]]</f>
        <v>113.20412968665097</v>
      </c>
      <c r="T257" s="52"/>
      <c r="U257" s="24">
        <f>Tabla1[[#This Row],[Total piezas NOK]]/Tabla1[[#This Row],[Cant. Fabricada (uds)]]</f>
        <v>0.24609593410141517</v>
      </c>
    </row>
    <row r="258" spans="1:22" x14ac:dyDescent="0.3">
      <c r="A258" s="43">
        <v>44525</v>
      </c>
      <c r="B258" s="20" t="s">
        <v>761</v>
      </c>
      <c r="C258" s="20" t="s">
        <v>657</v>
      </c>
      <c r="D258" s="13" t="str">
        <f>VLOOKUP(C:C,'LListat referències'!A:B,2,FALSE)</f>
        <v>Tapa simple 200ml baixa prima</v>
      </c>
      <c r="E258" s="18" t="str">
        <f>VLOOKUP(C:C,'LListat referències'!A:D,4,FALSE)</f>
        <v>#45</v>
      </c>
      <c r="F258" s="49">
        <f>VLOOKUP(C:C,'LListat referències'!A:E,5,FALSE)</f>
        <v>3.73</v>
      </c>
      <c r="G258" s="49">
        <v>37.909999999999997</v>
      </c>
      <c r="H258" s="49">
        <v>2</v>
      </c>
      <c r="I258" s="75">
        <f>Tabla1[[#This Row],[Cant. Fabricada (uds)]]/Tabla1[[#This Row],[Cavidades]]*Tabla1[[#This Row],[Tiempo Ciclo]]/60/60</f>
        <v>13.66866111111111</v>
      </c>
      <c r="J258" s="1" t="s">
        <v>764</v>
      </c>
      <c r="K258" s="25"/>
      <c r="L258" s="25">
        <v>274</v>
      </c>
      <c r="M258" s="25">
        <v>1586</v>
      </c>
      <c r="N258" s="25">
        <v>2870</v>
      </c>
      <c r="O258" s="20">
        <v>19</v>
      </c>
      <c r="P258" s="1">
        <f>Tabla1[[#This Row],[Noche]]-Tabla1[[#This Row],[Mañana ]]</f>
        <v>2596</v>
      </c>
      <c r="Q258" s="58"/>
      <c r="R258" s="21">
        <f t="shared" si="6"/>
        <v>0</v>
      </c>
      <c r="S258" s="22">
        <f>Tabla1[[#This Row],[Merma Salas A &amp; B2]]*1000/Tabla1[[#This Row],[Peso gr.]]</f>
        <v>0</v>
      </c>
      <c r="T258" s="52"/>
      <c r="U258" s="24">
        <f>Tabla1[[#This Row],[Total piezas NOK]]/Tabla1[[#This Row],[Cant. Fabricada (uds)]]</f>
        <v>0</v>
      </c>
    </row>
    <row r="259" spans="1:22" x14ac:dyDescent="0.3">
      <c r="A259" s="43">
        <v>44525</v>
      </c>
      <c r="B259" s="20" t="s">
        <v>771</v>
      </c>
      <c r="C259" s="20" t="s">
        <v>615</v>
      </c>
      <c r="D259" s="13" t="str">
        <f>VLOOKUP(C:C,'LListat referències'!A:B,2,FALSE)</f>
        <v>Tarro 50ml Tinter Quadrat</v>
      </c>
      <c r="E259" s="18" t="str">
        <f>VLOOKUP(C:C,'LListat referències'!A:D,4,FALSE)</f>
        <v>T116</v>
      </c>
      <c r="F259" s="49">
        <f>VLOOKUP(C:C,'LListat referències'!A:E,5,FALSE)</f>
        <v>121.5</v>
      </c>
      <c r="G259" s="49">
        <v>126.1</v>
      </c>
      <c r="H259" s="49">
        <v>2</v>
      </c>
      <c r="I259" s="75">
        <f>Tabla1[[#This Row],[Cant. Fabricada (uds)]]/Tabla1[[#This Row],[Cavidades]]*Tabla1[[#This Row],[Tiempo Ciclo]]/60/60</f>
        <v>15.657416666666666</v>
      </c>
      <c r="J259" s="1" t="s">
        <v>8</v>
      </c>
      <c r="K259" s="25"/>
      <c r="L259" s="25">
        <v>18716</v>
      </c>
      <c r="M259" s="25">
        <v>19144</v>
      </c>
      <c r="N259" s="25">
        <v>19610</v>
      </c>
      <c r="O259" s="20">
        <v>30</v>
      </c>
      <c r="P259" s="1">
        <f>Tabla1[[#This Row],[Noche]]-Tabla1[[#This Row],[Mañana ]]</f>
        <v>894</v>
      </c>
      <c r="Q259" s="58"/>
      <c r="R259" s="21">
        <f t="shared" si="6"/>
        <v>0</v>
      </c>
      <c r="S259" s="22">
        <f>Tabla1[[#This Row],[Merma Salas A &amp; B2]]*1000/Tabla1[[#This Row],[Peso gr.]]</f>
        <v>0</v>
      </c>
      <c r="T259" s="52">
        <v>30</v>
      </c>
      <c r="U259" s="24">
        <f>Tabla1[[#This Row],[Total piezas NOK]]/Tabla1[[#This Row],[Cant. Fabricada (uds)]]</f>
        <v>0</v>
      </c>
    </row>
    <row r="260" spans="1:22" x14ac:dyDescent="0.3">
      <c r="A260" s="43">
        <v>44525</v>
      </c>
      <c r="B260" s="20" t="s">
        <v>915</v>
      </c>
      <c r="C260" s="20">
        <v>1879</v>
      </c>
      <c r="D260" s="13" t="str">
        <f>VLOOKUP(C:C,'LListat referències'!A:B,2,FALSE)</f>
        <v>Tapa tarro rectagular 50 ml</v>
      </c>
      <c r="E260" s="18" t="str">
        <f>VLOOKUP(C:C,'LListat referències'!A:D,4,FALSE)</f>
        <v>#23 (50 ml)</v>
      </c>
      <c r="F260" s="49">
        <f>VLOOKUP(C:C,'LListat referències'!A:E,5,FALSE)</f>
        <v>22.6</v>
      </c>
      <c r="G260" s="49">
        <v>73.69</v>
      </c>
      <c r="H260" s="49">
        <v>4</v>
      </c>
      <c r="I260" s="75">
        <f>Tabla1[[#This Row],[Cant. Fabricada (uds)]]/Tabla1[[#This Row],[Cavidades]]*Tabla1[[#This Row],[Tiempo Ciclo]]/60/60</f>
        <v>11.043265277777778</v>
      </c>
      <c r="J260" s="1" t="s">
        <v>8</v>
      </c>
      <c r="K260" s="25"/>
      <c r="L260" s="25">
        <v>20578</v>
      </c>
      <c r="M260" s="25">
        <v>22018</v>
      </c>
      <c r="N260" s="25">
        <v>22736</v>
      </c>
      <c r="O260" s="20">
        <v>20</v>
      </c>
      <c r="P260" s="1">
        <f>Tabla1[[#This Row],[Noche]]-Tabla1[[#This Row],[Mañana ]]</f>
        <v>2158</v>
      </c>
      <c r="Q260" s="58">
        <v>5</v>
      </c>
      <c r="R260" s="21">
        <f t="shared" si="6"/>
        <v>5</v>
      </c>
      <c r="S260" s="22">
        <f>Tabla1[[#This Row],[Merma Salas A &amp; B2]]*1000/Tabla1[[#This Row],[Peso gr.]]</f>
        <v>221.23893805309734</v>
      </c>
      <c r="T260" s="52"/>
      <c r="U260" s="24">
        <f>Tabla1[[#This Row],[Total piezas NOK]]/Tabla1[[#This Row],[Cant. Fabricada (uds)]]</f>
        <v>0.10252036054360396</v>
      </c>
    </row>
    <row r="261" spans="1:22" x14ac:dyDescent="0.3">
      <c r="A261" s="43">
        <v>44525</v>
      </c>
      <c r="B261" s="20" t="s">
        <v>770</v>
      </c>
      <c r="C261" s="20">
        <v>1997</v>
      </c>
      <c r="D261" s="13">
        <f>VLOOKUP(C:C,'LListat referències'!A:B,2,FALSE)</f>
        <v>0</v>
      </c>
      <c r="E261" s="18">
        <f>VLOOKUP(C:C,'LListat referències'!A:D,4,FALSE)</f>
        <v>0</v>
      </c>
      <c r="F261" s="49">
        <f>VLOOKUP(C:C,'LListat referències'!A:E,5,FALSE)</f>
        <v>3.35</v>
      </c>
      <c r="G261" s="49">
        <v>28.23</v>
      </c>
      <c r="H261" s="49">
        <v>8</v>
      </c>
      <c r="I261" s="75">
        <f>Tabla1[[#This Row],[Cant. Fabricada (uds)]]/Tabla1[[#This Row],[Cavidades]]*Tabla1[[#This Row],[Tiempo Ciclo]]/60/60</f>
        <v>11.568418750000001</v>
      </c>
      <c r="J261" s="1" t="s">
        <v>763</v>
      </c>
      <c r="K261" s="25"/>
      <c r="L261" s="25">
        <v>0</v>
      </c>
      <c r="M261" s="25">
        <v>5202</v>
      </c>
      <c r="N261" s="25">
        <v>11802</v>
      </c>
      <c r="O261" s="20">
        <v>9</v>
      </c>
      <c r="P261" s="1">
        <f>Tabla1[[#This Row],[Noche]]-Tabla1[[#This Row],[Mañana ]]</f>
        <v>11802</v>
      </c>
      <c r="Q261" s="58"/>
      <c r="R261" s="21">
        <f t="shared" si="6"/>
        <v>0</v>
      </c>
      <c r="S261" s="22">
        <f>Tabla1[[#This Row],[Merma Salas A &amp; B2]]*1000/Tabla1[[#This Row],[Peso gr.]]</f>
        <v>0</v>
      </c>
      <c r="T261" s="52"/>
      <c r="U261" s="24">
        <f>Tabla1[[#This Row],[Total piezas NOK]]/Tabla1[[#This Row],[Cant. Fabricada (uds)]]</f>
        <v>0</v>
      </c>
    </row>
    <row r="262" spans="1:22" x14ac:dyDescent="0.3">
      <c r="A262" s="43">
        <v>44526</v>
      </c>
      <c r="B262" s="20" t="s">
        <v>884</v>
      </c>
      <c r="C262" s="20">
        <v>1861</v>
      </c>
      <c r="D262" s="13" t="str">
        <f>VLOOKUP(C:C,'LListat referències'!A:B,2,FALSE)</f>
        <v>Tarro 50ml Standard 8 unitats</v>
      </c>
      <c r="E262" s="18" t="str">
        <f>VLOOKUP(C:C,'LListat referències'!A:D,4,FALSE)</f>
        <v>T022</v>
      </c>
      <c r="F262" s="49">
        <f>VLOOKUP(C:C,'LListat referències'!A:E,5,FALSE)</f>
        <v>92</v>
      </c>
      <c r="G262" s="49">
        <v>148</v>
      </c>
      <c r="H262" s="49">
        <v>8</v>
      </c>
      <c r="I262" s="75">
        <f>Tabla1[[#This Row],[Cant. Fabricada (uds)]]/Tabla1[[#This Row],[Cavidades]]*Tabla1[[#This Row],[Tiempo Ciclo]]/60/60</f>
        <v>0</v>
      </c>
      <c r="J262" s="1" t="s">
        <v>885</v>
      </c>
      <c r="K262" s="25"/>
      <c r="L262" s="25"/>
      <c r="M262" s="25"/>
      <c r="N262" s="25"/>
      <c r="O262" s="20">
        <v>40</v>
      </c>
      <c r="P262" s="1">
        <f>Tabla1[[#This Row],[Noche]]-Tabla1[[#This Row],[Mañana ]]</f>
        <v>0</v>
      </c>
      <c r="Q262" s="58">
        <v>455</v>
      </c>
      <c r="R262" s="21">
        <f t="shared" si="6"/>
        <v>455</v>
      </c>
      <c r="S262" s="22">
        <f>Tabla1[[#This Row],[Merma Salas A &amp; B2]]*1000/Tabla1[[#This Row],[Peso gr.]]</f>
        <v>4945.652173913043</v>
      </c>
      <c r="T262" s="52"/>
      <c r="U262" s="24" t="s">
        <v>889</v>
      </c>
    </row>
    <row r="263" spans="1:22" x14ac:dyDescent="0.3">
      <c r="A263" s="43">
        <v>44526</v>
      </c>
      <c r="B263" s="20" t="s">
        <v>893</v>
      </c>
      <c r="C263" s="20">
        <v>1809</v>
      </c>
      <c r="D263" s="13" t="str">
        <f>VLOOKUP(C:C,'LListat referències'!A:B,2,FALSE)</f>
        <v>Tarro 200ml mónaco</v>
      </c>
      <c r="E263" s="18" t="str">
        <f>VLOOKUP(C:C,'LListat referències'!A:D,4,FALSE)</f>
        <v>T060</v>
      </c>
      <c r="F263" s="49">
        <f>VLOOKUP(C:C,'LListat referències'!A:E,5,FALSE)</f>
        <v>47.15</v>
      </c>
      <c r="G263" s="49">
        <v>82.5</v>
      </c>
      <c r="H263" s="49">
        <v>4</v>
      </c>
      <c r="I263" s="75">
        <f>Tabla1[[#This Row],[Cant. Fabricada (uds)]]/Tabla1[[#This Row],[Cavidades]]*Tabla1[[#This Row],[Tiempo Ciclo]]/60/60</f>
        <v>12.947916666666666</v>
      </c>
      <c r="J263" s="1" t="s">
        <v>7</v>
      </c>
      <c r="K263" s="25"/>
      <c r="L263" s="25">
        <v>9564</v>
      </c>
      <c r="M263" s="25">
        <v>10728</v>
      </c>
      <c r="N263" s="25">
        <v>11824</v>
      </c>
      <c r="O263" s="20">
        <v>39</v>
      </c>
      <c r="P263" s="1">
        <f>Tabla1[[#This Row],[Noche]]-Tabla1[[#This Row],[Mañana ]]</f>
        <v>2260</v>
      </c>
      <c r="Q263" s="58">
        <v>10</v>
      </c>
      <c r="R263" s="21">
        <f t="shared" si="6"/>
        <v>10</v>
      </c>
      <c r="S263" s="22">
        <f>Tabla1[[#This Row],[Merma Salas A &amp; B2]]*1000/Tabla1[[#This Row],[Peso gr.]]</f>
        <v>212.08907741251326</v>
      </c>
      <c r="T263" s="52"/>
      <c r="U263" s="24">
        <f>Tabla1[[#This Row],[Total piezas NOK]]/Tabla1[[#This Row],[Cant. Fabricada (uds)]]</f>
        <v>9.3844724518811179E-2</v>
      </c>
    </row>
    <row r="264" spans="1:22" x14ac:dyDescent="0.3">
      <c r="A264" s="43">
        <v>44526</v>
      </c>
      <c r="B264" s="20" t="s">
        <v>895</v>
      </c>
      <c r="C264" s="20" t="s">
        <v>604</v>
      </c>
      <c r="D264" s="13" t="str">
        <f>VLOOKUP(C:C,'LListat referències'!A:B,2,FALSE)</f>
        <v>Tapa gota gruixuda</v>
      </c>
      <c r="E264" s="18" t="str">
        <f>VLOOKUP(C:C,'LListat referències'!A:D,4,FALSE)</f>
        <v>#40</v>
      </c>
      <c r="F264" s="49">
        <f>VLOOKUP(C:C,'LListat referències'!A:E,5,FALSE)</f>
        <v>54.1</v>
      </c>
      <c r="G264" s="49">
        <v>114.02</v>
      </c>
      <c r="H264" s="49">
        <v>4</v>
      </c>
      <c r="I264" s="75">
        <f>Tabla1[[#This Row],[Cant. Fabricada (uds)]]/Tabla1[[#This Row],[Cavidades]]*Tabla1[[#This Row],[Tiempo Ciclo]]/60/60</f>
        <v>13.524038888888889</v>
      </c>
      <c r="J264" s="1" t="s">
        <v>8</v>
      </c>
      <c r="K264" s="25"/>
      <c r="L264" s="25">
        <v>2326</v>
      </c>
      <c r="M264" s="25">
        <v>3214</v>
      </c>
      <c r="N264" s="25">
        <v>4034</v>
      </c>
      <c r="O264" s="20">
        <v>45</v>
      </c>
      <c r="P264" s="1">
        <f>Tabla1[[#This Row],[Noche]]-Tabla1[[#This Row],[Mañana ]]</f>
        <v>1708</v>
      </c>
      <c r="Q264" s="58">
        <v>35</v>
      </c>
      <c r="R264" s="21">
        <f t="shared" si="6"/>
        <v>35</v>
      </c>
      <c r="S264" s="22">
        <f>Tabla1[[#This Row],[Merma Salas A &amp; B2]]*1000/Tabla1[[#This Row],[Peso gr.]]</f>
        <v>646.95009242144181</v>
      </c>
      <c r="T264" s="52"/>
      <c r="U264" s="24">
        <f>Tabla1[[#This Row],[Total piezas NOK]]/Tabla1[[#This Row],[Cant. Fabricada (uds)]]</f>
        <v>0.37877640071512986</v>
      </c>
    </row>
    <row r="265" spans="1:22" x14ac:dyDescent="0.3">
      <c r="A265" s="43">
        <v>44526</v>
      </c>
      <c r="B265" s="20" t="s">
        <v>899</v>
      </c>
      <c r="C265" s="20" t="s">
        <v>478</v>
      </c>
      <c r="D265" s="13" t="str">
        <f>VLOOKUP(C:C,'LListat referències'!A:B,2,FALSE)</f>
        <v xml:space="preserve">Tarro 50 ml labiomar </v>
      </c>
      <c r="E265" s="18" t="str">
        <f>VLOOKUP(C:C,'LListat referències'!A:D,4,FALSE)</f>
        <v>T079</v>
      </c>
      <c r="F265" s="49">
        <f>VLOOKUP(C:C,'LListat referències'!A:E,5,FALSE)</f>
        <v>82.7</v>
      </c>
      <c r="G265" s="49">
        <v>103.83</v>
      </c>
      <c r="H265" s="49">
        <v>4</v>
      </c>
      <c r="I265" s="75">
        <f>Tabla1[[#This Row],[Cant. Fabricada (uds)]]/Tabla1[[#This Row],[Cavidades]]*Tabla1[[#This Row],[Tiempo Ciclo]]/60/60</f>
        <v>10.036899999999999</v>
      </c>
      <c r="J265" s="1" t="s">
        <v>8</v>
      </c>
      <c r="K265" s="25"/>
      <c r="L265" s="25">
        <v>10695</v>
      </c>
      <c r="M265" s="25">
        <v>11409</v>
      </c>
      <c r="N265" s="25">
        <v>12087</v>
      </c>
      <c r="O265" s="20">
        <v>44</v>
      </c>
      <c r="P265" s="1">
        <f>Tabla1[[#This Row],[Noche]]-Tabla1[[#This Row],[Mañana ]]</f>
        <v>1392</v>
      </c>
      <c r="Q265" s="58">
        <v>5</v>
      </c>
      <c r="R265" s="21">
        <f t="shared" ref="R265:R328" si="7">SUM(Q265:Q265)</f>
        <v>5</v>
      </c>
      <c r="S265" s="22">
        <f>Tabla1[[#This Row],[Merma Salas A &amp; B2]]*1000/Tabla1[[#This Row],[Peso gr.]]</f>
        <v>60.459492140266022</v>
      </c>
      <c r="T265" s="52"/>
      <c r="U265" s="24">
        <f>Tabla1[[#This Row],[Total piezas NOK]]/Tabla1[[#This Row],[Cant. Fabricada (uds)]]</f>
        <v>4.3433543204214095E-2</v>
      </c>
    </row>
    <row r="266" spans="1:22" x14ac:dyDescent="0.3">
      <c r="A266" s="43">
        <v>44526</v>
      </c>
      <c r="B266" s="20" t="s">
        <v>867</v>
      </c>
      <c r="C266" s="20" t="s">
        <v>644</v>
      </c>
      <c r="D266" s="13" t="str">
        <f>VLOOKUP(C:C,'LListat referències'!A:B,2,FALSE)</f>
        <v>Tarro 200ml Quadrat estret (Tapa Rodona)</v>
      </c>
      <c r="E266" s="18">
        <f>VLOOKUP(C:C,'LListat referències'!A:D,4,FALSE)</f>
        <v>0</v>
      </c>
      <c r="F266" s="49">
        <f>VLOOKUP(C:C,'LListat referències'!A:E,5,FALSE)</f>
        <v>220.84</v>
      </c>
      <c r="G266" s="49">
        <v>112.6</v>
      </c>
      <c r="H266" s="49">
        <v>1</v>
      </c>
      <c r="I266" s="75">
        <f>Tabla1[[#This Row],[Cant. Fabricada (uds)]]/Tabla1[[#This Row],[Cavidades]]*Tabla1[[#This Row],[Tiempo Ciclo]]/60/60</f>
        <v>12.730055555555555</v>
      </c>
      <c r="J266" s="1" t="s">
        <v>7</v>
      </c>
      <c r="K266" s="25"/>
      <c r="L266" s="25">
        <v>30073</v>
      </c>
      <c r="M266" s="25">
        <v>30278</v>
      </c>
      <c r="N266" s="25">
        <v>30480</v>
      </c>
      <c r="O266" s="20">
        <v>41</v>
      </c>
      <c r="P266" s="1">
        <f>Tabla1[[#This Row],[Noche]]-Tabla1[[#This Row],[Mañana ]]</f>
        <v>407</v>
      </c>
      <c r="Q266" s="58">
        <v>5</v>
      </c>
      <c r="R266" s="21">
        <f t="shared" si="7"/>
        <v>5</v>
      </c>
      <c r="S266" s="22">
        <f>Tabla1[[#This Row],[Merma Salas A &amp; B2]]*1000/Tabla1[[#This Row],[Peso gr.]]</f>
        <v>22.640825937330195</v>
      </c>
      <c r="T266" s="52"/>
      <c r="U266" s="24">
        <f>Tabla1[[#This Row],[Total piezas NOK]]/Tabla1[[#This Row],[Cant. Fabricada (uds)]]</f>
        <v>5.5628564956585247E-2</v>
      </c>
    </row>
    <row r="267" spans="1:22" x14ac:dyDescent="0.3">
      <c r="A267" s="43">
        <v>44526</v>
      </c>
      <c r="B267" s="20" t="s">
        <v>771</v>
      </c>
      <c r="C267" s="20" t="s">
        <v>615</v>
      </c>
      <c r="D267" s="13" t="str">
        <f>VLOOKUP(C:C,'LListat referències'!A:B,2,FALSE)</f>
        <v>Tarro 50ml Tinter Quadrat</v>
      </c>
      <c r="E267" s="18" t="str">
        <f>VLOOKUP(C:C,'LListat referències'!A:D,4,FALSE)</f>
        <v>T116</v>
      </c>
      <c r="F267" s="49">
        <f>VLOOKUP(C:C,'LListat referències'!A:E,5,FALSE)</f>
        <v>121.5</v>
      </c>
      <c r="G267" s="49">
        <v>126.1</v>
      </c>
      <c r="H267" s="49">
        <v>2</v>
      </c>
      <c r="I267" s="75">
        <f>Tabla1[[#This Row],[Cant. Fabricada (uds)]]/Tabla1[[#This Row],[Cavidades]]*Tabla1[[#This Row],[Tiempo Ciclo]]/60/60</f>
        <v>13.240499999999999</v>
      </c>
      <c r="J267" s="1" t="s">
        <v>8</v>
      </c>
      <c r="K267" s="25"/>
      <c r="L267" s="25">
        <v>20092</v>
      </c>
      <c r="M267" s="25">
        <v>20470</v>
      </c>
      <c r="N267" s="25">
        <v>20848</v>
      </c>
      <c r="O267" s="20">
        <v>30</v>
      </c>
      <c r="P267" s="1">
        <f>Tabla1[[#This Row],[Noche]]-Tabla1[[#This Row],[Mañana ]]</f>
        <v>756</v>
      </c>
      <c r="Q267" s="58">
        <v>5</v>
      </c>
      <c r="R267" s="21">
        <f t="shared" si="7"/>
        <v>5</v>
      </c>
      <c r="S267" s="22">
        <f>Tabla1[[#This Row],[Merma Salas A &amp; B2]]*1000/Tabla1[[#This Row],[Peso gr.]]</f>
        <v>41.152263374485599</v>
      </c>
      <c r="T267" s="52"/>
      <c r="U267" s="24">
        <f>Tabla1[[#This Row],[Total piezas NOK]]/Tabla1[[#This Row],[Cant. Fabricada (uds)]]</f>
        <v>5.4434210812811641E-2</v>
      </c>
    </row>
    <row r="268" spans="1:22" x14ac:dyDescent="0.3">
      <c r="A268" s="43">
        <v>44526</v>
      </c>
      <c r="B268" s="20" t="s">
        <v>869</v>
      </c>
      <c r="C268" s="20" t="s">
        <v>542</v>
      </c>
      <c r="D268" s="13" t="str">
        <f>VLOOKUP(C:C,'LListat referències'!A:B,2,FALSE)</f>
        <v>Tapa 15ml per tarro Tintero</v>
      </c>
      <c r="E268" s="18" t="str">
        <f>VLOOKUP(C:C,'LListat referències'!A:D,4,FALSE)</f>
        <v>#23</v>
      </c>
      <c r="F268" s="49">
        <f>VLOOKUP(C:C,'LListat referències'!A:E,5,FALSE)</f>
        <v>10</v>
      </c>
      <c r="G268" s="49">
        <v>41.96</v>
      </c>
      <c r="H268" s="49">
        <v>2</v>
      </c>
      <c r="I268" s="75">
        <f>Tabla1[[#This Row],[Cant. Fabricada (uds)]]/Tabla1[[#This Row],[Cavidades]]*Tabla1[[#This Row],[Tiempo Ciclo]]/60/60</f>
        <v>13.240711111111109</v>
      </c>
      <c r="J268" s="1" t="s">
        <v>8</v>
      </c>
      <c r="K268" s="25"/>
      <c r="L268" s="25">
        <v>0</v>
      </c>
      <c r="M268" s="25">
        <v>938</v>
      </c>
      <c r="N268" s="25">
        <v>2272</v>
      </c>
      <c r="O268" s="20">
        <v>25</v>
      </c>
      <c r="P268" s="1">
        <f>Tabla1[[#This Row],[Noche]]-Tabla1[[#This Row],[Mañana ]]</f>
        <v>2272</v>
      </c>
      <c r="Q268" s="58"/>
      <c r="R268" s="21">
        <f t="shared" si="7"/>
        <v>0</v>
      </c>
      <c r="S268" s="22">
        <f>Tabla1[[#This Row],[Merma Salas A &amp; B2]]*1000/Tabla1[[#This Row],[Peso gr.]]</f>
        <v>0</v>
      </c>
      <c r="T268" s="52"/>
      <c r="U268" s="24">
        <f>Tabla1[[#This Row],[Total piezas NOK]]/Tabla1[[#This Row],[Cant. Fabricada (uds)]]</f>
        <v>0</v>
      </c>
    </row>
    <row r="269" spans="1:22" x14ac:dyDescent="0.3">
      <c r="A269" s="43">
        <v>44526</v>
      </c>
      <c r="B269" s="20" t="s">
        <v>916</v>
      </c>
      <c r="C269" s="20">
        <v>1879</v>
      </c>
      <c r="D269" s="13" t="str">
        <f>VLOOKUP(C:C,'LListat referències'!A:B,2,FALSE)</f>
        <v>Tapa tarro rectagular 50 ml</v>
      </c>
      <c r="E269" s="18" t="str">
        <f>VLOOKUP(C:C,'LListat referències'!A:D,4,FALSE)</f>
        <v>#23 (50 ml)</v>
      </c>
      <c r="F269" s="49">
        <f>VLOOKUP(C:C,'LListat referències'!A:E,5,FALSE)</f>
        <v>22.6</v>
      </c>
      <c r="G269" s="49">
        <v>73.69</v>
      </c>
      <c r="H269" s="49">
        <v>4</v>
      </c>
      <c r="I269" s="75">
        <f>Tabla1[[#This Row],[Cant. Fabricada (uds)]]/Tabla1[[#This Row],[Cavidades]]*Tabla1[[#This Row],[Tiempo Ciclo]]/60/60</f>
        <v>3.3672236111111107</v>
      </c>
      <c r="J269" s="1" t="s">
        <v>8</v>
      </c>
      <c r="K269" s="25"/>
      <c r="L269" s="25">
        <v>23500</v>
      </c>
      <c r="M269" s="25">
        <v>24158</v>
      </c>
      <c r="N269" s="25">
        <v>24158</v>
      </c>
      <c r="O269" s="20">
        <v>20</v>
      </c>
      <c r="P269" s="1">
        <f>Tabla1[[#This Row],[Noche]]-Tabla1[[#This Row],[Mañana ]]</f>
        <v>658</v>
      </c>
      <c r="Q269" s="58">
        <v>2.5</v>
      </c>
      <c r="R269" s="21">
        <f t="shared" si="7"/>
        <v>2.5</v>
      </c>
      <c r="S269" s="22">
        <f>Tabla1[[#This Row],[Merma Salas A &amp; B2]]*1000/Tabla1[[#This Row],[Peso gr.]]</f>
        <v>110.61946902654867</v>
      </c>
      <c r="T269" s="52"/>
      <c r="U269" s="24">
        <f>Tabla1[[#This Row],[Total piezas NOK]]/Tabla1[[#This Row],[Cant. Fabricada (uds)]]</f>
        <v>0.1681146945692229</v>
      </c>
    </row>
    <row r="270" spans="1:22" x14ac:dyDescent="0.3">
      <c r="A270" s="43">
        <v>44526</v>
      </c>
      <c r="B270" s="20" t="s">
        <v>770</v>
      </c>
      <c r="C270" s="20">
        <v>1997</v>
      </c>
      <c r="D270" s="13">
        <f>VLOOKUP(C:C,'LListat referències'!A:B,2,FALSE)</f>
        <v>0</v>
      </c>
      <c r="E270" s="18">
        <f>VLOOKUP(C:C,'LListat referències'!A:D,4,FALSE)</f>
        <v>0</v>
      </c>
      <c r="F270" s="49">
        <f>VLOOKUP(C:C,'LListat referències'!A:E,5,FALSE)</f>
        <v>3.35</v>
      </c>
      <c r="G270" s="49">
        <v>28.23</v>
      </c>
      <c r="H270" s="49">
        <v>8</v>
      </c>
      <c r="I270" s="75">
        <f>Tabla1[[#This Row],[Cant. Fabricada (uds)]]/Tabla1[[#This Row],[Cavidades]]*Tabla1[[#This Row],[Tiempo Ciclo]]/60/60</f>
        <v>3.7934062499999999</v>
      </c>
      <c r="J270" s="1" t="s">
        <v>763</v>
      </c>
      <c r="K270" s="25"/>
      <c r="L270" s="25">
        <v>18708</v>
      </c>
      <c r="M270" s="25">
        <v>22578</v>
      </c>
      <c r="N270" s="25">
        <v>22578</v>
      </c>
      <c r="O270" s="20">
        <v>9</v>
      </c>
      <c r="P270" s="1">
        <f>Tabla1[[#This Row],[Noche]]-Tabla1[[#This Row],[Mañana ]]</f>
        <v>3870</v>
      </c>
      <c r="Q270" s="58"/>
      <c r="R270" s="21">
        <f t="shared" si="7"/>
        <v>0</v>
      </c>
      <c r="S270" s="22">
        <f>Tabla1[[#This Row],[Merma Salas A &amp; B2]]*1000/Tabla1[[#This Row],[Peso gr.]]</f>
        <v>0</v>
      </c>
      <c r="T270" s="52"/>
      <c r="U270" s="24">
        <f>Tabla1[[#This Row],[Total piezas NOK]]/Tabla1[[#This Row],[Cant. Fabricada (uds)]]</f>
        <v>0</v>
      </c>
    </row>
    <row r="271" spans="1:22" x14ac:dyDescent="0.3">
      <c r="A271" s="43">
        <v>44529</v>
      </c>
      <c r="B271" s="20" t="s">
        <v>891</v>
      </c>
      <c r="C271" s="20">
        <v>1803</v>
      </c>
      <c r="D271" s="13" t="str">
        <f>VLOOKUP(C:C,'LListat referències'!A:B,2,FALSE)</f>
        <v>Contraobt. Tarro 30 ml Juvena</v>
      </c>
      <c r="E271" s="18" t="str">
        <f>VLOOKUP(C:C,'LListat referències'!A:D,4,FALSE)</f>
        <v/>
      </c>
      <c r="F271" s="49">
        <v>5.2</v>
      </c>
      <c r="G271" s="49">
        <v>16.88</v>
      </c>
      <c r="H271" s="49">
        <v>2</v>
      </c>
      <c r="I271" s="75">
        <f>Tabla1[[#This Row],[Cant. Fabricada (uds)]]/Tabla1[[#This Row],[Cavidades]]*Tabla1[[#This Row],[Tiempo Ciclo]]/60/60</f>
        <v>14.634022222222221</v>
      </c>
      <c r="J271" s="1" t="s">
        <v>797</v>
      </c>
      <c r="K271" s="25"/>
      <c r="L271" s="25">
        <v>1128</v>
      </c>
      <c r="M271" s="25">
        <v>3982</v>
      </c>
      <c r="N271" s="25">
        <v>7370</v>
      </c>
      <c r="O271" s="20">
        <v>46</v>
      </c>
      <c r="P271" s="1">
        <f>Tabla1[[#This Row],[Noche]]-Tabla1[[#This Row],[Mañana ]]</f>
        <v>6242</v>
      </c>
      <c r="Q271" s="58"/>
      <c r="R271" s="21">
        <f t="shared" si="7"/>
        <v>0</v>
      </c>
      <c r="S271" s="22">
        <f>Tabla1[[#This Row],[Merma Salas A &amp; B2]]*1000/Tabla1[[#This Row],[Peso gr.]]</f>
        <v>0</v>
      </c>
      <c r="T271" s="52"/>
      <c r="U271" s="24">
        <f>Tabla1[[#This Row],[Total piezas NOK]]/Tabla1[[#This Row],[Cant. Fabricada (uds)]]</f>
        <v>0</v>
      </c>
    </row>
    <row r="272" spans="1:22" x14ac:dyDescent="0.3">
      <c r="A272" s="43">
        <v>44529</v>
      </c>
      <c r="B272" s="20" t="s">
        <v>884</v>
      </c>
      <c r="C272" s="20">
        <v>1861</v>
      </c>
      <c r="D272" s="13" t="str">
        <f>VLOOKUP(C:C,'LListat referències'!A:B,2,FALSE)</f>
        <v>Tarro 50ml Standard 8 unitats</v>
      </c>
      <c r="E272" s="18" t="str">
        <f>VLOOKUP(C:C,'LListat referències'!A:D,4,FALSE)</f>
        <v>T022</v>
      </c>
      <c r="F272" s="49">
        <f>VLOOKUP(C:C,'LListat referències'!A:E,5,FALSE)</f>
        <v>92</v>
      </c>
      <c r="G272" s="49">
        <v>150</v>
      </c>
      <c r="H272" s="49">
        <v>7</v>
      </c>
      <c r="I272" s="75">
        <f>Tabla1[[#This Row],[Cant. Fabricada (uds)]]/Tabla1[[#This Row],[Cavidades]]*Tabla1[[#This Row],[Tiempo Ciclo]]/60/60</f>
        <v>0</v>
      </c>
      <c r="J272" s="1" t="s">
        <v>885</v>
      </c>
      <c r="K272" s="25"/>
      <c r="L272" s="25"/>
      <c r="M272" s="25"/>
      <c r="N272" s="25"/>
      <c r="O272" s="20">
        <v>40</v>
      </c>
      <c r="P272" s="1">
        <f>Tabla1[[#This Row],[Noche]]-Tabla1[[#This Row],[Mañana ]]</f>
        <v>0</v>
      </c>
      <c r="Q272" s="58"/>
      <c r="R272" s="21">
        <f t="shared" si="7"/>
        <v>0</v>
      </c>
      <c r="S272" s="22">
        <f>Tabla1[[#This Row],[Merma Salas A &amp; B2]]*1000/Tabla1[[#This Row],[Peso gr.]]</f>
        <v>0</v>
      </c>
      <c r="T272" s="52">
        <v>380</v>
      </c>
      <c r="U272" s="24" t="s">
        <v>842</v>
      </c>
      <c r="V272" s="19" t="s">
        <v>892</v>
      </c>
    </row>
    <row r="273" spans="1:22" x14ac:dyDescent="0.3">
      <c r="A273" s="43">
        <v>44529</v>
      </c>
      <c r="B273" s="20" t="s">
        <v>893</v>
      </c>
      <c r="C273" s="20">
        <v>1809</v>
      </c>
      <c r="D273" s="13" t="str">
        <f>VLOOKUP(C:C,'LListat referències'!A:B,2,FALSE)</f>
        <v>Tarro 200ml mónaco</v>
      </c>
      <c r="E273" s="18" t="str">
        <f>VLOOKUP(C:C,'LListat referències'!A:D,4,FALSE)</f>
        <v>T060</v>
      </c>
      <c r="F273" s="49">
        <f>VLOOKUP(C:C,'LListat referències'!A:E,5,FALSE)</f>
        <v>47.15</v>
      </c>
      <c r="G273" s="49">
        <v>82.5</v>
      </c>
      <c r="H273" s="49">
        <v>4</v>
      </c>
      <c r="I273" s="75">
        <f>Tabla1[[#This Row],[Cant. Fabricada (uds)]]/Tabla1[[#This Row],[Cavidades]]*Tabla1[[#This Row],[Tiempo Ciclo]]/60/60</f>
        <v>13.979166666666666</v>
      </c>
      <c r="J273" s="1" t="s">
        <v>7</v>
      </c>
      <c r="K273" s="25"/>
      <c r="L273" s="25">
        <v>12104</v>
      </c>
      <c r="M273" s="25">
        <v>13172</v>
      </c>
      <c r="N273" s="25">
        <v>14544</v>
      </c>
      <c r="O273" s="20">
        <v>39</v>
      </c>
      <c r="P273" s="1">
        <f>Tabla1[[#This Row],[Noche]]-Tabla1[[#This Row],[Mañana ]]</f>
        <v>2440</v>
      </c>
      <c r="Q273" s="58">
        <v>5</v>
      </c>
      <c r="R273" s="21">
        <f t="shared" si="7"/>
        <v>5</v>
      </c>
      <c r="S273" s="22">
        <f>Tabla1[[#This Row],[Merma Salas A &amp; B2]]*1000/Tabla1[[#This Row],[Peso gr.]]</f>
        <v>106.04453870625663</v>
      </c>
      <c r="T273" s="52"/>
      <c r="U273" s="24">
        <f>Tabla1[[#This Row],[Total piezas NOK]]/Tabla1[[#This Row],[Cant. Fabricada (uds)]]</f>
        <v>4.3460876518957636E-2</v>
      </c>
    </row>
    <row r="274" spans="1:22" x14ac:dyDescent="0.3">
      <c r="A274" s="43">
        <v>44529</v>
      </c>
      <c r="B274" s="20" t="s">
        <v>895</v>
      </c>
      <c r="C274" s="20" t="s">
        <v>604</v>
      </c>
      <c r="D274" s="13" t="str">
        <f>VLOOKUP(C:C,'LListat referències'!A:B,2,FALSE)</f>
        <v>Tapa gota gruixuda</v>
      </c>
      <c r="E274" s="18" t="str">
        <f>VLOOKUP(C:C,'LListat referències'!A:D,4,FALSE)</f>
        <v>#40</v>
      </c>
      <c r="F274" s="49">
        <f>VLOOKUP(C:C,'LListat referències'!A:E,5,FALSE)</f>
        <v>54.1</v>
      </c>
      <c r="G274" s="49">
        <v>114.02</v>
      </c>
      <c r="H274" s="49">
        <v>4</v>
      </c>
      <c r="I274" s="75">
        <f>Tabla1[[#This Row],[Cant. Fabricada (uds)]]/Tabla1[[#This Row],[Cavidades]]*Tabla1[[#This Row],[Tiempo Ciclo]]/60/60</f>
        <v>15.551061111111112</v>
      </c>
      <c r="J274" s="1" t="s">
        <v>8</v>
      </c>
      <c r="K274" s="25"/>
      <c r="L274" s="25">
        <v>4774</v>
      </c>
      <c r="M274" s="25">
        <v>5690</v>
      </c>
      <c r="N274" s="25">
        <v>6738</v>
      </c>
      <c r="O274" s="20">
        <v>45</v>
      </c>
      <c r="P274" s="1">
        <f>Tabla1[[#This Row],[Noche]]-Tabla1[[#This Row],[Mañana ]]</f>
        <v>1964</v>
      </c>
      <c r="Q274" s="58">
        <v>15</v>
      </c>
      <c r="R274" s="21">
        <f t="shared" si="7"/>
        <v>15</v>
      </c>
      <c r="S274" s="22">
        <f>Tabla1[[#This Row],[Merma Salas A &amp; B2]]*1000/Tabla1[[#This Row],[Peso gr.]]</f>
        <v>277.26432532347502</v>
      </c>
      <c r="T274" s="52"/>
      <c r="U274" s="24">
        <f>Tabla1[[#This Row],[Total piezas NOK]]/Tabla1[[#This Row],[Cant. Fabricada (uds)]]</f>
        <v>0.14117328173293026</v>
      </c>
    </row>
    <row r="275" spans="1:22" x14ac:dyDescent="0.3">
      <c r="A275" s="43">
        <v>44529</v>
      </c>
      <c r="B275" s="20" t="s">
        <v>899</v>
      </c>
      <c r="C275" s="20" t="s">
        <v>478</v>
      </c>
      <c r="D275" s="13" t="str">
        <f>VLOOKUP(C:C,'LListat referències'!A:B,2,FALSE)</f>
        <v xml:space="preserve">Tarro 50 ml labiomar </v>
      </c>
      <c r="E275" s="18" t="str">
        <f>VLOOKUP(C:C,'LListat referències'!A:D,4,FALSE)</f>
        <v>T079</v>
      </c>
      <c r="F275" s="49">
        <f>VLOOKUP(C:C,'LListat referències'!A:E,5,FALSE)</f>
        <v>82.7</v>
      </c>
      <c r="G275" s="49">
        <v>103.83</v>
      </c>
      <c r="H275" s="49">
        <v>4</v>
      </c>
      <c r="I275" s="75">
        <f>Tabla1[[#This Row],[Cant. Fabricada (uds)]]/Tabla1[[#This Row],[Cavidades]]*Tabla1[[#This Row],[Tiempo Ciclo]]/60/60</f>
        <v>11.464562500000001</v>
      </c>
      <c r="J275" s="1" t="s">
        <v>8</v>
      </c>
      <c r="K275" s="25"/>
      <c r="L275" s="25">
        <v>12720</v>
      </c>
      <c r="M275" s="25">
        <v>13446</v>
      </c>
      <c r="N275" s="25">
        <v>14310</v>
      </c>
      <c r="O275" s="20">
        <v>44</v>
      </c>
      <c r="P275" s="1">
        <f>Tabla1[[#This Row],[Noche]]-Tabla1[[#This Row],[Mañana ]]</f>
        <v>1590</v>
      </c>
      <c r="Q275" s="58">
        <v>20</v>
      </c>
      <c r="R275" s="21">
        <f t="shared" si="7"/>
        <v>20</v>
      </c>
      <c r="S275" s="22">
        <f>Tabla1[[#This Row],[Merma Salas A &amp; B2]]*1000/Tabla1[[#This Row],[Peso gr.]]</f>
        <v>241.83796856106409</v>
      </c>
      <c r="T275" s="52"/>
      <c r="U275" s="24">
        <f>Tabla1[[#This Row],[Total piezas NOK]]/Tabla1[[#This Row],[Cant. Fabricada (uds)]]</f>
        <v>0.15209935129626673</v>
      </c>
    </row>
    <row r="276" spans="1:22" x14ac:dyDescent="0.3">
      <c r="A276" s="43">
        <v>44529</v>
      </c>
      <c r="B276" s="20" t="s">
        <v>808</v>
      </c>
      <c r="C276" s="20" t="s">
        <v>644</v>
      </c>
      <c r="D276" s="13" t="str">
        <f>VLOOKUP(C:C,'LListat referències'!A:B,2,FALSE)</f>
        <v>Tarro 200ml Quadrat estret (Tapa Rodona)</v>
      </c>
      <c r="E276" s="18">
        <f>VLOOKUP(C:C,'LListat referències'!A:D,4,FALSE)</f>
        <v>0</v>
      </c>
      <c r="F276" s="49">
        <f>VLOOKUP(C:C,'LListat referències'!A:E,5,FALSE)</f>
        <v>220.84</v>
      </c>
      <c r="G276" s="49">
        <v>112.6</v>
      </c>
      <c r="H276" s="49">
        <v>1</v>
      </c>
      <c r="I276" s="75">
        <f>Tabla1[[#This Row],[Cant. Fabricada (uds)]]/Tabla1[[#This Row],[Cavidades]]*Tabla1[[#This Row],[Tiempo Ciclo]]/60/60</f>
        <v>14.04372222222222</v>
      </c>
      <c r="J276" s="1" t="s">
        <v>7</v>
      </c>
      <c r="K276" s="25"/>
      <c r="L276" s="25">
        <v>30667</v>
      </c>
      <c r="M276" s="25">
        <v>30877</v>
      </c>
      <c r="N276" s="25">
        <v>31116</v>
      </c>
      <c r="O276" s="20">
        <v>41</v>
      </c>
      <c r="P276" s="1">
        <f>Tabla1[[#This Row],[Noche]]-Tabla1[[#This Row],[Mañana ]]</f>
        <v>449</v>
      </c>
      <c r="Q276" s="58">
        <v>2</v>
      </c>
      <c r="R276" s="21">
        <f t="shared" si="7"/>
        <v>2</v>
      </c>
      <c r="S276" s="22">
        <f>Tabla1[[#This Row],[Merma Salas A &amp; B2]]*1000/Tabla1[[#This Row],[Peso gr.]]</f>
        <v>9.0563303749320774</v>
      </c>
      <c r="T276" s="52"/>
      <c r="U276" s="24">
        <f>Tabla1[[#This Row],[Total piezas NOK]]/Tabla1[[#This Row],[Cant. Fabricada (uds)]]</f>
        <v>2.0170000835038036E-2</v>
      </c>
    </row>
    <row r="277" spans="1:22" x14ac:dyDescent="0.3">
      <c r="A277" s="43">
        <v>44529</v>
      </c>
      <c r="B277" s="20" t="s">
        <v>771</v>
      </c>
      <c r="C277" s="20" t="s">
        <v>615</v>
      </c>
      <c r="D277" s="13" t="str">
        <f>VLOOKUP(C:C,'LListat referències'!A:B,2,FALSE)</f>
        <v>Tarro 50ml Tinter Quadrat</v>
      </c>
      <c r="E277" s="18" t="str">
        <f>VLOOKUP(C:C,'LListat referències'!A:D,4,FALSE)</f>
        <v>T116</v>
      </c>
      <c r="F277" s="49">
        <f>VLOOKUP(C:C,'LListat referències'!A:E,5,FALSE)</f>
        <v>121.5</v>
      </c>
      <c r="G277" s="49">
        <v>126.1</v>
      </c>
      <c r="H277" s="49">
        <v>2</v>
      </c>
      <c r="I277" s="75">
        <f>Tabla1[[#This Row],[Cant. Fabricada (uds)]]/Tabla1[[#This Row],[Cavidades]]*Tabla1[[#This Row],[Tiempo Ciclo]]/60/60</f>
        <v>15.237083333333334</v>
      </c>
      <c r="J277" s="1" t="s">
        <v>8</v>
      </c>
      <c r="K277" s="25"/>
      <c r="L277" s="25">
        <v>20848</v>
      </c>
      <c r="M277" s="25">
        <v>21252</v>
      </c>
      <c r="N277" s="25">
        <v>21718</v>
      </c>
      <c r="O277" s="20">
        <v>30</v>
      </c>
      <c r="P277" s="1">
        <f>Tabla1[[#This Row],[Noche]]-Tabla1[[#This Row],[Mañana ]]</f>
        <v>870</v>
      </c>
      <c r="Q277" s="58"/>
      <c r="R277" s="21">
        <f t="shared" si="7"/>
        <v>0</v>
      </c>
      <c r="S277" s="22">
        <f>Tabla1[[#This Row],[Merma Salas A &amp; B2]]*1000/Tabla1[[#This Row],[Peso gr.]]</f>
        <v>0</v>
      </c>
      <c r="T277" s="52">
        <v>50</v>
      </c>
      <c r="U277" s="24">
        <f>Tabla1[[#This Row],[Total piezas NOK]]/Tabla1[[#This Row],[Cant. Fabricada (uds)]]</f>
        <v>0</v>
      </c>
    </row>
    <row r="278" spans="1:22" x14ac:dyDescent="0.3">
      <c r="A278" s="43">
        <v>44529</v>
      </c>
      <c r="B278" s="20" t="s">
        <v>869</v>
      </c>
      <c r="C278" s="20" t="s">
        <v>542</v>
      </c>
      <c r="D278" s="13" t="str">
        <f>VLOOKUP(C:C,'LListat referències'!A:B,2,FALSE)</f>
        <v>Tapa 15ml per tarro Tintero</v>
      </c>
      <c r="E278" s="18" t="str">
        <f>VLOOKUP(C:C,'LListat referències'!A:D,4,FALSE)</f>
        <v>#23</v>
      </c>
      <c r="F278" s="49">
        <f>VLOOKUP(C:C,'LListat referències'!A:E,5,FALSE)</f>
        <v>10</v>
      </c>
      <c r="G278" s="49">
        <v>41.96</v>
      </c>
      <c r="H278" s="49">
        <v>2</v>
      </c>
      <c r="I278" s="75">
        <f>Tabla1[[#This Row],[Cant. Fabricada (uds)]]/Tabla1[[#This Row],[Cavidades]]*Tabla1[[#This Row],[Tiempo Ciclo]]/60/60</f>
        <v>15.647583333333333</v>
      </c>
      <c r="J278" s="1" t="s">
        <v>8</v>
      </c>
      <c r="K278" s="25"/>
      <c r="L278" s="25">
        <v>3304</v>
      </c>
      <c r="M278" s="25">
        <v>4574</v>
      </c>
      <c r="N278" s="25">
        <v>5989</v>
      </c>
      <c r="O278" s="20">
        <v>25</v>
      </c>
      <c r="P278" s="1">
        <f>Tabla1[[#This Row],[Noche]]-Tabla1[[#This Row],[Mañana ]]</f>
        <v>2685</v>
      </c>
      <c r="Q278" s="58"/>
      <c r="R278" s="21">
        <f t="shared" si="7"/>
        <v>0</v>
      </c>
      <c r="S278" s="22">
        <f>Tabla1[[#This Row],[Merma Salas A &amp; B2]]*1000/Tabla1[[#This Row],[Peso gr.]]</f>
        <v>0</v>
      </c>
      <c r="T278" s="52"/>
      <c r="U278" s="24">
        <f>Tabla1[[#This Row],[Total piezas NOK]]/Tabla1[[#This Row],[Cant. Fabricada (uds)]]</f>
        <v>0</v>
      </c>
    </row>
    <row r="279" spans="1:22" x14ac:dyDescent="0.3">
      <c r="A279" s="43">
        <v>44529</v>
      </c>
      <c r="B279" s="20" t="s">
        <v>917</v>
      </c>
      <c r="C279" s="20">
        <v>1879</v>
      </c>
      <c r="D279" s="13" t="str">
        <f>VLOOKUP(C:C,'LListat referències'!A:B,2,FALSE)</f>
        <v>Tapa tarro rectagular 50 ml</v>
      </c>
      <c r="E279" s="18" t="str">
        <f>VLOOKUP(C:C,'LListat referències'!A:D,4,FALSE)</f>
        <v>#23 (50 ml)</v>
      </c>
      <c r="F279" s="49">
        <f>VLOOKUP(C:C,'LListat referències'!A:E,5,FALSE)</f>
        <v>22.6</v>
      </c>
      <c r="G279" s="49">
        <v>73.69</v>
      </c>
      <c r="H279" s="49">
        <v>4</v>
      </c>
      <c r="I279" s="75">
        <f>Tabla1[[#This Row],[Cant. Fabricada (uds)]]/Tabla1[[#This Row],[Cavidades]]*Tabla1[[#This Row],[Tiempo Ciclo]]/60/60</f>
        <v>7.5839291666666666</v>
      </c>
      <c r="J279" s="1" t="s">
        <v>8</v>
      </c>
      <c r="K279" s="25"/>
      <c r="L279" s="25">
        <v>24618</v>
      </c>
      <c r="M279" s="25">
        <v>25288</v>
      </c>
      <c r="N279" s="25">
        <v>26100</v>
      </c>
      <c r="O279" s="20">
        <v>20</v>
      </c>
      <c r="P279" s="1">
        <f>Tabla1[[#This Row],[Noche]]-Tabla1[[#This Row],[Mañana ]]</f>
        <v>1482</v>
      </c>
      <c r="Q279" s="58">
        <v>1.5</v>
      </c>
      <c r="R279" s="21">
        <f t="shared" si="7"/>
        <v>1.5</v>
      </c>
      <c r="S279" s="22">
        <f>Tabla1[[#This Row],[Merma Salas A &amp; B2]]*1000/Tabla1[[#This Row],[Peso gr.]]</f>
        <v>66.371681415929203</v>
      </c>
      <c r="T279" s="52">
        <v>10</v>
      </c>
      <c r="U279" s="24">
        <f>Tabla1[[#This Row],[Total piezas NOK]]/Tabla1[[#This Row],[Cant. Fabricada (uds)]]</f>
        <v>4.478521013220594E-2</v>
      </c>
    </row>
    <row r="280" spans="1:22" x14ac:dyDescent="0.3">
      <c r="A280" s="43">
        <v>44530</v>
      </c>
      <c r="B280" s="20" t="s">
        <v>891</v>
      </c>
      <c r="C280" s="20">
        <v>1803</v>
      </c>
      <c r="D280" s="13" t="str">
        <f>VLOOKUP(C:C,'LListat referències'!A:B,2,FALSE)</f>
        <v>Contraobt. Tarro 30 ml Juvena</v>
      </c>
      <c r="E280" s="18" t="str">
        <f>VLOOKUP(C:C,'LListat referències'!A:D,4,FALSE)</f>
        <v/>
      </c>
      <c r="F280" s="49">
        <v>5.2</v>
      </c>
      <c r="G280" s="49">
        <v>16.88</v>
      </c>
      <c r="H280" s="49">
        <v>2</v>
      </c>
      <c r="I280" s="75">
        <f>Tabla1[[#This Row],[Cant. Fabricada (uds)]]/Tabla1[[#This Row],[Cavidades]]*Tabla1[[#This Row],[Tiempo Ciclo]]/60/60</f>
        <v>6.6863555555555543</v>
      </c>
      <c r="J280" s="1" t="s">
        <v>797</v>
      </c>
      <c r="K280" s="25"/>
      <c r="L280" s="25">
        <v>10420</v>
      </c>
      <c r="M280" s="25">
        <v>13272</v>
      </c>
      <c r="N280" s="25">
        <v>13272</v>
      </c>
      <c r="O280" s="20">
        <v>46</v>
      </c>
      <c r="P280" s="1">
        <f>Tabla1[[#This Row],[Noche]]-Tabla1[[#This Row],[Mañana ]]</f>
        <v>2852</v>
      </c>
      <c r="Q280" s="58"/>
      <c r="R280" s="21">
        <f t="shared" si="7"/>
        <v>0</v>
      </c>
      <c r="S280" s="22">
        <f>Tabla1[[#This Row],[Merma Salas A &amp; B2]]*1000/Tabla1[[#This Row],[Peso gr.]]</f>
        <v>0</v>
      </c>
      <c r="T280" s="52"/>
      <c r="U280" s="24">
        <f>Tabla1[[#This Row],[Total piezas NOK]]/Tabla1[[#This Row],[Cant. Fabricada (uds)]]</f>
        <v>0</v>
      </c>
    </row>
    <row r="281" spans="1:22" x14ac:dyDescent="0.3">
      <c r="A281" s="43">
        <v>44530</v>
      </c>
      <c r="B281" s="20" t="s">
        <v>884</v>
      </c>
      <c r="C281" s="20">
        <v>1861</v>
      </c>
      <c r="D281" s="13" t="str">
        <f>VLOOKUP(C:C,'LListat referències'!A:B,2,FALSE)</f>
        <v>Tarro 50ml Standard 8 unitats</v>
      </c>
      <c r="E281" s="18" t="str">
        <f>VLOOKUP(C:C,'LListat referències'!A:D,4,FALSE)</f>
        <v>T022</v>
      </c>
      <c r="F281" s="49">
        <f>VLOOKUP(C:C,'LListat referències'!A:E,5,FALSE)</f>
        <v>92</v>
      </c>
      <c r="G281" s="49">
        <v>150</v>
      </c>
      <c r="H281" s="49">
        <v>7</v>
      </c>
      <c r="I281" s="75">
        <f>Tabla1[[#This Row],[Cant. Fabricada (uds)]]/Tabla1[[#This Row],[Cavidades]]*Tabla1[[#This Row],[Tiempo Ciclo]]/60/60</f>
        <v>0</v>
      </c>
      <c r="J281" s="1" t="s">
        <v>885</v>
      </c>
      <c r="K281" s="25"/>
      <c r="L281" s="25"/>
      <c r="M281" s="25"/>
      <c r="N281" s="25"/>
      <c r="O281" s="20">
        <v>40</v>
      </c>
      <c r="P281" s="1">
        <f>Tabla1[[#This Row],[Noche]]-Tabla1[[#This Row],[Mañana ]]</f>
        <v>0</v>
      </c>
      <c r="Q281" s="58"/>
      <c r="R281" s="21">
        <f t="shared" si="7"/>
        <v>0</v>
      </c>
      <c r="S281" s="22">
        <f>Tabla1[[#This Row],[Merma Salas A &amp; B2]]*1000/Tabla1[[#This Row],[Peso gr.]]</f>
        <v>0</v>
      </c>
      <c r="T281" s="52">
        <v>90</v>
      </c>
      <c r="U281" s="24" t="s">
        <v>842</v>
      </c>
      <c r="V281" s="19" t="s">
        <v>892</v>
      </c>
    </row>
    <row r="282" spans="1:22" x14ac:dyDescent="0.3">
      <c r="A282" s="43">
        <v>44530</v>
      </c>
      <c r="B282" s="20" t="s">
        <v>893</v>
      </c>
      <c r="C282" s="20">
        <v>1809</v>
      </c>
      <c r="D282" s="13" t="str">
        <f>VLOOKUP(C:C,'LListat referències'!A:B,2,FALSE)</f>
        <v>Tarro 200ml mónaco</v>
      </c>
      <c r="E282" s="18" t="str">
        <f>VLOOKUP(C:C,'LListat referències'!A:D,4,FALSE)</f>
        <v>T060</v>
      </c>
      <c r="F282" s="49">
        <f>VLOOKUP(C:C,'LListat referències'!A:E,5,FALSE)</f>
        <v>47.15</v>
      </c>
      <c r="G282" s="49">
        <v>82.5</v>
      </c>
      <c r="H282" s="49">
        <v>4</v>
      </c>
      <c r="I282" s="75">
        <f>Tabla1[[#This Row],[Cant. Fabricada (uds)]]/Tabla1[[#This Row],[Cavidades]]*Tabla1[[#This Row],[Tiempo Ciclo]]/60/60</f>
        <v>15.491666666666667</v>
      </c>
      <c r="J282" s="1" t="s">
        <v>7</v>
      </c>
      <c r="K282" s="25"/>
      <c r="L282" s="25">
        <v>15880</v>
      </c>
      <c r="M282" s="25">
        <v>17192</v>
      </c>
      <c r="N282" s="25">
        <v>18584</v>
      </c>
      <c r="O282" s="20">
        <v>39</v>
      </c>
      <c r="P282" s="1">
        <f>Tabla1[[#This Row],[Noche]]-Tabla1[[#This Row],[Mañana ]]</f>
        <v>2704</v>
      </c>
      <c r="Q282" s="58">
        <v>5</v>
      </c>
      <c r="R282" s="21">
        <f t="shared" si="7"/>
        <v>5</v>
      </c>
      <c r="S282" s="22">
        <f>Tabla1[[#This Row],[Merma Salas A &amp; B2]]*1000/Tabla1[[#This Row],[Peso gr.]]</f>
        <v>106.04453870625663</v>
      </c>
      <c r="T282" s="52"/>
      <c r="U282" s="24">
        <f>Tabla1[[#This Row],[Total piezas NOK]]/Tabla1[[#This Row],[Cant. Fabricada (uds)]]</f>
        <v>3.9217654846988401E-2</v>
      </c>
    </row>
    <row r="283" spans="1:22" x14ac:dyDescent="0.3">
      <c r="A283" s="43">
        <v>44530</v>
      </c>
      <c r="B283" s="20" t="s">
        <v>896</v>
      </c>
      <c r="C283" s="20" t="s">
        <v>604</v>
      </c>
      <c r="D283" s="13" t="str">
        <f>VLOOKUP(C:C,'LListat referències'!A:B,2,FALSE)</f>
        <v>Tapa gota gruixuda</v>
      </c>
      <c r="E283" s="18" t="str">
        <f>VLOOKUP(C:C,'LListat referències'!A:D,4,FALSE)</f>
        <v>#40</v>
      </c>
      <c r="F283" s="49">
        <f>VLOOKUP(C:C,'LListat referències'!A:E,5,FALSE)</f>
        <v>54.1</v>
      </c>
      <c r="G283" s="49">
        <v>114.02</v>
      </c>
      <c r="H283" s="49">
        <v>4</v>
      </c>
      <c r="I283" s="75">
        <f>Tabla1[[#This Row],[Cant. Fabricada (uds)]]/Tabla1[[#This Row],[Cavidades]]*Tabla1[[#This Row],[Tiempo Ciclo]]/60/60</f>
        <v>15.26601111111111</v>
      </c>
      <c r="J283" s="1" t="s">
        <v>8</v>
      </c>
      <c r="K283" s="25"/>
      <c r="L283" s="25">
        <v>412</v>
      </c>
      <c r="M283" s="25">
        <v>1324</v>
      </c>
      <c r="N283" s="25">
        <v>2340</v>
      </c>
      <c r="O283" s="20">
        <v>45</v>
      </c>
      <c r="P283" s="1">
        <f>Tabla1[[#This Row],[Noche]]-Tabla1[[#This Row],[Mañana ]]</f>
        <v>1928</v>
      </c>
      <c r="Q283" s="58">
        <v>10</v>
      </c>
      <c r="R283" s="21">
        <f t="shared" si="7"/>
        <v>10</v>
      </c>
      <c r="S283" s="22">
        <f>Tabla1[[#This Row],[Merma Salas A &amp; B2]]*1000/Tabla1[[#This Row],[Peso gr.]]</f>
        <v>184.84288354898337</v>
      </c>
      <c r="T283" s="52"/>
      <c r="U283" s="24">
        <f>Tabla1[[#This Row],[Total piezas NOK]]/Tabla1[[#This Row],[Cant. Fabricada (uds)]]</f>
        <v>9.5872864911298428E-2</v>
      </c>
    </row>
    <row r="284" spans="1:22" x14ac:dyDescent="0.3">
      <c r="A284" s="43">
        <v>44530</v>
      </c>
      <c r="B284" s="20" t="s">
        <v>899</v>
      </c>
      <c r="C284" s="20" t="s">
        <v>478</v>
      </c>
      <c r="D284" s="13" t="str">
        <f>VLOOKUP(C:C,'LListat referències'!A:B,2,FALSE)</f>
        <v xml:space="preserve">Tarro 50 ml labiomar </v>
      </c>
      <c r="E284" s="18" t="str">
        <f>VLOOKUP(C:C,'LListat referències'!A:D,4,FALSE)</f>
        <v>T079</v>
      </c>
      <c r="F284" s="49">
        <f>VLOOKUP(C:C,'LListat referències'!A:E,5,FALSE)</f>
        <v>82.7</v>
      </c>
      <c r="G284" s="49">
        <v>103.83</v>
      </c>
      <c r="H284" s="49">
        <v>4</v>
      </c>
      <c r="I284" s="75">
        <f>Tabla1[[#This Row],[Cant. Fabricada (uds)]]/Tabla1[[#This Row],[Cavidades]]*Tabla1[[#This Row],[Tiempo Ciclo]]/60/60</f>
        <v>11.875556250000001</v>
      </c>
      <c r="J284" s="1" t="s">
        <v>8</v>
      </c>
      <c r="K284" s="25"/>
      <c r="L284" s="25">
        <v>15138</v>
      </c>
      <c r="M284" s="25">
        <v>15942</v>
      </c>
      <c r="N284" s="25">
        <v>16785</v>
      </c>
      <c r="O284" s="20">
        <v>44</v>
      </c>
      <c r="P284" s="1">
        <f>Tabla1[[#This Row],[Noche]]-Tabla1[[#This Row],[Mañana ]]</f>
        <v>1647</v>
      </c>
      <c r="Q284" s="58">
        <v>10</v>
      </c>
      <c r="R284" s="21">
        <f t="shared" si="7"/>
        <v>10</v>
      </c>
      <c r="S284" s="22">
        <f>Tabla1[[#This Row],[Merma Salas A &amp; B2]]*1000/Tabla1[[#This Row],[Peso gr.]]</f>
        <v>120.91898428053204</v>
      </c>
      <c r="T284" s="52"/>
      <c r="U284" s="24">
        <f>Tabla1[[#This Row],[Total piezas NOK]]/Tabla1[[#This Row],[Cant. Fabricada (uds)]]</f>
        <v>7.3417719660310896E-2</v>
      </c>
    </row>
    <row r="285" spans="1:22" x14ac:dyDescent="0.3">
      <c r="A285" s="43">
        <v>44530</v>
      </c>
      <c r="B285" s="20" t="s">
        <v>902</v>
      </c>
      <c r="C285" s="20" t="s">
        <v>644</v>
      </c>
      <c r="D285" s="13" t="str">
        <f>VLOOKUP(C:C,'LListat referències'!A:B,2,FALSE)</f>
        <v>Tarro 200ml Quadrat estret (Tapa Rodona)</v>
      </c>
      <c r="E285" s="18">
        <f>VLOOKUP(C:C,'LListat referències'!A:D,4,FALSE)</f>
        <v>0</v>
      </c>
      <c r="F285" s="49">
        <f>VLOOKUP(C:C,'LListat referències'!A:E,5,FALSE)</f>
        <v>220.84</v>
      </c>
      <c r="G285" s="49">
        <v>112.6</v>
      </c>
      <c r="H285" s="49">
        <v>1</v>
      </c>
      <c r="I285" s="75">
        <f>Tabla1[[#This Row],[Cant. Fabricada (uds)]]/Tabla1[[#This Row],[Cavidades]]*Tabla1[[#This Row],[Tiempo Ciclo]]/60/60</f>
        <v>14.168833333333332</v>
      </c>
      <c r="J285" s="1" t="s">
        <v>7</v>
      </c>
      <c r="K285" s="25"/>
      <c r="L285" s="25">
        <v>31359</v>
      </c>
      <c r="M285" s="25">
        <v>31579</v>
      </c>
      <c r="N285" s="25">
        <v>31812</v>
      </c>
      <c r="O285" s="20">
        <v>41</v>
      </c>
      <c r="P285" s="1">
        <f>Tabla1[[#This Row],[Noche]]-Tabla1[[#This Row],[Mañana ]]</f>
        <v>453</v>
      </c>
      <c r="Q285" s="58">
        <v>10</v>
      </c>
      <c r="R285" s="21">
        <f t="shared" si="7"/>
        <v>10</v>
      </c>
      <c r="S285" s="22">
        <f>Tabla1[[#This Row],[Merma Salas A &amp; B2]]*1000/Tabla1[[#This Row],[Peso gr.]]</f>
        <v>45.28165187466039</v>
      </c>
      <c r="T285" s="52"/>
      <c r="U285" s="24">
        <f>Tabla1[[#This Row],[Total piezas NOK]]/Tabla1[[#This Row],[Cant. Fabricada (uds)]]</f>
        <v>9.9959496412053844E-2</v>
      </c>
    </row>
    <row r="286" spans="1:22" x14ac:dyDescent="0.3">
      <c r="A286" s="43">
        <v>44530</v>
      </c>
      <c r="B286" s="20" t="s">
        <v>914</v>
      </c>
      <c r="C286" s="20" t="s">
        <v>585</v>
      </c>
      <c r="D286" s="13" t="str">
        <f>VLOOKUP(C:C,'LListat referències'!A:B,2,FALSE)</f>
        <v>Tarro 200ml quadrat cònic</v>
      </c>
      <c r="E286" s="18" t="str">
        <f>VLOOKUP(C:C,'LListat referències'!A:D,4,FALSE)</f>
        <v>T083</v>
      </c>
      <c r="F286" s="49">
        <f>VLOOKUP(C:C,'LListat referències'!A:E,5,FALSE)</f>
        <v>233</v>
      </c>
      <c r="G286" s="49">
        <v>111.31</v>
      </c>
      <c r="H286" s="49">
        <v>2</v>
      </c>
      <c r="I286" s="75">
        <f>Tabla1[[#This Row],[Cant. Fabricada (uds)]]/Tabla1[[#This Row],[Cavidades]]*Tabla1[[#This Row],[Tiempo Ciclo]]/60/60</f>
        <v>0</v>
      </c>
      <c r="J286" s="1" t="s">
        <v>7</v>
      </c>
      <c r="K286" s="25"/>
      <c r="L286" s="25"/>
      <c r="M286" s="25"/>
      <c r="N286" s="25"/>
      <c r="O286" s="20">
        <v>51</v>
      </c>
      <c r="P286" s="1">
        <f>Tabla1[[#This Row],[Noche]]-Tabla1[[#This Row],[Mañana ]]</f>
        <v>0</v>
      </c>
      <c r="Q286" s="58"/>
      <c r="R286" s="21">
        <f t="shared" si="7"/>
        <v>0</v>
      </c>
      <c r="S286" s="22">
        <f>Tabla1[[#This Row],[Merma Salas A &amp; B2]]*1000/Tabla1[[#This Row],[Peso gr.]]</f>
        <v>0</v>
      </c>
      <c r="T286" s="52">
        <v>10</v>
      </c>
      <c r="U286" s="24" t="s">
        <v>842</v>
      </c>
    </row>
    <row r="287" spans="1:22" x14ac:dyDescent="0.3">
      <c r="A287" s="43">
        <v>44530</v>
      </c>
      <c r="B287" s="20" t="s">
        <v>771</v>
      </c>
      <c r="C287" s="20" t="s">
        <v>615</v>
      </c>
      <c r="D287" s="13" t="str">
        <f>VLOOKUP(C:C,'LListat referències'!A:B,2,FALSE)</f>
        <v>Tarro 50ml Tinter Quadrat</v>
      </c>
      <c r="E287" s="18" t="str">
        <f>VLOOKUP(C:C,'LListat referències'!A:D,4,FALSE)</f>
        <v>T116</v>
      </c>
      <c r="F287" s="49">
        <f>VLOOKUP(C:C,'LListat referències'!A:E,5,FALSE)</f>
        <v>121.5</v>
      </c>
      <c r="G287" s="49">
        <v>126.1</v>
      </c>
      <c r="H287" s="49">
        <v>2</v>
      </c>
      <c r="I287" s="75">
        <f>Tabla1[[#This Row],[Cant. Fabricada (uds)]]/Tabla1[[#This Row],[Cavidades]]*Tabla1[[#This Row],[Tiempo Ciclo]]/60/60</f>
        <v>15.412222222222223</v>
      </c>
      <c r="J287" s="1" t="s">
        <v>8</v>
      </c>
      <c r="K287" s="25"/>
      <c r="L287" s="25">
        <v>22180</v>
      </c>
      <c r="M287" s="25">
        <v>22558</v>
      </c>
      <c r="N287" s="25">
        <v>23060</v>
      </c>
      <c r="O287" s="20">
        <v>30</v>
      </c>
      <c r="P287" s="1">
        <f>Tabla1[[#This Row],[Noche]]-Tabla1[[#This Row],[Mañana ]]</f>
        <v>880</v>
      </c>
      <c r="Q287" s="58">
        <v>15</v>
      </c>
      <c r="R287" s="21">
        <f t="shared" si="7"/>
        <v>15</v>
      </c>
      <c r="S287" s="22">
        <f>Tabla1[[#This Row],[Merma Salas A &amp; B2]]*1000/Tabla1[[#This Row],[Peso gr.]]</f>
        <v>123.45679012345678</v>
      </c>
      <c r="T287" s="52"/>
      <c r="U287" s="24">
        <f>Tabla1[[#This Row],[Total piezas NOK]]/Tabla1[[#This Row],[Cant. Fabricada (uds)]]</f>
        <v>0.14029180695847362</v>
      </c>
    </row>
    <row r="288" spans="1:22" x14ac:dyDescent="0.3">
      <c r="A288" s="43">
        <v>44530</v>
      </c>
      <c r="B288" s="20" t="s">
        <v>869</v>
      </c>
      <c r="C288" s="20" t="s">
        <v>542</v>
      </c>
      <c r="D288" s="13" t="str">
        <f>VLOOKUP(C:C,'LListat referències'!A:B,2,FALSE)</f>
        <v>Tapa 15ml per tarro Tintero</v>
      </c>
      <c r="E288" s="18" t="str">
        <f>VLOOKUP(C:C,'LListat referències'!A:D,4,FALSE)</f>
        <v>#23</v>
      </c>
      <c r="F288" s="49">
        <f>VLOOKUP(C:C,'LListat referències'!A:E,5,FALSE)</f>
        <v>10</v>
      </c>
      <c r="G288" s="49">
        <v>41.96</v>
      </c>
      <c r="H288" s="49">
        <v>2</v>
      </c>
      <c r="I288" s="75">
        <f>Tabla1[[#This Row],[Cant. Fabricada (uds)]]/Tabla1[[#This Row],[Cavidades]]*Tabla1[[#This Row],[Tiempo Ciclo]]/60/60</f>
        <v>15.816588888888891</v>
      </c>
      <c r="J288" s="1" t="s">
        <v>8</v>
      </c>
      <c r="K288" s="25"/>
      <c r="L288" s="25">
        <v>7376</v>
      </c>
      <c r="M288" s="25">
        <v>8692</v>
      </c>
      <c r="N288" s="25">
        <v>10090</v>
      </c>
      <c r="O288" s="20">
        <v>25</v>
      </c>
      <c r="P288" s="1">
        <f>Tabla1[[#This Row],[Noche]]-Tabla1[[#This Row],[Mañana ]]</f>
        <v>2714</v>
      </c>
      <c r="Q288" s="58">
        <v>1.5</v>
      </c>
      <c r="R288" s="21">
        <f t="shared" si="7"/>
        <v>1.5</v>
      </c>
      <c r="S288" s="22">
        <f>Tabla1[[#This Row],[Merma Salas A &amp; B2]]*1000/Tabla1[[#This Row],[Peso gr.]]</f>
        <v>150</v>
      </c>
      <c r="T288" s="52"/>
      <c r="U288" s="24">
        <f>Tabla1[[#This Row],[Total piezas NOK]]/Tabla1[[#This Row],[Cant. Fabricada (uds)]]</f>
        <v>5.5268975681650699E-2</v>
      </c>
    </row>
    <row r="289" spans="1:22" x14ac:dyDescent="0.3">
      <c r="A289" s="43">
        <v>44530</v>
      </c>
      <c r="B289" s="20" t="s">
        <v>918</v>
      </c>
      <c r="C289" s="20">
        <v>1879</v>
      </c>
      <c r="D289" s="13" t="str">
        <f>VLOOKUP(C:C,'LListat referències'!A:B,2,FALSE)</f>
        <v>Tapa tarro rectagular 50 ml</v>
      </c>
      <c r="E289" s="18" t="str">
        <f>VLOOKUP(C:C,'LListat referències'!A:D,4,FALSE)</f>
        <v>#23 (50 ml)</v>
      </c>
      <c r="F289" s="49">
        <f>VLOOKUP(C:C,'LListat referències'!A:E,5,FALSE)</f>
        <v>22.6</v>
      </c>
      <c r="G289" s="49">
        <v>73.69</v>
      </c>
      <c r="H289" s="49">
        <v>4</v>
      </c>
      <c r="I289" s="75">
        <f>Tabla1[[#This Row],[Cant. Fabricada (uds)]]/Tabla1[[#This Row],[Cavidades]]*Tabla1[[#This Row],[Tiempo Ciclo]]/60/60</f>
        <v>7.6043986111111108</v>
      </c>
      <c r="J289" s="1" t="s">
        <v>8</v>
      </c>
      <c r="K289" s="25"/>
      <c r="L289" s="25">
        <v>26880</v>
      </c>
      <c r="M289" s="25">
        <v>27696</v>
      </c>
      <c r="N289" s="25">
        <v>28366</v>
      </c>
      <c r="O289" s="20">
        <v>20</v>
      </c>
      <c r="P289" s="1">
        <f>Tabla1[[#This Row],[Noche]]-Tabla1[[#This Row],[Mañana ]]</f>
        <v>1486</v>
      </c>
      <c r="Q289" s="58">
        <v>3</v>
      </c>
      <c r="R289" s="21">
        <f t="shared" si="7"/>
        <v>3</v>
      </c>
      <c r="S289" s="22">
        <f>Tabla1[[#This Row],[Merma Salas A &amp; B2]]*1000/Tabla1[[#This Row],[Peso gr.]]</f>
        <v>132.74336283185841</v>
      </c>
      <c r="T289" s="52"/>
      <c r="U289" s="24">
        <f>Tabla1[[#This Row],[Total piezas NOK]]/Tabla1[[#This Row],[Cant. Fabricada (uds)]]</f>
        <v>8.9329315499231773E-2</v>
      </c>
    </row>
    <row r="290" spans="1:22" x14ac:dyDescent="0.3">
      <c r="A290" s="43">
        <v>44530</v>
      </c>
      <c r="B290" s="20" t="s">
        <v>928</v>
      </c>
      <c r="C290" s="20">
        <v>1899</v>
      </c>
      <c r="D290" s="13" t="str">
        <f>VLOOKUP(C:C,'LListat referències'!A:B,2,FALSE)</f>
        <v>Tarro 200ml Quadrat amb vàlvula</v>
      </c>
      <c r="E290" s="18" t="str">
        <f>VLOOKUP(C:C,'LListat referències'!A:D,4,FALSE)</f>
        <v>T055</v>
      </c>
      <c r="F290" s="49">
        <v>233.33</v>
      </c>
      <c r="G290" s="49">
        <v>115.12</v>
      </c>
      <c r="H290" s="49">
        <v>1</v>
      </c>
      <c r="I290" s="75">
        <f>Tabla1[[#This Row],[Cant. Fabricada (uds)]]/Tabla1[[#This Row],[Cavidades]]*Tabla1[[#This Row],[Tiempo Ciclo]]/60/60</f>
        <v>0</v>
      </c>
      <c r="J290" s="1" t="s">
        <v>7</v>
      </c>
      <c r="K290" s="25"/>
      <c r="L290" s="25"/>
      <c r="M290" s="25"/>
      <c r="N290" s="25"/>
      <c r="O290" s="20">
        <v>7</v>
      </c>
      <c r="P290" s="1">
        <f>Tabla1[[#This Row],[Noche]]-Tabla1[[#This Row],[Mañana ]]</f>
        <v>0</v>
      </c>
      <c r="Q290" s="58"/>
      <c r="R290" s="21">
        <f t="shared" si="7"/>
        <v>0</v>
      </c>
      <c r="S290" s="22">
        <f>Tabla1[[#This Row],[Merma Salas A &amp; B2]]*1000/Tabla1[[#This Row],[Peso gr.]]</f>
        <v>0</v>
      </c>
      <c r="T290" s="52">
        <v>140</v>
      </c>
      <c r="U290" s="24" t="s">
        <v>842</v>
      </c>
      <c r="V290" s="19" t="s">
        <v>929</v>
      </c>
    </row>
    <row r="291" spans="1:22" x14ac:dyDescent="0.3">
      <c r="A291" s="43">
        <v>44531</v>
      </c>
      <c r="B291" s="20" t="s">
        <v>893</v>
      </c>
      <c r="C291" s="20">
        <v>1809</v>
      </c>
      <c r="D291" s="13" t="str">
        <f>VLOOKUP(C:C,'LListat referències'!A:B,2,FALSE)</f>
        <v>Tarro 200ml mónaco</v>
      </c>
      <c r="E291" s="18" t="str">
        <f>VLOOKUP(C:C,'LListat referències'!A:D,4,FALSE)</f>
        <v>T060</v>
      </c>
      <c r="F291" s="49">
        <f>VLOOKUP(C:C,'LListat referències'!A:E,5,FALSE)</f>
        <v>47.15</v>
      </c>
      <c r="G291" s="49">
        <v>82.5</v>
      </c>
      <c r="H291" s="49">
        <v>4</v>
      </c>
      <c r="I291" s="75">
        <f>Tabla1[[#This Row],[Cant. Fabricada (uds)]]/Tabla1[[#This Row],[Cavidades]]*Tabla1[[#This Row],[Tiempo Ciclo]]/60/60</f>
        <v>15.239583333333334</v>
      </c>
      <c r="J291" s="1" t="s">
        <v>7</v>
      </c>
      <c r="K291" s="25"/>
      <c r="L291" s="25">
        <v>20064</v>
      </c>
      <c r="M291" s="25">
        <v>21304</v>
      </c>
      <c r="N291" s="25">
        <v>22724</v>
      </c>
      <c r="O291" s="20">
        <v>39</v>
      </c>
      <c r="P291" s="1">
        <f>Tabla1[[#This Row],[Noche]]-Tabla1[[#This Row],[Mañana ]]</f>
        <v>2660</v>
      </c>
      <c r="Q291" s="58">
        <v>10</v>
      </c>
      <c r="R291" s="21">
        <f t="shared" si="7"/>
        <v>10</v>
      </c>
      <c r="S291" s="22">
        <f>Tabla1[[#This Row],[Merma Salas A &amp; B2]]*1000/Tabla1[[#This Row],[Peso gr.]]</f>
        <v>212.08907741251326</v>
      </c>
      <c r="T291" s="52"/>
      <c r="U291" s="24">
        <f>Tabla1[[#This Row],[Total piezas NOK]]/Tabla1[[#This Row],[Cant. Fabricada (uds)]]</f>
        <v>7.9732735869365884E-2</v>
      </c>
    </row>
    <row r="292" spans="1:22" x14ac:dyDescent="0.3">
      <c r="A292" s="43">
        <v>44531</v>
      </c>
      <c r="B292" s="20" t="s">
        <v>896</v>
      </c>
      <c r="C292" s="20" t="s">
        <v>604</v>
      </c>
      <c r="D292" s="13" t="str">
        <f>VLOOKUP(C:C,'LListat referències'!A:B,2,FALSE)</f>
        <v>Tapa gota gruixuda</v>
      </c>
      <c r="E292" s="18" t="str">
        <f>VLOOKUP(C:C,'LListat referències'!A:D,4,FALSE)</f>
        <v>#40</v>
      </c>
      <c r="F292" s="49">
        <f>VLOOKUP(C:C,'LListat referències'!A:E,5,FALSE)</f>
        <v>54.1</v>
      </c>
      <c r="G292" s="49">
        <v>114.02</v>
      </c>
      <c r="H292" s="49">
        <v>4</v>
      </c>
      <c r="I292" s="75">
        <f>Tabla1[[#This Row],[Cant. Fabricada (uds)]]/Tabla1[[#This Row],[Cavidades]]*Tabla1[[#This Row],[Tiempo Ciclo]]/60/60</f>
        <v>15.804438888888887</v>
      </c>
      <c r="J292" s="1" t="s">
        <v>8</v>
      </c>
      <c r="K292" s="25"/>
      <c r="L292" s="25">
        <v>3404</v>
      </c>
      <c r="M292" s="25">
        <v>4372</v>
      </c>
      <c r="N292" s="25">
        <v>5400</v>
      </c>
      <c r="O292" s="20">
        <v>45</v>
      </c>
      <c r="P292" s="1">
        <f>Tabla1[[#This Row],[Noche]]-Tabla1[[#This Row],[Mañana ]]</f>
        <v>1996</v>
      </c>
      <c r="Q292" s="58">
        <v>10</v>
      </c>
      <c r="R292" s="21">
        <f t="shared" si="7"/>
        <v>10</v>
      </c>
      <c r="S292" s="22">
        <f>Tabla1[[#This Row],[Merma Salas A &amp; B2]]*1000/Tabla1[[#This Row],[Peso gr.]]</f>
        <v>184.84288354898337</v>
      </c>
      <c r="T292" s="52"/>
      <c r="U292" s="24">
        <f>Tabla1[[#This Row],[Total piezas NOK]]/Tabla1[[#This Row],[Cant. Fabricada (uds)]]</f>
        <v>9.260665508466101E-2</v>
      </c>
    </row>
    <row r="293" spans="1:22" x14ac:dyDescent="0.3">
      <c r="A293" s="43">
        <v>44531</v>
      </c>
      <c r="B293" s="20" t="s">
        <v>899</v>
      </c>
      <c r="C293" s="20" t="s">
        <v>478</v>
      </c>
      <c r="D293" s="13" t="str">
        <f>VLOOKUP(C:C,'LListat referències'!A:B,2,FALSE)</f>
        <v xml:space="preserve">Tarro 50 ml labiomar </v>
      </c>
      <c r="E293" s="18" t="str">
        <f>VLOOKUP(C:C,'LListat referències'!A:D,4,FALSE)</f>
        <v>T079</v>
      </c>
      <c r="F293" s="49">
        <f>VLOOKUP(C:C,'LListat referències'!A:E,5,FALSE)</f>
        <v>82.7</v>
      </c>
      <c r="G293" s="49">
        <v>103.83</v>
      </c>
      <c r="H293" s="49">
        <v>4</v>
      </c>
      <c r="I293" s="75">
        <f>Tabla1[[#This Row],[Cant. Fabricada (uds)]]/Tabla1[[#This Row],[Cavidades]]*Tabla1[[#This Row],[Tiempo Ciclo]]/60/60</f>
        <v>11.789031249999999</v>
      </c>
      <c r="J293" s="1" t="s">
        <v>8</v>
      </c>
      <c r="K293" s="25"/>
      <c r="L293" s="25">
        <v>17667</v>
      </c>
      <c r="M293" s="25">
        <v>18435</v>
      </c>
      <c r="N293" s="25">
        <v>19302</v>
      </c>
      <c r="O293" s="20">
        <v>44</v>
      </c>
      <c r="P293" s="1">
        <f>Tabla1[[#This Row],[Noche]]-Tabla1[[#This Row],[Mañana ]]</f>
        <v>1635</v>
      </c>
      <c r="Q293" s="58">
        <v>30</v>
      </c>
      <c r="R293" s="21">
        <f t="shared" si="7"/>
        <v>30</v>
      </c>
      <c r="S293" s="22">
        <f>Tabla1[[#This Row],[Merma Salas A &amp; B2]]*1000/Tabla1[[#This Row],[Peso gr.]]</f>
        <v>362.7569528415961</v>
      </c>
      <c r="T293" s="52"/>
      <c r="U293" s="24">
        <f>Tabla1[[#This Row],[Total piezas NOK]]/Tabla1[[#This Row],[Cant. Fabricada (uds)]]</f>
        <v>0.22186969592758171</v>
      </c>
    </row>
    <row r="294" spans="1:22" x14ac:dyDescent="0.3">
      <c r="A294" s="43">
        <v>44531</v>
      </c>
      <c r="B294" s="20" t="s">
        <v>903</v>
      </c>
      <c r="C294" s="20" t="s">
        <v>644</v>
      </c>
      <c r="D294" s="13" t="str">
        <f>VLOOKUP(C:C,'LListat referències'!A:B,2,FALSE)</f>
        <v>Tarro 200ml Quadrat estret (Tapa Rodona)</v>
      </c>
      <c r="E294" s="18">
        <f>VLOOKUP(C:C,'LListat referències'!A:D,4,FALSE)</f>
        <v>0</v>
      </c>
      <c r="F294" s="49">
        <f>VLOOKUP(C:C,'LListat referències'!A:E,5,FALSE)</f>
        <v>220.84</v>
      </c>
      <c r="G294" s="49">
        <v>112.6</v>
      </c>
      <c r="H294" s="49">
        <v>1</v>
      </c>
      <c r="I294" s="75">
        <f>Tabla1[[#This Row],[Cant. Fabricada (uds)]]/Tabla1[[#This Row],[Cavidades]]*Tabla1[[#This Row],[Tiempo Ciclo]]/60/60</f>
        <v>13.543277777777776</v>
      </c>
      <c r="J294" s="1" t="s">
        <v>7</v>
      </c>
      <c r="K294" s="25"/>
      <c r="L294" s="25">
        <v>32087</v>
      </c>
      <c r="M294" s="25">
        <v>32279</v>
      </c>
      <c r="N294" s="25">
        <v>32520</v>
      </c>
      <c r="O294" s="20">
        <v>41</v>
      </c>
      <c r="P294" s="1">
        <f>Tabla1[[#This Row],[Noche]]-Tabla1[[#This Row],[Mañana ]]</f>
        <v>433</v>
      </c>
      <c r="Q294" s="58">
        <v>10</v>
      </c>
      <c r="R294" s="21">
        <f t="shared" si="7"/>
        <v>10</v>
      </c>
      <c r="S294" s="22">
        <f>Tabla1[[#This Row],[Merma Salas A &amp; B2]]*1000/Tabla1[[#This Row],[Peso gr.]]</f>
        <v>45.28165187466039</v>
      </c>
      <c r="T294" s="52"/>
      <c r="U294" s="24">
        <f>Tabla1[[#This Row],[Total piezas NOK]]/Tabla1[[#This Row],[Cant. Fabricada (uds)]]</f>
        <v>0.10457656322092469</v>
      </c>
    </row>
    <row r="295" spans="1:22" x14ac:dyDescent="0.3">
      <c r="A295" s="43">
        <v>44531</v>
      </c>
      <c r="B295" s="20" t="s">
        <v>761</v>
      </c>
      <c r="C295" s="20" t="s">
        <v>657</v>
      </c>
      <c r="D295" s="13" t="str">
        <f>VLOOKUP(C:C,'LListat referències'!A:B,2,FALSE)</f>
        <v>Tapa simple 200ml baixa prima</v>
      </c>
      <c r="E295" s="18" t="str">
        <f>VLOOKUP(C:C,'LListat referències'!A:D,4,FALSE)</f>
        <v>#45</v>
      </c>
      <c r="F295" s="49">
        <f>VLOOKUP(C:C,'LListat referències'!A:E,5,FALSE)</f>
        <v>3.73</v>
      </c>
      <c r="G295" s="49">
        <v>37.909999999999997</v>
      </c>
      <c r="H295" s="49">
        <v>2</v>
      </c>
      <c r="I295" s="75">
        <f>Tabla1[[#This Row],[Cant. Fabricada (uds)]]/Tabla1[[#This Row],[Cavidades]]*Tabla1[[#This Row],[Tiempo Ciclo]]/60/60</f>
        <v>10.572677777777779</v>
      </c>
      <c r="J295" s="1" t="s">
        <v>764</v>
      </c>
      <c r="K295" s="25"/>
      <c r="L295" s="25">
        <v>2870</v>
      </c>
      <c r="M295" s="25">
        <v>3748</v>
      </c>
      <c r="N295" s="25">
        <v>4878</v>
      </c>
      <c r="O295" s="20">
        <v>19</v>
      </c>
      <c r="P295" s="1">
        <f>Tabla1[[#This Row],[Noche]]-Tabla1[[#This Row],[Mañana ]]</f>
        <v>2008</v>
      </c>
      <c r="Q295" s="58"/>
      <c r="R295" s="21">
        <f t="shared" si="7"/>
        <v>0</v>
      </c>
      <c r="S295" s="22">
        <f>Tabla1[[#This Row],[Merma Salas A &amp; B2]]*1000/Tabla1[[#This Row],[Peso gr.]]</f>
        <v>0</v>
      </c>
      <c r="T295" s="52"/>
      <c r="U295" s="24">
        <f>Tabla1[[#This Row],[Total piezas NOK]]/Tabla1[[#This Row],[Cant. Fabricada (uds)]]</f>
        <v>0</v>
      </c>
    </row>
    <row r="296" spans="1:22" x14ac:dyDescent="0.3">
      <c r="A296" s="43">
        <v>44531</v>
      </c>
      <c r="B296" s="20" t="s">
        <v>914</v>
      </c>
      <c r="C296" s="20" t="s">
        <v>585</v>
      </c>
      <c r="D296" s="13" t="str">
        <f>VLOOKUP(C:C,'LListat referències'!A:B,2,FALSE)</f>
        <v>Tarro 200ml quadrat cònic</v>
      </c>
      <c r="E296" s="18" t="str">
        <f>VLOOKUP(C:C,'LListat referències'!A:D,4,FALSE)</f>
        <v>T083</v>
      </c>
      <c r="F296" s="49">
        <f>VLOOKUP(C:C,'LListat referències'!A:E,5,FALSE)</f>
        <v>233</v>
      </c>
      <c r="G296" s="49">
        <v>111.31</v>
      </c>
      <c r="H296" s="49">
        <v>2</v>
      </c>
      <c r="I296" s="75">
        <f>Tabla1[[#This Row],[Cant. Fabricada (uds)]]/Tabla1[[#This Row],[Cavidades]]*Tabla1[[#This Row],[Tiempo Ciclo]]/60/60</f>
        <v>0</v>
      </c>
      <c r="J296" s="1" t="s">
        <v>7</v>
      </c>
      <c r="K296" s="25"/>
      <c r="L296" s="25"/>
      <c r="M296" s="25"/>
      <c r="N296" s="25"/>
      <c r="O296" s="20">
        <v>51</v>
      </c>
      <c r="P296" s="1">
        <f>Tabla1[[#This Row],[Noche]]-Tabla1[[#This Row],[Mañana ]]</f>
        <v>0</v>
      </c>
      <c r="Q296" s="58"/>
      <c r="R296" s="21">
        <f t="shared" si="7"/>
        <v>0</v>
      </c>
      <c r="S296" s="22">
        <f>Tabla1[[#This Row],[Merma Salas A &amp; B2]]*1000/Tabla1[[#This Row],[Peso gr.]]</f>
        <v>0</v>
      </c>
      <c r="T296" s="52">
        <v>5</v>
      </c>
      <c r="U296" s="24" t="s">
        <v>842</v>
      </c>
    </row>
    <row r="297" spans="1:22" x14ac:dyDescent="0.3">
      <c r="A297" s="43">
        <v>44531</v>
      </c>
      <c r="B297" s="20" t="s">
        <v>771</v>
      </c>
      <c r="C297" s="20" t="s">
        <v>615</v>
      </c>
      <c r="D297" s="13" t="str">
        <f>VLOOKUP(C:C,'LListat referències'!A:B,2,FALSE)</f>
        <v>Tarro 50ml Tinter Quadrat</v>
      </c>
      <c r="E297" s="18" t="str">
        <f>VLOOKUP(C:C,'LListat referències'!A:D,4,FALSE)</f>
        <v>T116</v>
      </c>
      <c r="F297" s="49">
        <f>VLOOKUP(C:C,'LListat referències'!A:E,5,FALSE)</f>
        <v>121.5</v>
      </c>
      <c r="G297" s="49">
        <v>126.1</v>
      </c>
      <c r="H297" s="49">
        <v>2</v>
      </c>
      <c r="I297" s="75">
        <f>Tabla1[[#This Row],[Cant. Fabricada (uds)]]/Tabla1[[#This Row],[Cavidades]]*Tabla1[[#This Row],[Tiempo Ciclo]]/60/60</f>
        <v>11.52413888888889</v>
      </c>
      <c r="J297" s="1" t="s">
        <v>8</v>
      </c>
      <c r="K297" s="25"/>
      <c r="L297" s="25">
        <v>23098</v>
      </c>
      <c r="M297" s="25">
        <v>23288</v>
      </c>
      <c r="N297" s="25">
        <v>23756</v>
      </c>
      <c r="O297" s="20">
        <v>30</v>
      </c>
      <c r="P297" s="1">
        <f>Tabla1[[#This Row],[Noche]]-Tabla1[[#This Row],[Mañana ]]</f>
        <v>658</v>
      </c>
      <c r="Q297" s="58">
        <v>5</v>
      </c>
      <c r="R297" s="21">
        <f t="shared" si="7"/>
        <v>5</v>
      </c>
      <c r="S297" s="22">
        <f>Tabla1[[#This Row],[Merma Salas A &amp; B2]]*1000/Tabla1[[#This Row],[Peso gr.]]</f>
        <v>41.152263374485599</v>
      </c>
      <c r="T297" s="52"/>
      <c r="U297" s="24">
        <f>Tabla1[[#This Row],[Total piezas NOK]]/Tabla1[[#This Row],[Cant. Fabricada (uds)]]</f>
        <v>6.2541433699826135E-2</v>
      </c>
    </row>
    <row r="298" spans="1:22" x14ac:dyDescent="0.3">
      <c r="A298" s="43">
        <v>44531</v>
      </c>
      <c r="B298" s="20" t="s">
        <v>869</v>
      </c>
      <c r="C298" s="20" t="s">
        <v>542</v>
      </c>
      <c r="D298" s="13" t="str">
        <f>VLOOKUP(C:C,'LListat referències'!A:B,2,FALSE)</f>
        <v>Tapa 15ml per tarro Tintero</v>
      </c>
      <c r="E298" s="18" t="str">
        <f>VLOOKUP(C:C,'LListat referències'!A:D,4,FALSE)</f>
        <v>#23</v>
      </c>
      <c r="F298" s="49">
        <f>VLOOKUP(C:C,'LListat referències'!A:E,5,FALSE)</f>
        <v>10</v>
      </c>
      <c r="G298" s="49">
        <v>41.96</v>
      </c>
      <c r="H298" s="49">
        <v>2</v>
      </c>
      <c r="I298" s="75">
        <f>Tabla1[[#This Row],[Cant. Fabricada (uds)]]/Tabla1[[#This Row],[Cavidades]]*Tabla1[[#This Row],[Tiempo Ciclo]]/60/60</f>
        <v>9.4992777777777793</v>
      </c>
      <c r="J298" s="1" t="s">
        <v>8</v>
      </c>
      <c r="K298" s="25"/>
      <c r="L298" s="25">
        <v>11556</v>
      </c>
      <c r="M298" s="25">
        <v>12806</v>
      </c>
      <c r="N298" s="25">
        <v>13186</v>
      </c>
      <c r="O298" s="20">
        <v>25</v>
      </c>
      <c r="P298" s="1">
        <f>Tabla1[[#This Row],[Noche]]-Tabla1[[#This Row],[Mañana ]]</f>
        <v>1630</v>
      </c>
      <c r="Q298" s="58">
        <v>2</v>
      </c>
      <c r="R298" s="21">
        <f t="shared" si="7"/>
        <v>2</v>
      </c>
      <c r="S298" s="22">
        <f>Tabla1[[#This Row],[Merma Salas A &amp; B2]]*1000/Tabla1[[#This Row],[Peso gr.]]</f>
        <v>200</v>
      </c>
      <c r="T298" s="52"/>
      <c r="U298" s="24">
        <f>Tabla1[[#This Row],[Total piezas NOK]]/Tabla1[[#This Row],[Cant. Fabricada (uds)]]</f>
        <v>0.12269938650306748</v>
      </c>
    </row>
    <row r="299" spans="1:22" x14ac:dyDescent="0.3">
      <c r="A299" s="43">
        <v>44531</v>
      </c>
      <c r="B299" s="20" t="s">
        <v>919</v>
      </c>
      <c r="C299" s="20">
        <v>1879</v>
      </c>
      <c r="D299" s="13" t="str">
        <f>VLOOKUP(C:C,'LListat referències'!A:B,2,FALSE)</f>
        <v>Tapa tarro rectagular 50 ml</v>
      </c>
      <c r="E299" s="18" t="str">
        <f>VLOOKUP(C:C,'LListat referències'!A:D,4,FALSE)</f>
        <v>#23 (50 ml)</v>
      </c>
      <c r="F299" s="49">
        <f>VLOOKUP(C:C,'LListat referències'!A:E,5,FALSE)</f>
        <v>22.6</v>
      </c>
      <c r="G299" s="49">
        <v>73.69</v>
      </c>
      <c r="H299" s="49">
        <v>4</v>
      </c>
      <c r="I299" s="75">
        <f>Tabla1[[#This Row],[Cant. Fabricada (uds)]]/Tabla1[[#This Row],[Cavidades]]*Tabla1[[#This Row],[Tiempo Ciclo]]/60/60</f>
        <v>7.8602666666666661</v>
      </c>
      <c r="J299" s="1" t="s">
        <v>8</v>
      </c>
      <c r="K299" s="25"/>
      <c r="L299" s="25">
        <v>29192</v>
      </c>
      <c r="M299" s="25">
        <v>29910</v>
      </c>
      <c r="N299" s="25">
        <v>30728</v>
      </c>
      <c r="O299" s="20">
        <v>20</v>
      </c>
      <c r="P299" s="1">
        <f>Tabla1[[#This Row],[Noche]]-Tabla1[[#This Row],[Mañana ]]</f>
        <v>1536</v>
      </c>
      <c r="Q299" s="58">
        <v>3</v>
      </c>
      <c r="R299" s="21">
        <f t="shared" si="7"/>
        <v>3</v>
      </c>
      <c r="S299" s="22">
        <f>Tabla1[[#This Row],[Merma Salas A &amp; B2]]*1000/Tabla1[[#This Row],[Peso gr.]]</f>
        <v>132.74336283185841</v>
      </c>
      <c r="T299" s="52"/>
      <c r="U299" s="24">
        <f>Tabla1[[#This Row],[Total piezas NOK]]/Tabla1[[#This Row],[Cant. Fabricada (uds)]]</f>
        <v>8.6421460176991149E-2</v>
      </c>
    </row>
    <row r="300" spans="1:22" x14ac:dyDescent="0.3">
      <c r="A300" s="43">
        <v>44532</v>
      </c>
      <c r="B300" s="20" t="s">
        <v>893</v>
      </c>
      <c r="C300" s="20">
        <v>1809</v>
      </c>
      <c r="D300" s="13" t="str">
        <f>VLOOKUP(C:C,'LListat referències'!A:B,2,FALSE)</f>
        <v>Tarro 200ml mónaco</v>
      </c>
      <c r="E300" s="18" t="str">
        <f>VLOOKUP(C:C,'LListat referències'!A:D,4,FALSE)</f>
        <v>T060</v>
      </c>
      <c r="F300" s="49">
        <f>VLOOKUP(C:C,'LListat referències'!A:E,5,FALSE)</f>
        <v>47.15</v>
      </c>
      <c r="G300" s="49">
        <v>82.5</v>
      </c>
      <c r="H300" s="49">
        <v>4</v>
      </c>
      <c r="I300" s="75">
        <f>Tabla1[[#This Row],[Cant. Fabricada (uds)]]/Tabla1[[#This Row],[Cavidades]]*Tabla1[[#This Row],[Tiempo Ciclo]]/60/60</f>
        <v>5.6031250000000004</v>
      </c>
      <c r="J300" s="1" t="s">
        <v>7</v>
      </c>
      <c r="K300" s="25"/>
      <c r="L300" s="25">
        <v>22724</v>
      </c>
      <c r="M300" s="25"/>
      <c r="N300" s="25">
        <v>23702</v>
      </c>
      <c r="O300" s="20">
        <v>39</v>
      </c>
      <c r="P300" s="1">
        <f>Tabla1[[#This Row],[Noche]]-Tabla1[[#This Row],[Mañana ]]</f>
        <v>978</v>
      </c>
      <c r="Q300" s="58"/>
      <c r="R300" s="21">
        <f t="shared" si="7"/>
        <v>0</v>
      </c>
      <c r="S300" s="22">
        <f>Tabla1[[#This Row],[Merma Salas A &amp; B2]]*1000/Tabla1[[#This Row],[Peso gr.]]</f>
        <v>0</v>
      </c>
      <c r="T300" s="52"/>
      <c r="U300" s="24">
        <f>Tabla1[[#This Row],[Total piezas NOK]]/Tabla1[[#This Row],[Cant. Fabricada (uds)]]</f>
        <v>0</v>
      </c>
    </row>
    <row r="301" spans="1:22" x14ac:dyDescent="0.3">
      <c r="A301" s="43">
        <v>44532</v>
      </c>
      <c r="B301" s="20" t="s">
        <v>896</v>
      </c>
      <c r="C301" s="20" t="s">
        <v>604</v>
      </c>
      <c r="D301" s="13" t="str">
        <f>VLOOKUP(C:C,'LListat referències'!A:B,2,FALSE)</f>
        <v>Tapa gota gruixuda</v>
      </c>
      <c r="E301" s="18" t="str">
        <f>VLOOKUP(C:C,'LListat referències'!A:D,4,FALSE)</f>
        <v>#40</v>
      </c>
      <c r="F301" s="49">
        <f>VLOOKUP(C:C,'LListat referències'!A:E,5,FALSE)</f>
        <v>54.1</v>
      </c>
      <c r="G301" s="49">
        <v>114.02</v>
      </c>
      <c r="H301" s="49">
        <v>4</v>
      </c>
      <c r="I301" s="75">
        <f>Tabla1[[#This Row],[Cant. Fabricada (uds)]]/Tabla1[[#This Row],[Cavidades]]*Tabla1[[#This Row],[Tiempo Ciclo]]/60/60</f>
        <v>0</v>
      </c>
      <c r="J301" s="1" t="s">
        <v>8</v>
      </c>
      <c r="K301" s="25"/>
      <c r="L301" s="25"/>
      <c r="M301" s="25"/>
      <c r="N301" s="25"/>
      <c r="O301" s="20">
        <v>45</v>
      </c>
      <c r="P301" s="1">
        <f>Tabla1[[#This Row],[Noche]]-Tabla1[[#This Row],[Mañana ]]</f>
        <v>0</v>
      </c>
      <c r="Q301" s="58"/>
      <c r="R301" s="21">
        <f t="shared" si="7"/>
        <v>0</v>
      </c>
      <c r="S301" s="22">
        <f>Tabla1[[#This Row],[Merma Salas A &amp; B2]]*1000/Tabla1[[#This Row],[Peso gr.]]</f>
        <v>0</v>
      </c>
      <c r="T301" s="52">
        <v>20</v>
      </c>
      <c r="U301" s="24" t="s">
        <v>842</v>
      </c>
      <c r="V301" s="19" t="s">
        <v>898</v>
      </c>
    </row>
    <row r="302" spans="1:22" x14ac:dyDescent="0.3">
      <c r="A302" s="43">
        <v>44532</v>
      </c>
      <c r="B302" s="20" t="s">
        <v>899</v>
      </c>
      <c r="C302" s="20" t="s">
        <v>478</v>
      </c>
      <c r="D302" s="13" t="str">
        <f>VLOOKUP(C:C,'LListat referències'!A:B,2,FALSE)</f>
        <v xml:space="preserve">Tarro 50 ml labiomar </v>
      </c>
      <c r="E302" s="18" t="str">
        <f>VLOOKUP(C:C,'LListat referències'!A:D,4,FALSE)</f>
        <v>T079</v>
      </c>
      <c r="F302" s="49">
        <f>VLOOKUP(C:C,'LListat referències'!A:E,5,FALSE)</f>
        <v>82.7</v>
      </c>
      <c r="G302" s="49">
        <v>103.83</v>
      </c>
      <c r="H302" s="49">
        <v>4</v>
      </c>
      <c r="I302" s="75">
        <f>Tabla1[[#This Row],[Cant. Fabricada (uds)]]/Tabla1[[#This Row],[Cavidades]]*Tabla1[[#This Row],[Tiempo Ciclo]]/60/60</f>
        <v>0</v>
      </c>
      <c r="J302" s="1" t="s">
        <v>8</v>
      </c>
      <c r="K302" s="25"/>
      <c r="L302" s="25"/>
      <c r="M302" s="25"/>
      <c r="N302" s="25"/>
      <c r="O302" s="20">
        <v>44</v>
      </c>
      <c r="P302" s="1">
        <f>Tabla1[[#This Row],[Noche]]-Tabla1[[#This Row],[Mañana ]]</f>
        <v>0</v>
      </c>
      <c r="Q302" s="58"/>
      <c r="R302" s="21">
        <f t="shared" si="7"/>
        <v>0</v>
      </c>
      <c r="S302" s="22">
        <f>Tabla1[[#This Row],[Merma Salas A &amp; B2]]*1000/Tabla1[[#This Row],[Peso gr.]]</f>
        <v>0</v>
      </c>
      <c r="T302" s="52">
        <v>45</v>
      </c>
      <c r="U302" s="24" t="s">
        <v>842</v>
      </c>
      <c r="V302" s="19" t="s">
        <v>900</v>
      </c>
    </row>
    <row r="303" spans="1:22" x14ac:dyDescent="0.3">
      <c r="A303" s="43">
        <v>44532</v>
      </c>
      <c r="B303" s="20" t="s">
        <v>904</v>
      </c>
      <c r="C303" s="20" t="s">
        <v>644</v>
      </c>
      <c r="D303" s="13" t="str">
        <f>VLOOKUP(C:C,'LListat referències'!A:B,2,FALSE)</f>
        <v>Tarro 200ml Quadrat estret (Tapa Rodona)</v>
      </c>
      <c r="E303" s="18">
        <f>VLOOKUP(C:C,'LListat referències'!A:D,4,FALSE)</f>
        <v>0</v>
      </c>
      <c r="F303" s="49">
        <f>VLOOKUP(C:C,'LListat referències'!A:E,5,FALSE)</f>
        <v>220.84</v>
      </c>
      <c r="G303" s="49">
        <v>112.6</v>
      </c>
      <c r="H303" s="49">
        <v>1</v>
      </c>
      <c r="I303" s="75">
        <f>Tabla1[[#This Row],[Cant. Fabricada (uds)]]/Tabla1[[#This Row],[Cavidades]]*Tabla1[[#This Row],[Tiempo Ciclo]]/60/60</f>
        <v>14.200111111111109</v>
      </c>
      <c r="J303" s="1" t="s">
        <v>7</v>
      </c>
      <c r="K303" s="25"/>
      <c r="L303" s="25">
        <v>32756</v>
      </c>
      <c r="M303" s="25">
        <v>32973</v>
      </c>
      <c r="N303" s="25">
        <v>33210</v>
      </c>
      <c r="O303" s="20">
        <v>41</v>
      </c>
      <c r="P303" s="1">
        <f>Tabla1[[#This Row],[Noche]]-Tabla1[[#This Row],[Mañana ]]</f>
        <v>454</v>
      </c>
      <c r="Q303" s="58"/>
      <c r="R303" s="21">
        <f t="shared" si="7"/>
        <v>0</v>
      </c>
      <c r="S303" s="22">
        <f>Tabla1[[#This Row],[Merma Salas A &amp; B2]]*1000/Tabla1[[#This Row],[Peso gr.]]</f>
        <v>0</v>
      </c>
      <c r="T303" s="52">
        <v>40</v>
      </c>
      <c r="U303" s="24">
        <f>Tabla1[[#This Row],[Total piezas NOK]]/Tabla1[[#This Row],[Cant. Fabricada (uds)]]</f>
        <v>0</v>
      </c>
    </row>
    <row r="304" spans="1:22" x14ac:dyDescent="0.3">
      <c r="A304" s="43">
        <v>44532</v>
      </c>
      <c r="B304" s="20" t="s">
        <v>761</v>
      </c>
      <c r="C304" s="20" t="s">
        <v>657</v>
      </c>
      <c r="D304" s="13" t="str">
        <f>VLOOKUP(C:C,'LListat referències'!A:B,2,FALSE)</f>
        <v>Tapa simple 200ml baixa prima</v>
      </c>
      <c r="E304" s="18" t="str">
        <f>VLOOKUP(C:C,'LListat referències'!A:D,4,FALSE)</f>
        <v>#45</v>
      </c>
      <c r="F304" s="49">
        <f>VLOOKUP(C:C,'LListat referències'!A:E,5,FALSE)</f>
        <v>3.73</v>
      </c>
      <c r="G304" s="49">
        <v>37.909999999999997</v>
      </c>
      <c r="H304" s="49">
        <v>2</v>
      </c>
      <c r="I304" s="75">
        <f>Tabla1[[#This Row],[Cant. Fabricada (uds)]]/Tabla1[[#This Row],[Cavidades]]*Tabla1[[#This Row],[Tiempo Ciclo]]/60/60</f>
        <v>15.637874999999999</v>
      </c>
      <c r="J304" s="1" t="s">
        <v>764</v>
      </c>
      <c r="K304" s="25"/>
      <c r="L304" s="25">
        <v>6356</v>
      </c>
      <c r="M304" s="25">
        <v>7786</v>
      </c>
      <c r="N304" s="25">
        <v>9326</v>
      </c>
      <c r="O304" s="20">
        <v>19</v>
      </c>
      <c r="P304" s="1">
        <f>Tabla1[[#This Row],[Noche]]-Tabla1[[#This Row],[Mañana ]]</f>
        <v>2970</v>
      </c>
      <c r="Q304" s="58"/>
      <c r="R304" s="21">
        <f t="shared" si="7"/>
        <v>0</v>
      </c>
      <c r="S304" s="22">
        <f>Tabla1[[#This Row],[Merma Salas A &amp; B2]]*1000/Tabla1[[#This Row],[Peso gr.]]</f>
        <v>0</v>
      </c>
      <c r="T304" s="52"/>
      <c r="U304" s="24">
        <f>Tabla1[[#This Row],[Total piezas NOK]]/Tabla1[[#This Row],[Cant. Fabricada (uds)]]</f>
        <v>0</v>
      </c>
    </row>
    <row r="305" spans="1:22" x14ac:dyDescent="0.3">
      <c r="A305" s="43">
        <v>44532</v>
      </c>
      <c r="B305" s="20" t="s">
        <v>802</v>
      </c>
      <c r="C305" s="20" t="s">
        <v>615</v>
      </c>
      <c r="D305" s="13" t="str">
        <f>VLOOKUP(C:C,'LListat referències'!A:B,2,FALSE)</f>
        <v>Tarro 50ml Tinter Quadrat</v>
      </c>
      <c r="E305" s="18" t="str">
        <f>VLOOKUP(C:C,'LListat referències'!A:D,4,FALSE)</f>
        <v>T116</v>
      </c>
      <c r="F305" s="49">
        <f>VLOOKUP(C:C,'LListat referències'!A:E,5,FALSE)</f>
        <v>121.5</v>
      </c>
      <c r="G305" s="49">
        <v>126.1</v>
      </c>
      <c r="H305" s="49">
        <v>2</v>
      </c>
      <c r="I305" s="75">
        <f>Tabla1[[#This Row],[Cant. Fabricada (uds)]]/Tabla1[[#This Row],[Cavidades]]*Tabla1[[#This Row],[Tiempo Ciclo]]/60/60</f>
        <v>15.552333333333332</v>
      </c>
      <c r="J305" s="1" t="s">
        <v>8</v>
      </c>
      <c r="K305" s="25"/>
      <c r="L305" s="25">
        <v>24210</v>
      </c>
      <c r="M305" s="25">
        <v>24642</v>
      </c>
      <c r="N305" s="25">
        <v>25098</v>
      </c>
      <c r="O305" s="20">
        <v>30</v>
      </c>
      <c r="P305" s="1">
        <f>Tabla1[[#This Row],[Noche]]-Tabla1[[#This Row],[Mañana ]]</f>
        <v>888</v>
      </c>
      <c r="Q305" s="58"/>
      <c r="R305" s="21">
        <f t="shared" si="7"/>
        <v>0</v>
      </c>
      <c r="S305" s="22">
        <f>Tabla1[[#This Row],[Merma Salas A &amp; B2]]*1000/Tabla1[[#This Row],[Peso gr.]]</f>
        <v>0</v>
      </c>
      <c r="T305" s="52">
        <v>45</v>
      </c>
      <c r="U305" s="24">
        <f>Tabla1[[#This Row],[Total piezas NOK]]/Tabla1[[#This Row],[Cant. Fabricada (uds)]]</f>
        <v>0</v>
      </c>
    </row>
    <row r="306" spans="1:22" x14ac:dyDescent="0.3">
      <c r="A306" s="43">
        <v>44532</v>
      </c>
      <c r="B306" s="20" t="s">
        <v>920</v>
      </c>
      <c r="C306" s="20">
        <v>1879</v>
      </c>
      <c r="D306" s="13" t="str">
        <f>VLOOKUP(C:C,'LListat referències'!A:B,2,FALSE)</f>
        <v>Tapa tarro rectagular 50 ml</v>
      </c>
      <c r="E306" s="18" t="str">
        <f>VLOOKUP(C:C,'LListat referències'!A:D,4,FALSE)</f>
        <v>#23 (50 ml)</v>
      </c>
      <c r="F306" s="49">
        <f>VLOOKUP(C:C,'LListat referències'!A:E,5,FALSE)</f>
        <v>22.6</v>
      </c>
      <c r="G306" s="49">
        <v>73.69</v>
      </c>
      <c r="H306" s="49">
        <v>4</v>
      </c>
      <c r="I306" s="75">
        <f>Tabla1[[#This Row],[Cant. Fabricada (uds)]]/Tabla1[[#This Row],[Cavidades]]*Tabla1[[#This Row],[Tiempo Ciclo]]/60/60</f>
        <v>7.6555722222222213</v>
      </c>
      <c r="J306" s="1" t="s">
        <v>8</v>
      </c>
      <c r="K306" s="25"/>
      <c r="L306" s="25">
        <v>31438</v>
      </c>
      <c r="M306" s="25">
        <v>32156</v>
      </c>
      <c r="N306" s="25">
        <v>32934</v>
      </c>
      <c r="O306" s="20">
        <v>20</v>
      </c>
      <c r="P306" s="1">
        <f>Tabla1[[#This Row],[Noche]]-Tabla1[[#This Row],[Mañana ]]</f>
        <v>1496</v>
      </c>
      <c r="Q306" s="58">
        <v>2.5</v>
      </c>
      <c r="R306" s="21">
        <f t="shared" si="7"/>
        <v>2.5</v>
      </c>
      <c r="S306" s="22">
        <f>Tabla1[[#This Row],[Merma Salas A &amp; B2]]*1000/Tabla1[[#This Row],[Peso gr.]]</f>
        <v>110.61946902654867</v>
      </c>
      <c r="T306" s="52"/>
      <c r="U306" s="24">
        <f>Tabla1[[#This Row],[Total piezas NOK]]/Tabla1[[#This Row],[Cant. Fabricada (uds)]]</f>
        <v>7.3943495338602047E-2</v>
      </c>
    </row>
    <row r="307" spans="1:22" x14ac:dyDescent="0.3">
      <c r="A307" s="43">
        <v>44533</v>
      </c>
      <c r="B307" s="20" t="s">
        <v>884</v>
      </c>
      <c r="C307" s="20">
        <v>1861</v>
      </c>
      <c r="D307" s="13" t="str">
        <f>VLOOKUP(C:C,'LListat referències'!A:B,2,FALSE)</f>
        <v>Tarro 50ml Standard 8 unitats</v>
      </c>
      <c r="E307" s="18" t="str">
        <f>VLOOKUP(C:C,'LListat referències'!A:D,4,FALSE)</f>
        <v>T022</v>
      </c>
      <c r="F307" s="49">
        <f>VLOOKUP(C:C,'LListat referències'!A:E,5,FALSE)</f>
        <v>92</v>
      </c>
      <c r="G307" s="49">
        <v>148</v>
      </c>
      <c r="H307" s="49">
        <v>8</v>
      </c>
      <c r="I307" s="75">
        <f>Tabla1[[#This Row],[Cant. Fabricada (uds)]]/Tabla1[[#This Row],[Cavidades]]*Tabla1[[#This Row],[Tiempo Ciclo]]/60/60</f>
        <v>3.3916666666666666</v>
      </c>
      <c r="J307" s="1" t="s">
        <v>885</v>
      </c>
      <c r="K307" s="25"/>
      <c r="L307" s="25">
        <v>216</v>
      </c>
      <c r="M307" s="25">
        <v>876</v>
      </c>
      <c r="N307" s="25">
        <v>876</v>
      </c>
      <c r="O307" s="20">
        <v>40</v>
      </c>
      <c r="P307" s="1">
        <f>Tabla1[[#This Row],[Noche]]-Tabla1[[#This Row],[Mañana ]]</f>
        <v>660</v>
      </c>
      <c r="Q307" s="58"/>
      <c r="R307" s="21">
        <f t="shared" si="7"/>
        <v>0</v>
      </c>
      <c r="S307" s="22">
        <f>Tabla1[[#This Row],[Merma Salas A &amp; B2]]*1000/Tabla1[[#This Row],[Peso gr.]]</f>
        <v>0</v>
      </c>
      <c r="T307" s="52">
        <v>210</v>
      </c>
      <c r="U307" s="24">
        <f>Tabla1[[#This Row],[Total piezas NOK]]/Tabla1[[#This Row],[Cant. Fabricada (uds)]]</f>
        <v>0</v>
      </c>
      <c r="V307" s="19" t="s">
        <v>892</v>
      </c>
    </row>
    <row r="308" spans="1:22" x14ac:dyDescent="0.3">
      <c r="A308" s="43">
        <v>44533</v>
      </c>
      <c r="B308" s="20" t="s">
        <v>905</v>
      </c>
      <c r="C308" s="20" t="s">
        <v>644</v>
      </c>
      <c r="D308" s="13" t="str">
        <f>VLOOKUP(C:C,'LListat referències'!A:B,2,FALSE)</f>
        <v>Tarro 200ml Quadrat estret (Tapa Rodona)</v>
      </c>
      <c r="E308" s="18">
        <f>VLOOKUP(C:C,'LListat referències'!A:D,4,FALSE)</f>
        <v>0</v>
      </c>
      <c r="F308" s="49">
        <f>VLOOKUP(C:C,'LListat referències'!A:E,5,FALSE)</f>
        <v>220.84</v>
      </c>
      <c r="G308" s="49">
        <v>112.6</v>
      </c>
      <c r="H308" s="49">
        <v>1</v>
      </c>
      <c r="I308" s="75">
        <f>Tabla1[[#This Row],[Cant. Fabricada (uds)]]/Tabla1[[#This Row],[Cavidades]]*Tabla1[[#This Row],[Tiempo Ciclo]]/60/60</f>
        <v>12.542388888888889</v>
      </c>
      <c r="J308" s="1" t="s">
        <v>7</v>
      </c>
      <c r="K308" s="25"/>
      <c r="L308" s="25">
        <v>33424</v>
      </c>
      <c r="M308" s="25">
        <v>33630</v>
      </c>
      <c r="N308" s="25">
        <v>33825</v>
      </c>
      <c r="O308" s="20">
        <v>41</v>
      </c>
      <c r="P308" s="1">
        <f>Tabla1[[#This Row],[Noche]]-Tabla1[[#This Row],[Mañana ]]</f>
        <v>401</v>
      </c>
      <c r="Q308" s="58"/>
      <c r="R308" s="21">
        <f t="shared" si="7"/>
        <v>0</v>
      </c>
      <c r="S308" s="22">
        <f>Tabla1[[#This Row],[Merma Salas A &amp; B2]]*1000/Tabla1[[#This Row],[Peso gr.]]</f>
        <v>0</v>
      </c>
      <c r="T308" s="52"/>
      <c r="U308" s="24">
        <f>Tabla1[[#This Row],[Total piezas NOK]]/Tabla1[[#This Row],[Cant. Fabricada (uds)]]</f>
        <v>0</v>
      </c>
    </row>
    <row r="309" spans="1:22" x14ac:dyDescent="0.3">
      <c r="A309" s="43">
        <v>44533</v>
      </c>
      <c r="B309" s="20" t="s">
        <v>761</v>
      </c>
      <c r="C309" s="20" t="s">
        <v>657</v>
      </c>
      <c r="D309" s="13" t="str">
        <f>VLOOKUP(C:C,'LListat referències'!A:B,2,FALSE)</f>
        <v>Tapa simple 200ml baixa prima</v>
      </c>
      <c r="E309" s="18" t="str">
        <f>VLOOKUP(C:C,'LListat referències'!A:D,4,FALSE)</f>
        <v>#45</v>
      </c>
      <c r="F309" s="49">
        <f>VLOOKUP(C:C,'LListat referències'!A:E,5,FALSE)</f>
        <v>3.73</v>
      </c>
      <c r="G309" s="49">
        <v>37.909999999999997</v>
      </c>
      <c r="H309" s="49">
        <v>2</v>
      </c>
      <c r="I309" s="75">
        <f>Tabla1[[#This Row],[Cant. Fabricada (uds)]]/Tabla1[[#This Row],[Cavidades]]*Tabla1[[#This Row],[Tiempo Ciclo]]/60/60</f>
        <v>4.4965472222222216</v>
      </c>
      <c r="J309" s="1" t="s">
        <v>764</v>
      </c>
      <c r="K309" s="25"/>
      <c r="L309" s="25">
        <v>10986</v>
      </c>
      <c r="M309" s="25">
        <v>11840</v>
      </c>
      <c r="N309" s="25">
        <v>11840</v>
      </c>
      <c r="O309" s="20">
        <v>19</v>
      </c>
      <c r="P309" s="1">
        <f>Tabla1[[#This Row],[Noche]]-Tabla1[[#This Row],[Mañana ]]</f>
        <v>854</v>
      </c>
      <c r="Q309" s="58"/>
      <c r="R309" s="21">
        <f t="shared" si="7"/>
        <v>0</v>
      </c>
      <c r="S309" s="22">
        <f>Tabla1[[#This Row],[Merma Salas A &amp; B2]]*1000/Tabla1[[#This Row],[Peso gr.]]</f>
        <v>0</v>
      </c>
      <c r="T309" s="52"/>
      <c r="U309" s="24">
        <f>Tabla1[[#This Row],[Total piezas NOK]]/Tabla1[[#This Row],[Cant. Fabricada (uds)]]</f>
        <v>0</v>
      </c>
    </row>
    <row r="310" spans="1:22" x14ac:dyDescent="0.3">
      <c r="A310" s="43">
        <v>44533</v>
      </c>
      <c r="B310" s="20" t="s">
        <v>871</v>
      </c>
      <c r="C310" s="20" t="s">
        <v>615</v>
      </c>
      <c r="D310" s="13" t="str">
        <f>VLOOKUP(C:C,'LListat referències'!A:B,2,FALSE)</f>
        <v>Tarro 50ml Tinter Quadrat</v>
      </c>
      <c r="E310" s="18" t="str">
        <f>VLOOKUP(C:C,'LListat referències'!A:D,4,FALSE)</f>
        <v>T116</v>
      </c>
      <c r="F310" s="49">
        <f>VLOOKUP(C:C,'LListat referències'!A:E,5,FALSE)</f>
        <v>121.5</v>
      </c>
      <c r="G310" s="49">
        <v>126.1</v>
      </c>
      <c r="H310" s="49">
        <v>2</v>
      </c>
      <c r="I310" s="75">
        <f>Tabla1[[#This Row],[Cant. Fabricada (uds)]]/Tabla1[[#This Row],[Cavidades]]*Tabla1[[#This Row],[Tiempo Ciclo]]/60/60</f>
        <v>13.450666666666665</v>
      </c>
      <c r="J310" s="1" t="s">
        <v>8</v>
      </c>
      <c r="K310" s="25"/>
      <c r="L310" s="25">
        <v>25602</v>
      </c>
      <c r="M310" s="25">
        <v>25996</v>
      </c>
      <c r="N310" s="25">
        <v>26370</v>
      </c>
      <c r="O310" s="20">
        <v>30</v>
      </c>
      <c r="P310" s="1">
        <f>Tabla1[[#This Row],[Noche]]-Tabla1[[#This Row],[Mañana ]]</f>
        <v>768</v>
      </c>
      <c r="Q310" s="58"/>
      <c r="R310" s="21">
        <f t="shared" si="7"/>
        <v>0</v>
      </c>
      <c r="S310" s="22">
        <f>Tabla1[[#This Row],[Merma Salas A &amp; B2]]*1000/Tabla1[[#This Row],[Peso gr.]]</f>
        <v>0</v>
      </c>
      <c r="T310" s="52">
        <v>65</v>
      </c>
      <c r="U310" s="24">
        <f>Tabla1[[#This Row],[Total piezas NOK]]/Tabla1[[#This Row],[Cant. Fabricada (uds)]]</f>
        <v>0</v>
      </c>
    </row>
    <row r="311" spans="1:22" x14ac:dyDescent="0.3">
      <c r="A311" s="43">
        <v>44533</v>
      </c>
      <c r="B311" s="20" t="s">
        <v>839</v>
      </c>
      <c r="C311" s="20" t="s">
        <v>10</v>
      </c>
      <c r="D311" s="13" t="str">
        <f>VLOOKUP(C:C,'LListat referències'!A:B,2,FALSE)</f>
        <v xml:space="preserve">Tapa 100 ml prima </v>
      </c>
      <c r="E311" s="18" t="str">
        <f>VLOOKUP(C:C,'LListat referències'!A:D,4,FALSE)</f>
        <v>#26(100 ml)</v>
      </c>
      <c r="F311" s="49">
        <f>VLOOKUP(C:C,'LListat referències'!A:E,5,FALSE)</f>
        <v>30.3</v>
      </c>
      <c r="G311" s="49">
        <v>66.400000000000006</v>
      </c>
      <c r="H311" s="49">
        <v>4</v>
      </c>
      <c r="I311" s="75">
        <f>Tabla1[[#This Row],[Cant. Fabricada (uds)]]/Tabla1[[#This Row],[Cavidades]]*Tabla1[[#This Row],[Tiempo Ciclo]]/60/60</f>
        <v>10.956000000000001</v>
      </c>
      <c r="J311" s="1" t="s">
        <v>15</v>
      </c>
      <c r="K311" s="25"/>
      <c r="L311" s="25">
        <v>22257</v>
      </c>
      <c r="M311" s="25">
        <v>23610</v>
      </c>
      <c r="N311" s="25">
        <v>24633</v>
      </c>
      <c r="O311" s="20">
        <v>38</v>
      </c>
      <c r="P311" s="1">
        <f>Tabla1[[#This Row],[Noche]]-Tabla1[[#This Row],[Mañana ]]</f>
        <v>2376</v>
      </c>
      <c r="Q311" s="58"/>
      <c r="R311" s="21">
        <f t="shared" si="7"/>
        <v>0</v>
      </c>
      <c r="S311" s="22">
        <f>Tabla1[[#This Row],[Merma Salas A &amp; B2]]*1000/Tabla1[[#This Row],[Peso gr.]]</f>
        <v>0</v>
      </c>
      <c r="T311" s="52"/>
      <c r="U311" s="24">
        <f>Tabla1[[#This Row],[Total piezas NOK]]/Tabla1[[#This Row],[Cant. Fabricada (uds)]]</f>
        <v>0</v>
      </c>
    </row>
    <row r="312" spans="1:22" x14ac:dyDescent="0.3">
      <c r="A312" s="43">
        <v>44533</v>
      </c>
      <c r="B312" s="20" t="s">
        <v>925</v>
      </c>
      <c r="C312" s="20">
        <v>1879</v>
      </c>
      <c r="D312" s="13" t="str">
        <f>VLOOKUP(C:C,'LListat referències'!A:B,2,FALSE)</f>
        <v>Tapa tarro rectagular 50 ml</v>
      </c>
      <c r="E312" s="18" t="str">
        <f>VLOOKUP(C:C,'LListat referències'!A:D,4,FALSE)</f>
        <v>#23 (50 ml)</v>
      </c>
      <c r="F312" s="49">
        <f>VLOOKUP(C:C,'LListat referències'!A:E,5,FALSE)</f>
        <v>22.6</v>
      </c>
      <c r="G312" s="49">
        <v>73.69</v>
      </c>
      <c r="H312" s="49">
        <v>4</v>
      </c>
      <c r="I312" s="75">
        <f>Tabla1[[#This Row],[Cant. Fabricada (uds)]]/Tabla1[[#This Row],[Cavidades]]*Tabla1[[#This Row],[Tiempo Ciclo]]/60/60</f>
        <v>5.1173611111111107E-3</v>
      </c>
      <c r="J312" s="1" t="s">
        <v>8</v>
      </c>
      <c r="K312" s="25"/>
      <c r="L312" s="25">
        <v>33644</v>
      </c>
      <c r="M312" s="25">
        <v>33644</v>
      </c>
      <c r="N312" s="25">
        <v>33645</v>
      </c>
      <c r="O312" s="20">
        <v>20</v>
      </c>
      <c r="P312" s="1">
        <f>Tabla1[[#This Row],[Noche]]-Tabla1[[#This Row],[Mañana ]]</f>
        <v>1</v>
      </c>
      <c r="Q312" s="58"/>
      <c r="R312" s="21">
        <f t="shared" si="7"/>
        <v>0</v>
      </c>
      <c r="S312" s="22">
        <f>Tabla1[[#This Row],[Merma Salas A &amp; B2]]*1000/Tabla1[[#This Row],[Peso gr.]]</f>
        <v>0</v>
      </c>
      <c r="T312" s="52"/>
      <c r="U312" s="24">
        <f>Tabla1[[#This Row],[Total piezas NOK]]/Tabla1[[#This Row],[Cant. Fabricada (uds)]]</f>
        <v>0</v>
      </c>
    </row>
    <row r="313" spans="1:22" x14ac:dyDescent="0.3">
      <c r="A313" s="43">
        <v>44538</v>
      </c>
      <c r="B313" s="20" t="s">
        <v>884</v>
      </c>
      <c r="C313" s="20">
        <v>1861</v>
      </c>
      <c r="D313" s="13" t="str">
        <f>VLOOKUP(C:C,'LListat referències'!A:B,2,FALSE)</f>
        <v>Tarro 50ml Standard 8 unitats</v>
      </c>
      <c r="E313" s="18" t="str">
        <f>VLOOKUP(C:C,'LListat referències'!A:D,4,FALSE)</f>
        <v>T022</v>
      </c>
      <c r="F313" s="49">
        <f>VLOOKUP(C:C,'LListat referències'!A:E,5,FALSE)</f>
        <v>92</v>
      </c>
      <c r="G313" s="49">
        <v>148</v>
      </c>
      <c r="H313" s="49">
        <v>8</v>
      </c>
      <c r="I313" s="75">
        <f>Tabla1[[#This Row],[Cant. Fabricada (uds)]]/Tabla1[[#This Row],[Cavidades]]*Tabla1[[#This Row],[Tiempo Ciclo]]/60/60</f>
        <v>6.5983333333333327</v>
      </c>
      <c r="J313" s="1" t="s">
        <v>885</v>
      </c>
      <c r="K313" s="25"/>
      <c r="L313" s="25">
        <v>1278</v>
      </c>
      <c r="M313" s="25">
        <v>1662</v>
      </c>
      <c r="N313" s="25">
        <v>2562</v>
      </c>
      <c r="O313" s="20">
        <v>40</v>
      </c>
      <c r="P313" s="1">
        <f>Tabla1[[#This Row],[Noche]]-Tabla1[[#This Row],[Mañana ]]</f>
        <v>1284</v>
      </c>
      <c r="Q313" s="58"/>
      <c r="R313" s="21">
        <f t="shared" si="7"/>
        <v>0</v>
      </c>
      <c r="S313" s="22">
        <f>Tabla1[[#This Row],[Merma Salas A &amp; B2]]*1000/Tabla1[[#This Row],[Peso gr.]]</f>
        <v>0</v>
      </c>
      <c r="T313" s="52">
        <v>150</v>
      </c>
      <c r="U313" s="24">
        <f>Tabla1[[#This Row],[Total piezas NOK]]/Tabla1[[#This Row],[Cant. Fabricada (uds)]]</f>
        <v>0</v>
      </c>
      <c r="V313" s="19" t="s">
        <v>892</v>
      </c>
    </row>
    <row r="314" spans="1:22" x14ac:dyDescent="0.3">
      <c r="A314" s="43">
        <v>44538</v>
      </c>
      <c r="B314" s="20" t="s">
        <v>899</v>
      </c>
      <c r="C314" s="20" t="s">
        <v>478</v>
      </c>
      <c r="D314" s="13" t="str">
        <f>VLOOKUP(C:C,'LListat referències'!A:B,2,FALSE)</f>
        <v xml:space="preserve">Tarro 50 ml labiomar </v>
      </c>
      <c r="E314" s="18" t="str">
        <f>VLOOKUP(C:C,'LListat referències'!A:D,4,FALSE)</f>
        <v>T079</v>
      </c>
      <c r="F314" s="49">
        <f>VLOOKUP(C:C,'LListat referències'!A:E,5,FALSE)</f>
        <v>82.7</v>
      </c>
      <c r="G314" s="49">
        <v>103.83</v>
      </c>
      <c r="H314" s="49">
        <v>4</v>
      </c>
      <c r="I314" s="75">
        <f>Tabla1[[#This Row],[Cant. Fabricada (uds)]]/Tabla1[[#This Row],[Cavidades]]*Tabla1[[#This Row],[Tiempo Ciclo]]/60/60</f>
        <v>11.334775</v>
      </c>
      <c r="J314" s="1" t="s">
        <v>8</v>
      </c>
      <c r="K314" s="25"/>
      <c r="L314" s="25">
        <v>20256</v>
      </c>
      <c r="M314" s="25">
        <v>20982</v>
      </c>
      <c r="N314" s="25">
        <v>21828</v>
      </c>
      <c r="O314" s="20">
        <v>44</v>
      </c>
      <c r="P314" s="1">
        <f>Tabla1[[#This Row],[Noche]]-Tabla1[[#This Row],[Mañana ]]</f>
        <v>1572</v>
      </c>
      <c r="Q314" s="58"/>
      <c r="R314" s="21">
        <f t="shared" si="7"/>
        <v>0</v>
      </c>
      <c r="S314" s="22">
        <f>Tabla1[[#This Row],[Merma Salas A &amp; B2]]*1000/Tabla1[[#This Row],[Peso gr.]]</f>
        <v>0</v>
      </c>
      <c r="T314" s="52">
        <v>25</v>
      </c>
      <c r="U314" s="24">
        <f>Tabla1[[#This Row],[Total piezas NOK]]/Tabla1[[#This Row],[Cant. Fabricada (uds)]]</f>
        <v>0</v>
      </c>
      <c r="V314" s="19" t="s">
        <v>900</v>
      </c>
    </row>
    <row r="315" spans="1:22" x14ac:dyDescent="0.3">
      <c r="A315" s="43">
        <v>44538</v>
      </c>
      <c r="B315" s="20" t="s">
        <v>906</v>
      </c>
      <c r="C315" s="20" t="s">
        <v>644</v>
      </c>
      <c r="D315" s="13" t="str">
        <f>VLOOKUP(C:C,'LListat referències'!A:B,2,FALSE)</f>
        <v>Tarro 200ml Quadrat estret (Tapa Rodona)</v>
      </c>
      <c r="E315" s="18">
        <f>VLOOKUP(C:C,'LListat referències'!A:D,4,FALSE)</f>
        <v>0</v>
      </c>
      <c r="F315" s="49">
        <f>VLOOKUP(C:C,'LListat referències'!A:E,5,FALSE)</f>
        <v>220.84</v>
      </c>
      <c r="G315" s="49">
        <v>112.6</v>
      </c>
      <c r="H315" s="49">
        <v>1</v>
      </c>
      <c r="I315" s="75">
        <f>Tabla1[[#This Row],[Cant. Fabricada (uds)]]/Tabla1[[#This Row],[Cavidades]]*Tabla1[[#This Row],[Tiempo Ciclo]]/60/60</f>
        <v>0</v>
      </c>
      <c r="J315" s="1" t="s">
        <v>7</v>
      </c>
      <c r="K315" s="25"/>
      <c r="L315" s="25"/>
      <c r="M315" s="25"/>
      <c r="N315" s="25"/>
      <c r="O315" s="20">
        <v>41</v>
      </c>
      <c r="P315" s="1">
        <f>Tabla1[[#This Row],[Noche]]-Tabla1[[#This Row],[Mañana ]]</f>
        <v>0</v>
      </c>
      <c r="Q315" s="58"/>
      <c r="R315" s="21">
        <f t="shared" si="7"/>
        <v>0</v>
      </c>
      <c r="S315" s="22">
        <f>Tabla1[[#This Row],[Merma Salas A &amp; B2]]*1000/Tabla1[[#This Row],[Peso gr.]]</f>
        <v>0</v>
      </c>
      <c r="T315" s="52">
        <v>20</v>
      </c>
      <c r="U315" s="24" t="s">
        <v>842</v>
      </c>
    </row>
    <row r="316" spans="1:22" x14ac:dyDescent="0.3">
      <c r="A316" s="43">
        <v>44538</v>
      </c>
      <c r="B316" s="20" t="s">
        <v>910</v>
      </c>
      <c r="C316" s="20">
        <v>1936</v>
      </c>
      <c r="D316" s="13" t="str">
        <f>VLOOKUP(C:C,'LListat referències'!A:B,2,FALSE)</f>
        <v>Cubilet 200 ml.</v>
      </c>
      <c r="E316" s="18" t="str">
        <f>VLOOKUP(C:C,'LListat referències'!A:D,4,FALSE)</f>
        <v/>
      </c>
      <c r="F316" s="49">
        <f>VLOOKUP(C:C,'LListat referències'!A:E,5,FALSE)</f>
        <v>14.18</v>
      </c>
      <c r="G316" s="49">
        <v>26.58</v>
      </c>
      <c r="H316" s="49">
        <v>2</v>
      </c>
      <c r="I316" s="75">
        <f>Tabla1[[#This Row],[Cant. Fabricada (uds)]]/Tabla1[[#This Row],[Cavidades]]*Tabla1[[#This Row],[Tiempo Ciclo]]/60/60</f>
        <v>4.3118666666666661</v>
      </c>
      <c r="J316" s="1" t="s">
        <v>797</v>
      </c>
      <c r="K316" s="25"/>
      <c r="L316" s="25">
        <v>624</v>
      </c>
      <c r="M316" s="25">
        <v>1127</v>
      </c>
      <c r="N316" s="25">
        <v>1792</v>
      </c>
      <c r="O316" s="20">
        <v>17</v>
      </c>
      <c r="P316" s="1">
        <f>Tabla1[[#This Row],[Noche]]-Tabla1[[#This Row],[Mañana ]]</f>
        <v>1168</v>
      </c>
      <c r="Q316" s="58"/>
      <c r="R316" s="21">
        <f t="shared" si="7"/>
        <v>0</v>
      </c>
      <c r="S316" s="22">
        <f>Tabla1[[#This Row],[Merma Salas A &amp; B2]]*1000/Tabla1[[#This Row],[Peso gr.]]</f>
        <v>0</v>
      </c>
      <c r="T316" s="52"/>
      <c r="U316" s="24">
        <f>Tabla1[[#This Row],[Total piezas NOK]]/Tabla1[[#This Row],[Cant. Fabricada (uds)]]</f>
        <v>0</v>
      </c>
    </row>
    <row r="317" spans="1:22" x14ac:dyDescent="0.3">
      <c r="A317" s="43">
        <v>44538</v>
      </c>
      <c r="B317" s="20" t="s">
        <v>911</v>
      </c>
      <c r="C317" s="20">
        <v>1936</v>
      </c>
      <c r="D317" s="13" t="str">
        <f>VLOOKUP(C:C,'LListat referències'!A:B,2,FALSE)</f>
        <v>Cubilet 200 ml.</v>
      </c>
      <c r="E317" s="18" t="str">
        <f>VLOOKUP(C:C,'LListat referències'!A:D,4,FALSE)</f>
        <v/>
      </c>
      <c r="F317" s="49">
        <f>VLOOKUP(C:C,'LListat referències'!A:E,5,FALSE)</f>
        <v>14.18</v>
      </c>
      <c r="G317" s="49">
        <v>26.58</v>
      </c>
      <c r="H317" s="49">
        <v>2</v>
      </c>
      <c r="I317" s="75">
        <f>Tabla1[[#This Row],[Cant. Fabricada (uds)]]/Tabla1[[#This Row],[Cavidades]]*Tabla1[[#This Row],[Tiempo Ciclo]]/60/60</f>
        <v>2.4881833333333332</v>
      </c>
      <c r="J317" s="1" t="s">
        <v>797</v>
      </c>
      <c r="K317" s="25"/>
      <c r="L317" s="25">
        <v>0</v>
      </c>
      <c r="M317" s="25"/>
      <c r="N317" s="25">
        <v>674</v>
      </c>
      <c r="O317" s="20">
        <v>17</v>
      </c>
      <c r="P317" s="1">
        <f>Tabla1[[#This Row],[Noche]]-Tabla1[[#This Row],[Mañana ]]</f>
        <v>674</v>
      </c>
      <c r="Q317" s="58"/>
      <c r="R317" s="21">
        <f t="shared" si="7"/>
        <v>0</v>
      </c>
      <c r="S317" s="22">
        <f>Tabla1[[#This Row],[Merma Salas A &amp; B2]]*1000/Tabla1[[#This Row],[Peso gr.]]</f>
        <v>0</v>
      </c>
      <c r="T317" s="52"/>
      <c r="U317" s="24">
        <f>Tabla1[[#This Row],[Total piezas NOK]]/Tabla1[[#This Row],[Cant. Fabricada (uds)]]</f>
        <v>0</v>
      </c>
    </row>
    <row r="318" spans="1:22" x14ac:dyDescent="0.3">
      <c r="A318" s="43">
        <v>44538</v>
      </c>
      <c r="B318" s="20" t="s">
        <v>805</v>
      </c>
      <c r="C318" s="20" t="s">
        <v>615</v>
      </c>
      <c r="D318" s="13" t="str">
        <f>VLOOKUP(C:C,'LListat referències'!A:B,2,FALSE)</f>
        <v>Tarro 50ml Tinter Quadrat</v>
      </c>
      <c r="E318" s="18" t="str">
        <f>VLOOKUP(C:C,'LListat referències'!A:D,4,FALSE)</f>
        <v>T116</v>
      </c>
      <c r="F318" s="49">
        <f>VLOOKUP(C:C,'LListat referències'!A:E,5,FALSE)</f>
        <v>121.5</v>
      </c>
      <c r="G318" s="49">
        <v>126.1</v>
      </c>
      <c r="H318" s="49">
        <v>2</v>
      </c>
      <c r="I318" s="75">
        <f>Tabla1[[#This Row],[Cant. Fabricada (uds)]]/Tabla1[[#This Row],[Cavidades]]*Tabla1[[#This Row],[Tiempo Ciclo]]/60/60</f>
        <v>14.676638888888887</v>
      </c>
      <c r="J318" s="1" t="s">
        <v>8</v>
      </c>
      <c r="K318" s="25"/>
      <c r="L318" s="25">
        <v>26770</v>
      </c>
      <c r="M318" s="25">
        <v>27152</v>
      </c>
      <c r="N318" s="25">
        <v>27608</v>
      </c>
      <c r="O318" s="20">
        <v>30</v>
      </c>
      <c r="P318" s="1">
        <f>Tabla1[[#This Row],[Noche]]-Tabla1[[#This Row],[Mañana ]]</f>
        <v>838</v>
      </c>
      <c r="Q318" s="58"/>
      <c r="R318" s="21">
        <f t="shared" si="7"/>
        <v>0</v>
      </c>
      <c r="S318" s="22">
        <f>Tabla1[[#This Row],[Merma Salas A &amp; B2]]*1000/Tabla1[[#This Row],[Peso gr.]]</f>
        <v>0</v>
      </c>
      <c r="T318" s="52">
        <v>80</v>
      </c>
      <c r="U318" s="24">
        <f>Tabla1[[#This Row],[Total piezas NOK]]/Tabla1[[#This Row],[Cant. Fabricada (uds)]]</f>
        <v>0</v>
      </c>
      <c r="V318" s="19" t="s">
        <v>921</v>
      </c>
    </row>
    <row r="319" spans="1:22" x14ac:dyDescent="0.3">
      <c r="A319" s="43">
        <v>44538</v>
      </c>
      <c r="B319" s="20" t="s">
        <v>839</v>
      </c>
      <c r="C319" s="20" t="s">
        <v>10</v>
      </c>
      <c r="D319" s="13" t="str">
        <f>VLOOKUP(C:C,'LListat referències'!A:B,2,FALSE)</f>
        <v xml:space="preserve">Tapa 100 ml prima </v>
      </c>
      <c r="E319" s="18" t="str">
        <f>VLOOKUP(C:C,'LListat referències'!A:D,4,FALSE)</f>
        <v>#26(100 ml)</v>
      </c>
      <c r="F319" s="49">
        <f>VLOOKUP(C:C,'LListat referències'!A:E,5,FALSE)</f>
        <v>30.3</v>
      </c>
      <c r="G319" s="49">
        <v>66.400000000000006</v>
      </c>
      <c r="H319" s="49">
        <v>4</v>
      </c>
      <c r="I319" s="75">
        <f>Tabla1[[#This Row],[Cant. Fabricada (uds)]]/Tabla1[[#This Row],[Cavidades]]*Tabla1[[#This Row],[Tiempo Ciclo]]/60/60</f>
        <v>9.3651666666666689</v>
      </c>
      <c r="J319" s="1" t="s">
        <v>15</v>
      </c>
      <c r="K319" s="25"/>
      <c r="L319" s="25">
        <v>25800</v>
      </c>
      <c r="M319" s="25">
        <v>26853</v>
      </c>
      <c r="N319" s="25">
        <v>27831</v>
      </c>
      <c r="O319" s="20">
        <v>38</v>
      </c>
      <c r="P319" s="1">
        <f>Tabla1[[#This Row],[Noche]]-Tabla1[[#This Row],[Mañana ]]</f>
        <v>2031</v>
      </c>
      <c r="Q319" s="58"/>
      <c r="R319" s="21">
        <f t="shared" si="7"/>
        <v>0</v>
      </c>
      <c r="S319" s="22">
        <f>Tabla1[[#This Row],[Merma Salas A &amp; B2]]*1000/Tabla1[[#This Row],[Peso gr.]]</f>
        <v>0</v>
      </c>
      <c r="T319" s="52"/>
      <c r="U319" s="24">
        <f>Tabla1[[#This Row],[Total piezas NOK]]/Tabla1[[#This Row],[Cant. Fabricada (uds)]]</f>
        <v>0</v>
      </c>
    </row>
    <row r="320" spans="1:22" x14ac:dyDescent="0.3">
      <c r="A320" s="43">
        <v>44539</v>
      </c>
      <c r="B320" s="20" t="s">
        <v>884</v>
      </c>
      <c r="C320" s="20">
        <v>1861</v>
      </c>
      <c r="D320" s="13" t="str">
        <f>VLOOKUP(C:C,'LListat referències'!A:B,2,FALSE)</f>
        <v>Tarro 50ml Standard 8 unitats</v>
      </c>
      <c r="E320" s="18" t="str">
        <f>VLOOKUP(C:C,'LListat referències'!A:D,4,FALSE)</f>
        <v>T022</v>
      </c>
      <c r="F320" s="49">
        <f>VLOOKUP(C:C,'LListat referències'!A:E,5,FALSE)</f>
        <v>92</v>
      </c>
      <c r="G320" s="49">
        <v>148</v>
      </c>
      <c r="H320" s="49">
        <v>8</v>
      </c>
      <c r="I320" s="75">
        <f>Tabla1[[#This Row],[Cant. Fabricada (uds)]]/Tabla1[[#This Row],[Cavidades]]*Tabla1[[#This Row],[Tiempo Ciclo]]/60/60</f>
        <v>3.967222222222222</v>
      </c>
      <c r="J320" s="1" t="s">
        <v>885</v>
      </c>
      <c r="K320" s="25"/>
      <c r="L320" s="25">
        <v>2562</v>
      </c>
      <c r="M320" s="25">
        <v>3334</v>
      </c>
      <c r="N320" s="25">
        <v>3334</v>
      </c>
      <c r="O320" s="20">
        <v>40</v>
      </c>
      <c r="P320" s="1">
        <f>Tabla1[[#This Row],[Noche]]-Tabla1[[#This Row],[Mañana ]]</f>
        <v>772</v>
      </c>
      <c r="Q320" s="58"/>
      <c r="R320" s="21">
        <f t="shared" si="7"/>
        <v>0</v>
      </c>
      <c r="S320" s="22">
        <f>Tabla1[[#This Row],[Merma Salas A &amp; B2]]*1000/Tabla1[[#This Row],[Peso gr.]]</f>
        <v>0</v>
      </c>
      <c r="T320" s="52">
        <v>45</v>
      </c>
      <c r="U320" s="24">
        <f>Tabla1[[#This Row],[Total piezas NOK]]/Tabla1[[#This Row],[Cant. Fabricada (uds)]]</f>
        <v>0</v>
      </c>
      <c r="V320" s="19" t="s">
        <v>892</v>
      </c>
    </row>
    <row r="321" spans="1:22" x14ac:dyDescent="0.3">
      <c r="A321" s="43">
        <v>44539</v>
      </c>
      <c r="B321" s="20" t="s">
        <v>899</v>
      </c>
      <c r="C321" s="20" t="s">
        <v>478</v>
      </c>
      <c r="D321" s="13" t="str">
        <f>VLOOKUP(C:C,'LListat referències'!A:B,2,FALSE)</f>
        <v xml:space="preserve">Tarro 50 ml labiomar </v>
      </c>
      <c r="E321" s="18" t="str">
        <f>VLOOKUP(C:C,'LListat referències'!A:D,4,FALSE)</f>
        <v>T079</v>
      </c>
      <c r="F321" s="49">
        <f>VLOOKUP(C:C,'LListat referències'!A:E,5,FALSE)</f>
        <v>82.7</v>
      </c>
      <c r="G321" s="49">
        <v>103.83</v>
      </c>
      <c r="H321" s="49">
        <v>4</v>
      </c>
      <c r="I321" s="75">
        <f>Tabla1[[#This Row],[Cant. Fabricada (uds)]]/Tabla1[[#This Row],[Cavidades]]*Tabla1[[#This Row],[Tiempo Ciclo]]/60/60</f>
        <v>11.615981250000001</v>
      </c>
      <c r="J321" s="1" t="s">
        <v>8</v>
      </c>
      <c r="K321" s="25"/>
      <c r="L321" s="25">
        <v>22668</v>
      </c>
      <c r="M321" s="25">
        <v>23436</v>
      </c>
      <c r="N321" s="25">
        <v>24279</v>
      </c>
      <c r="O321" s="20">
        <v>44</v>
      </c>
      <c r="P321" s="1">
        <f>Tabla1[[#This Row],[Noche]]-Tabla1[[#This Row],[Mañana ]]</f>
        <v>1611</v>
      </c>
      <c r="Q321" s="58"/>
      <c r="R321" s="21">
        <f t="shared" si="7"/>
        <v>0</v>
      </c>
      <c r="S321" s="22">
        <f>Tabla1[[#This Row],[Merma Salas A &amp; B2]]*1000/Tabla1[[#This Row],[Peso gr.]]</f>
        <v>0</v>
      </c>
      <c r="T321" s="52">
        <v>35</v>
      </c>
      <c r="U321" s="24">
        <f>Tabla1[[#This Row],[Total piezas NOK]]/Tabla1[[#This Row],[Cant. Fabricada (uds)]]</f>
        <v>0</v>
      </c>
      <c r="V321" s="19" t="s">
        <v>900</v>
      </c>
    </row>
    <row r="322" spans="1:22" x14ac:dyDescent="0.3">
      <c r="A322" s="43">
        <v>44539</v>
      </c>
      <c r="B322" s="20" t="s">
        <v>907</v>
      </c>
      <c r="C322" s="20" t="s">
        <v>644</v>
      </c>
      <c r="D322" s="13" t="str">
        <f>VLOOKUP(C:C,'LListat referències'!A:B,2,FALSE)</f>
        <v>Tarro 200ml Quadrat estret (Tapa Rodona)</v>
      </c>
      <c r="E322" s="18">
        <f>VLOOKUP(C:C,'LListat referències'!A:D,4,FALSE)</f>
        <v>0</v>
      </c>
      <c r="F322" s="49">
        <f>VLOOKUP(C:C,'LListat referències'!A:E,5,FALSE)</f>
        <v>220.84</v>
      </c>
      <c r="G322" s="49">
        <v>112.6</v>
      </c>
      <c r="H322" s="49">
        <v>1</v>
      </c>
      <c r="I322" s="75">
        <f>Tabla1[[#This Row],[Cant. Fabricada (uds)]]/Tabla1[[#This Row],[Cavidades]]*Tabla1[[#This Row],[Tiempo Ciclo]]/60/60</f>
        <v>15.982944444444446</v>
      </c>
      <c r="J322" s="1" t="s">
        <v>8</v>
      </c>
      <c r="K322" s="25"/>
      <c r="L322" s="25">
        <v>153</v>
      </c>
      <c r="M322" s="25">
        <v>405</v>
      </c>
      <c r="N322" s="25">
        <v>664</v>
      </c>
      <c r="O322" s="20">
        <v>41</v>
      </c>
      <c r="P322" s="1">
        <f>Tabla1[[#This Row],[Noche]]-Tabla1[[#This Row],[Mañana ]]</f>
        <v>511</v>
      </c>
      <c r="Q322" s="58"/>
      <c r="R322" s="21">
        <f t="shared" si="7"/>
        <v>0</v>
      </c>
      <c r="S322" s="22">
        <f>Tabla1[[#This Row],[Merma Salas A &amp; B2]]*1000/Tabla1[[#This Row],[Peso gr.]]</f>
        <v>0</v>
      </c>
      <c r="T322" s="52">
        <v>100</v>
      </c>
      <c r="U322" s="24">
        <f>Tabla1[[#This Row],[Total piezas NOK]]/Tabla1[[#This Row],[Cant. Fabricada (uds)]]</f>
        <v>0</v>
      </c>
      <c r="V322" s="19" t="s">
        <v>908</v>
      </c>
    </row>
    <row r="323" spans="1:22" x14ac:dyDescent="0.3">
      <c r="A323" s="43">
        <v>44539</v>
      </c>
      <c r="B323" s="20" t="s">
        <v>911</v>
      </c>
      <c r="C323" s="20">
        <v>1936</v>
      </c>
      <c r="D323" s="13" t="str">
        <f>VLOOKUP(C:C,'LListat referències'!A:B,2,FALSE)</f>
        <v>Cubilet 200 ml.</v>
      </c>
      <c r="E323" s="18" t="str">
        <f>VLOOKUP(C:C,'LListat referències'!A:D,4,FALSE)</f>
        <v/>
      </c>
      <c r="F323" s="49">
        <f>VLOOKUP(C:C,'LListat referències'!A:E,5,FALSE)</f>
        <v>14.18</v>
      </c>
      <c r="G323" s="49">
        <v>26.58</v>
      </c>
      <c r="H323" s="49">
        <v>2</v>
      </c>
      <c r="I323" s="75">
        <f>Tabla1[[#This Row],[Cant. Fabricada (uds)]]/Tabla1[[#This Row],[Cavidades]]*Tabla1[[#This Row],[Tiempo Ciclo]]/60/60</f>
        <v>16.213799999999999</v>
      </c>
      <c r="J323" s="1" t="s">
        <v>797</v>
      </c>
      <c r="K323" s="25"/>
      <c r="L323" s="25">
        <v>2842</v>
      </c>
      <c r="M323" s="25">
        <v>5008</v>
      </c>
      <c r="N323" s="25">
        <v>7234</v>
      </c>
      <c r="O323" s="20">
        <v>17</v>
      </c>
      <c r="P323" s="1">
        <f>Tabla1[[#This Row],[Noche]]-Tabla1[[#This Row],[Mañana ]]</f>
        <v>4392</v>
      </c>
      <c r="Q323" s="58"/>
      <c r="R323" s="21">
        <f t="shared" si="7"/>
        <v>0</v>
      </c>
      <c r="S323" s="22">
        <f>Tabla1[[#This Row],[Merma Salas A &amp; B2]]*1000/Tabla1[[#This Row],[Peso gr.]]</f>
        <v>0</v>
      </c>
      <c r="T323" s="52"/>
      <c r="U323" s="24">
        <f>Tabla1[[#This Row],[Total piezas NOK]]/Tabla1[[#This Row],[Cant. Fabricada (uds)]]</f>
        <v>0</v>
      </c>
    </row>
    <row r="324" spans="1:22" x14ac:dyDescent="0.3">
      <c r="A324" s="43">
        <v>44539</v>
      </c>
      <c r="B324" s="20" t="s">
        <v>907</v>
      </c>
      <c r="C324" s="20" t="s">
        <v>585</v>
      </c>
      <c r="D324" s="13" t="str">
        <f>VLOOKUP(C:C,'LListat referències'!A:B,2,FALSE)</f>
        <v>Tarro 200ml quadrat cònic</v>
      </c>
      <c r="E324" s="18" t="str">
        <f>VLOOKUP(C:C,'LListat referències'!A:D,4,FALSE)</f>
        <v>T083</v>
      </c>
      <c r="F324" s="49">
        <f>VLOOKUP(C:C,'LListat referències'!A:E,5,FALSE)</f>
        <v>233</v>
      </c>
      <c r="G324" s="49">
        <v>111.31</v>
      </c>
      <c r="H324" s="49">
        <v>2</v>
      </c>
      <c r="I324" s="75">
        <f>Tabla1[[#This Row],[Cant. Fabricada (uds)]]/Tabla1[[#This Row],[Cavidades]]*Tabla1[[#This Row],[Tiempo Ciclo]]/60/60</f>
        <v>0</v>
      </c>
      <c r="J324" s="1" t="s">
        <v>7</v>
      </c>
      <c r="K324" s="25"/>
      <c r="L324" s="25"/>
      <c r="M324" s="25"/>
      <c r="N324" s="25"/>
      <c r="O324" s="20">
        <v>51</v>
      </c>
      <c r="P324" s="1">
        <f>Tabla1[[#This Row],[Noche]]-Tabla1[[#This Row],[Mañana ]]</f>
        <v>0</v>
      </c>
      <c r="Q324" s="58"/>
      <c r="R324" s="21">
        <f t="shared" si="7"/>
        <v>0</v>
      </c>
      <c r="S324" s="22">
        <f>Tabla1[[#This Row],[Merma Salas A &amp; B2]]*1000/Tabla1[[#This Row],[Peso gr.]]</f>
        <v>0</v>
      </c>
      <c r="T324" s="52">
        <v>20</v>
      </c>
      <c r="U324" s="24" t="s">
        <v>842</v>
      </c>
    </row>
    <row r="325" spans="1:22" x14ac:dyDescent="0.3">
      <c r="A325" s="43">
        <v>44539</v>
      </c>
      <c r="B325" s="20" t="s">
        <v>915</v>
      </c>
      <c r="C325" s="20" t="s">
        <v>615</v>
      </c>
      <c r="D325" s="13" t="str">
        <f>VLOOKUP(C:C,'LListat referències'!A:B,2,FALSE)</f>
        <v>Tarro 50ml Tinter Quadrat</v>
      </c>
      <c r="E325" s="18" t="str">
        <f>VLOOKUP(C:C,'LListat referències'!A:D,4,FALSE)</f>
        <v>T116</v>
      </c>
      <c r="F325" s="49">
        <f>VLOOKUP(C:C,'LListat referències'!A:E,5,FALSE)</f>
        <v>121.5</v>
      </c>
      <c r="G325" s="49">
        <v>126.1</v>
      </c>
      <c r="H325" s="49">
        <v>2</v>
      </c>
      <c r="I325" s="75">
        <f>Tabla1[[#This Row],[Cant. Fabricada (uds)]]/Tabla1[[#This Row],[Cavidades]]*Tabla1[[#This Row],[Tiempo Ciclo]]/60/60</f>
        <v>15.885097222222221</v>
      </c>
      <c r="J325" s="1" t="s">
        <v>8</v>
      </c>
      <c r="K325" s="25"/>
      <c r="L325" s="25">
        <v>28062</v>
      </c>
      <c r="M325" s="25">
        <v>28498</v>
      </c>
      <c r="N325" s="25">
        <v>28969</v>
      </c>
      <c r="O325" s="20">
        <v>30</v>
      </c>
      <c r="P325" s="1">
        <f>Tabla1[[#This Row],[Noche]]-Tabla1[[#This Row],[Mañana ]]</f>
        <v>907</v>
      </c>
      <c r="Q325" s="58"/>
      <c r="R325" s="21">
        <f t="shared" si="7"/>
        <v>0</v>
      </c>
      <c r="S325" s="22">
        <f>Tabla1[[#This Row],[Merma Salas A &amp; B2]]*1000/Tabla1[[#This Row],[Peso gr.]]</f>
        <v>0</v>
      </c>
      <c r="T325" s="52">
        <v>50</v>
      </c>
      <c r="U325" s="24">
        <f>Tabla1[[#This Row],[Total piezas NOK]]/Tabla1[[#This Row],[Cant. Fabricada (uds)]]</f>
        <v>0</v>
      </c>
    </row>
    <row r="326" spans="1:22" x14ac:dyDescent="0.3">
      <c r="A326" s="43">
        <v>44539</v>
      </c>
      <c r="B326" s="20" t="s">
        <v>839</v>
      </c>
      <c r="C326" s="20" t="s">
        <v>10</v>
      </c>
      <c r="D326" s="13" t="str">
        <f>VLOOKUP(C:C,'LListat referències'!A:B,2,FALSE)</f>
        <v xml:space="preserve">Tapa 100 ml prima </v>
      </c>
      <c r="E326" s="18" t="str">
        <f>VLOOKUP(C:C,'LListat referències'!A:D,4,FALSE)</f>
        <v>#26(100 ml)</v>
      </c>
      <c r="F326" s="49">
        <f>VLOOKUP(C:C,'LListat referències'!A:E,5,FALSE)</f>
        <v>30.3</v>
      </c>
      <c r="G326" s="49">
        <v>66.400000000000006</v>
      </c>
      <c r="H326" s="49">
        <v>4</v>
      </c>
      <c r="I326" s="75">
        <f>Tabla1[[#This Row],[Cant. Fabricada (uds)]]/Tabla1[[#This Row],[Cavidades]]*Tabla1[[#This Row],[Tiempo Ciclo]]/60/60</f>
        <v>8.1524444444444448</v>
      </c>
      <c r="J326" s="1" t="s">
        <v>15</v>
      </c>
      <c r="K326" s="25"/>
      <c r="L326" s="25">
        <v>28629</v>
      </c>
      <c r="M326" s="25">
        <v>29487</v>
      </c>
      <c r="N326" s="25">
        <v>30397</v>
      </c>
      <c r="O326" s="20">
        <v>38</v>
      </c>
      <c r="P326" s="1">
        <f>Tabla1[[#This Row],[Noche]]-Tabla1[[#This Row],[Mañana ]]</f>
        <v>1768</v>
      </c>
      <c r="Q326" s="58"/>
      <c r="R326" s="21">
        <f t="shared" si="7"/>
        <v>0</v>
      </c>
      <c r="S326" s="22">
        <f>Tabla1[[#This Row],[Merma Salas A &amp; B2]]*1000/Tabla1[[#This Row],[Peso gr.]]</f>
        <v>0</v>
      </c>
      <c r="T326" s="52"/>
      <c r="U326" s="24">
        <f>Tabla1[[#This Row],[Total piezas NOK]]/Tabla1[[#This Row],[Cant. Fabricada (uds)]]</f>
        <v>0</v>
      </c>
    </row>
    <row r="327" spans="1:22" x14ac:dyDescent="0.3">
      <c r="A327" s="43">
        <v>44540</v>
      </c>
      <c r="B327" s="20" t="s">
        <v>899</v>
      </c>
      <c r="C327" s="20" t="s">
        <v>478</v>
      </c>
      <c r="D327" s="13" t="str">
        <f>VLOOKUP(C:C,'LListat referències'!A:B,2,FALSE)</f>
        <v xml:space="preserve">Tarro 50 ml labiomar </v>
      </c>
      <c r="E327" s="18" t="str">
        <f>VLOOKUP(C:C,'LListat referències'!A:D,4,FALSE)</f>
        <v>T079</v>
      </c>
      <c r="F327" s="49">
        <f>VLOOKUP(C:C,'LListat referències'!A:E,5,FALSE)</f>
        <v>82.7</v>
      </c>
      <c r="G327" s="49">
        <v>103.83</v>
      </c>
      <c r="H327" s="49">
        <v>4</v>
      </c>
      <c r="I327" s="75">
        <f>Tabla1[[#This Row],[Cant. Fabricada (uds)]]/Tabla1[[#This Row],[Cavidades]]*Tabla1[[#This Row],[Tiempo Ciclo]]/60/60</f>
        <v>2.3578062499999999</v>
      </c>
      <c r="J327" s="1" t="s">
        <v>8</v>
      </c>
      <c r="K327" s="25"/>
      <c r="L327" s="25">
        <v>25053</v>
      </c>
      <c r="M327" s="25">
        <v>25380</v>
      </c>
      <c r="N327" s="25">
        <v>25380</v>
      </c>
      <c r="O327" s="20">
        <v>44</v>
      </c>
      <c r="P327" s="1">
        <f>Tabla1[[#This Row],[Noche]]-Tabla1[[#This Row],[Mañana ]]</f>
        <v>327</v>
      </c>
      <c r="Q327" s="58"/>
      <c r="R327" s="21">
        <f t="shared" si="7"/>
        <v>0</v>
      </c>
      <c r="S327" s="22">
        <f>Tabla1[[#This Row],[Merma Salas A &amp; B2]]*1000/Tabla1[[#This Row],[Peso gr.]]</f>
        <v>0</v>
      </c>
      <c r="T327" s="52"/>
      <c r="U327" s="24">
        <f>Tabla1[[#This Row],[Total piezas NOK]]/Tabla1[[#This Row],[Cant. Fabricada (uds)]]</f>
        <v>0</v>
      </c>
      <c r="V327" s="19" t="s">
        <v>900</v>
      </c>
    </row>
    <row r="328" spans="1:22" x14ac:dyDescent="0.3">
      <c r="A328" s="43">
        <v>44540</v>
      </c>
      <c r="B328" s="20" t="s">
        <v>907</v>
      </c>
      <c r="C328" s="20" t="s">
        <v>644</v>
      </c>
      <c r="D328" s="13" t="str">
        <f>VLOOKUP(C:C,'LListat referències'!A:B,2,FALSE)</f>
        <v>Tarro 200ml Quadrat estret (Tapa Rodona)</v>
      </c>
      <c r="E328" s="18">
        <f>VLOOKUP(C:C,'LListat referències'!A:D,4,FALSE)</f>
        <v>0</v>
      </c>
      <c r="F328" s="49">
        <f>VLOOKUP(C:C,'LListat referències'!A:E,5,FALSE)</f>
        <v>220.84</v>
      </c>
      <c r="G328" s="49">
        <v>112.6</v>
      </c>
      <c r="H328" s="49">
        <v>1</v>
      </c>
      <c r="I328" s="75">
        <f>Tabla1[[#This Row],[Cant. Fabricada (uds)]]/Tabla1[[#This Row],[Cavidades]]*Tabla1[[#This Row],[Tiempo Ciclo]]/60/60</f>
        <v>13.824777777777776</v>
      </c>
      <c r="J328" s="1" t="s">
        <v>8</v>
      </c>
      <c r="K328" s="25"/>
      <c r="L328" s="25">
        <v>917</v>
      </c>
      <c r="M328" s="25">
        <v>1163</v>
      </c>
      <c r="N328" s="25">
        <v>1359</v>
      </c>
      <c r="O328" s="20">
        <v>41</v>
      </c>
      <c r="P328" s="1">
        <f>Tabla1[[#This Row],[Noche]]-Tabla1[[#This Row],[Mañana ]]</f>
        <v>442</v>
      </c>
      <c r="Q328" s="58">
        <v>5</v>
      </c>
      <c r="R328" s="21">
        <f t="shared" si="7"/>
        <v>5</v>
      </c>
      <c r="S328" s="22">
        <f>Tabla1[[#This Row],[Merma Salas A &amp; B2]]*1000/Tabla1[[#This Row],[Peso gr.]]</f>
        <v>22.640825937330195</v>
      </c>
      <c r="T328" s="52"/>
      <c r="U328" s="24">
        <f>Tabla1[[#This Row],[Total piezas NOK]]/Tabla1[[#This Row],[Cant. Fabricada (uds)]]</f>
        <v>5.122358809350723E-2</v>
      </c>
    </row>
    <row r="329" spans="1:22" x14ac:dyDescent="0.3">
      <c r="A329" s="43">
        <v>44540</v>
      </c>
      <c r="B329" s="20" t="s">
        <v>912</v>
      </c>
      <c r="C329" s="20">
        <v>1936</v>
      </c>
      <c r="D329" s="13" t="str">
        <f>VLOOKUP(C:C,'LListat referències'!A:B,2,FALSE)</f>
        <v>Cubilet 200 ml.</v>
      </c>
      <c r="E329" s="18" t="str">
        <f>VLOOKUP(C:C,'LListat referències'!A:D,4,FALSE)</f>
        <v/>
      </c>
      <c r="F329" s="49">
        <f>VLOOKUP(C:C,'LListat referències'!A:E,5,FALSE)</f>
        <v>14.18</v>
      </c>
      <c r="G329" s="49">
        <v>26.58</v>
      </c>
      <c r="H329" s="49">
        <v>2</v>
      </c>
      <c r="I329" s="75">
        <f>Tabla1[[#This Row],[Cant. Fabricada (uds)]]/Tabla1[[#This Row],[Cavidades]]*Tabla1[[#This Row],[Tiempo Ciclo]]/60/60</f>
        <v>6.0469499999999989</v>
      </c>
      <c r="J329" s="1" t="s">
        <v>797</v>
      </c>
      <c r="K329" s="25"/>
      <c r="L329" s="25">
        <v>0</v>
      </c>
      <c r="M329" s="25">
        <v>0</v>
      </c>
      <c r="N329" s="25">
        <v>1638</v>
      </c>
      <c r="O329" s="20">
        <v>17</v>
      </c>
      <c r="P329" s="1">
        <f>Tabla1[[#This Row],[Noche]]-Tabla1[[#This Row],[Mañana ]]</f>
        <v>1638</v>
      </c>
      <c r="Q329" s="58"/>
      <c r="R329" s="21">
        <f t="shared" ref="R329:R392" si="8">SUM(Q329:Q329)</f>
        <v>0</v>
      </c>
      <c r="S329" s="22">
        <f>Tabla1[[#This Row],[Merma Salas A &amp; B2]]*1000/Tabla1[[#This Row],[Peso gr.]]</f>
        <v>0</v>
      </c>
      <c r="T329" s="52"/>
      <c r="U329" s="24">
        <f>Tabla1[[#This Row],[Total piezas NOK]]/Tabla1[[#This Row],[Cant. Fabricada (uds)]]</f>
        <v>0</v>
      </c>
    </row>
    <row r="330" spans="1:22" x14ac:dyDescent="0.3">
      <c r="A330" s="43">
        <v>44540</v>
      </c>
      <c r="B330" s="20" t="s">
        <v>916</v>
      </c>
      <c r="C330" s="20" t="s">
        <v>615</v>
      </c>
      <c r="D330" s="13" t="str">
        <f>VLOOKUP(C:C,'LListat referències'!A:B,2,FALSE)</f>
        <v>Tarro 50ml Tinter Quadrat</v>
      </c>
      <c r="E330" s="18" t="str">
        <f>VLOOKUP(C:C,'LListat referències'!A:D,4,FALSE)</f>
        <v>T116</v>
      </c>
      <c r="F330" s="49">
        <f>VLOOKUP(C:C,'LListat referències'!A:E,5,FALSE)</f>
        <v>121.5</v>
      </c>
      <c r="G330" s="49">
        <v>126.1</v>
      </c>
      <c r="H330" s="49">
        <v>2</v>
      </c>
      <c r="I330" s="75">
        <f>Tabla1[[#This Row],[Cant. Fabricada (uds)]]/Tabla1[[#This Row],[Cavidades]]*Tabla1[[#This Row],[Tiempo Ciclo]]/60/60</f>
        <v>13.730888888888888</v>
      </c>
      <c r="J330" s="1" t="s">
        <v>8</v>
      </c>
      <c r="K330" s="25"/>
      <c r="L330" s="25">
        <v>29408</v>
      </c>
      <c r="M330" s="25">
        <v>29830</v>
      </c>
      <c r="N330" s="25">
        <v>30192</v>
      </c>
      <c r="O330" s="20">
        <v>30</v>
      </c>
      <c r="P330" s="1">
        <f>Tabla1[[#This Row],[Noche]]-Tabla1[[#This Row],[Mañana ]]</f>
        <v>784</v>
      </c>
      <c r="Q330" s="58">
        <v>20</v>
      </c>
      <c r="R330" s="21">
        <f t="shared" si="8"/>
        <v>20</v>
      </c>
      <c r="S330" s="22">
        <f>Tabla1[[#This Row],[Merma Salas A &amp; B2]]*1000/Tabla1[[#This Row],[Peso gr.]]</f>
        <v>164.6090534979424</v>
      </c>
      <c r="T330" s="52"/>
      <c r="U330" s="24">
        <f>Tabla1[[#This Row],[Total piezas NOK]]/Tabla1[[#This Row],[Cant. Fabricada (uds)]]</f>
        <v>0.20996052742084489</v>
      </c>
      <c r="V330" s="19" t="s">
        <v>923</v>
      </c>
    </row>
    <row r="331" spans="1:22" x14ac:dyDescent="0.3">
      <c r="A331" s="43">
        <v>44540</v>
      </c>
      <c r="B331" s="20" t="s">
        <v>839</v>
      </c>
      <c r="C331" s="20" t="s">
        <v>10</v>
      </c>
      <c r="D331" s="13" t="str">
        <f>VLOOKUP(C:C,'LListat referències'!A:B,2,FALSE)</f>
        <v xml:space="preserve">Tapa 100 ml prima </v>
      </c>
      <c r="E331" s="18" t="str">
        <f>VLOOKUP(C:C,'LListat referències'!A:D,4,FALSE)</f>
        <v>#26(100 ml)</v>
      </c>
      <c r="F331" s="49">
        <f>VLOOKUP(C:C,'LListat referències'!A:E,5,FALSE)</f>
        <v>30.3</v>
      </c>
      <c r="G331" s="49">
        <v>66.400000000000006</v>
      </c>
      <c r="H331" s="49">
        <v>4</v>
      </c>
      <c r="I331" s="75">
        <f>Tabla1[[#This Row],[Cant. Fabricada (uds)]]/Tabla1[[#This Row],[Cavidades]]*Tabla1[[#This Row],[Tiempo Ciclo]]/60/60</f>
        <v>7.221000000000001</v>
      </c>
      <c r="J331" s="1" t="s">
        <v>15</v>
      </c>
      <c r="K331" s="25"/>
      <c r="L331" s="25">
        <v>31145</v>
      </c>
      <c r="M331" s="25">
        <v>31983</v>
      </c>
      <c r="N331" s="25">
        <v>32711</v>
      </c>
      <c r="O331" s="20">
        <v>38</v>
      </c>
      <c r="P331" s="1">
        <f>Tabla1[[#This Row],[Noche]]-Tabla1[[#This Row],[Mañana ]]</f>
        <v>1566</v>
      </c>
      <c r="Q331" s="58"/>
      <c r="R331" s="21">
        <f t="shared" si="8"/>
        <v>0</v>
      </c>
      <c r="S331" s="22">
        <f>Tabla1[[#This Row],[Merma Salas A &amp; B2]]*1000/Tabla1[[#This Row],[Peso gr.]]</f>
        <v>0</v>
      </c>
      <c r="T331" s="52"/>
      <c r="U331" s="24">
        <f>Tabla1[[#This Row],[Total piezas NOK]]/Tabla1[[#This Row],[Cant. Fabricada (uds)]]</f>
        <v>0</v>
      </c>
    </row>
    <row r="332" spans="1:22" x14ac:dyDescent="0.3">
      <c r="A332" s="43">
        <v>44540</v>
      </c>
      <c r="B332" s="20" t="s">
        <v>926</v>
      </c>
      <c r="C332" s="20">
        <v>2006</v>
      </c>
      <c r="D332" s="13">
        <f>VLOOKUP(C:C,'LListat referències'!A:B,2,FALSE)</f>
        <v>0</v>
      </c>
      <c r="E332" s="18">
        <f>VLOOKUP(C:C,'LListat referències'!A:D,4,FALSE)</f>
        <v>0</v>
      </c>
      <c r="F332" s="49">
        <f>VLOOKUP(C:C,'LListat referències'!A:E,5,FALSE)</f>
        <v>17</v>
      </c>
      <c r="G332" s="49">
        <v>41.56</v>
      </c>
      <c r="H332" s="49">
        <v>4</v>
      </c>
      <c r="I332" s="75">
        <f>Tabla1[[#This Row],[Cant. Fabricada (uds)]]/Tabla1[[#This Row],[Cavidades]]*Tabla1[[#This Row],[Tiempo Ciclo]]/60/60</f>
        <v>13.299200000000001</v>
      </c>
      <c r="J332" s="1" t="s">
        <v>763</v>
      </c>
      <c r="K332" s="25"/>
      <c r="L332" s="25">
        <v>0</v>
      </c>
      <c r="M332" s="25">
        <v>1476</v>
      </c>
      <c r="N332" s="25">
        <v>4608</v>
      </c>
      <c r="O332" s="20">
        <v>9</v>
      </c>
      <c r="P332" s="1">
        <f>Tabla1[[#This Row],[Noche]]-Tabla1[[#This Row],[Mañana ]]</f>
        <v>4608</v>
      </c>
      <c r="Q332" s="58"/>
      <c r="R332" s="21">
        <f t="shared" si="8"/>
        <v>0</v>
      </c>
      <c r="S332" s="22">
        <f>Tabla1[[#This Row],[Merma Salas A &amp; B2]]*1000/Tabla1[[#This Row],[Peso gr.]]</f>
        <v>0</v>
      </c>
      <c r="T332" s="52"/>
      <c r="U332" s="24">
        <f>Tabla1[[#This Row],[Total piezas NOK]]/Tabla1[[#This Row],[Cant. Fabricada (uds)]]</f>
        <v>0</v>
      </c>
    </row>
    <row r="333" spans="1:22" x14ac:dyDescent="0.3">
      <c r="A333" s="43">
        <v>44543</v>
      </c>
      <c r="B333" s="20" t="s">
        <v>912</v>
      </c>
      <c r="C333" s="20">
        <v>1936</v>
      </c>
      <c r="D333" s="13" t="str">
        <f>VLOOKUP(C:C,'LListat referències'!A:B,2,FALSE)</f>
        <v>Cubilet 200 ml.</v>
      </c>
      <c r="E333" s="18" t="str">
        <f>VLOOKUP(C:C,'LListat referències'!A:D,4,FALSE)</f>
        <v/>
      </c>
      <c r="F333" s="49">
        <f>VLOOKUP(C:C,'LListat referències'!A:E,5,FALSE)</f>
        <v>14.18</v>
      </c>
      <c r="G333" s="49">
        <v>26.58</v>
      </c>
      <c r="H333" s="49">
        <v>2</v>
      </c>
      <c r="I333" s="75">
        <f>Tabla1[[#This Row],[Cant. Fabricada (uds)]]/Tabla1[[#This Row],[Cavidades]]*Tabla1[[#This Row],[Tiempo Ciclo]]/60/60</f>
        <v>14.966016666666665</v>
      </c>
      <c r="J333" s="1" t="s">
        <v>797</v>
      </c>
      <c r="K333" s="25"/>
      <c r="L333" s="25">
        <v>1638</v>
      </c>
      <c r="M333" s="25">
        <v>3760</v>
      </c>
      <c r="N333" s="25">
        <v>5692</v>
      </c>
      <c r="O333" s="20">
        <v>17</v>
      </c>
      <c r="P333" s="1">
        <f>Tabla1[[#This Row],[Noche]]-Tabla1[[#This Row],[Mañana ]]</f>
        <v>4054</v>
      </c>
      <c r="Q333" s="58"/>
      <c r="R333" s="21">
        <f t="shared" si="8"/>
        <v>0</v>
      </c>
      <c r="S333" s="22">
        <f>Tabla1[[#This Row],[Merma Salas A &amp; B2]]*1000/Tabla1[[#This Row],[Peso gr.]]</f>
        <v>0</v>
      </c>
      <c r="T333" s="52"/>
      <c r="U333" s="24">
        <f>Tabla1[[#This Row],[Total piezas NOK]]/Tabla1[[#This Row],[Cant. Fabricada (uds)]]</f>
        <v>0</v>
      </c>
    </row>
    <row r="334" spans="1:22" x14ac:dyDescent="0.3">
      <c r="A334" s="43">
        <v>44543</v>
      </c>
      <c r="B334" s="20" t="s">
        <v>926</v>
      </c>
      <c r="C334" s="20">
        <v>2006</v>
      </c>
      <c r="D334" s="13">
        <f>VLOOKUP(C:C,'LListat referències'!A:B,2,FALSE)</f>
        <v>0</v>
      </c>
      <c r="E334" s="18">
        <f>VLOOKUP(C:C,'LListat referències'!A:D,4,FALSE)</f>
        <v>0</v>
      </c>
      <c r="F334" s="49">
        <f>VLOOKUP(C:C,'LListat referències'!A:E,5,FALSE)</f>
        <v>17</v>
      </c>
      <c r="G334" s="49">
        <v>41.56</v>
      </c>
      <c r="H334" s="49">
        <v>4</v>
      </c>
      <c r="I334" s="75">
        <f>Tabla1[[#This Row],[Cant. Fabricada (uds)]]/Tabla1[[#This Row],[Cavidades]]*Tabla1[[#This Row],[Tiempo Ciclo]]/60/60</f>
        <v>12.693116666666667</v>
      </c>
      <c r="J334" s="1" t="s">
        <v>763</v>
      </c>
      <c r="K334" s="25"/>
      <c r="L334" s="25">
        <v>16812</v>
      </c>
      <c r="M334" s="25">
        <v>20520</v>
      </c>
      <c r="N334" s="25">
        <v>21210</v>
      </c>
      <c r="O334" s="20">
        <v>9</v>
      </c>
      <c r="P334" s="1">
        <f>Tabla1[[#This Row],[Noche]]-Tabla1[[#This Row],[Mañana ]]</f>
        <v>4398</v>
      </c>
      <c r="Q334" s="58">
        <v>3</v>
      </c>
      <c r="R334" s="21">
        <f t="shared" si="8"/>
        <v>3</v>
      </c>
      <c r="S334" s="22">
        <f>Tabla1[[#This Row],[Merma Salas A &amp; B2]]*1000/Tabla1[[#This Row],[Peso gr.]]</f>
        <v>176.47058823529412</v>
      </c>
      <c r="T334" s="52"/>
      <c r="U334" s="24">
        <f>Tabla1[[#This Row],[Total piezas NOK]]/Tabla1[[#This Row],[Cant. Fabricada (uds)]]</f>
        <v>4.0125190594655323E-2</v>
      </c>
    </row>
    <row r="335" spans="1:22" x14ac:dyDescent="0.3">
      <c r="A335" s="43">
        <v>44543</v>
      </c>
      <c r="B335" s="20" t="s">
        <v>912</v>
      </c>
      <c r="C335" s="20">
        <v>1936</v>
      </c>
      <c r="D335" s="13" t="str">
        <f>VLOOKUP(C:C,'LListat referències'!A:B,2,FALSE)</f>
        <v>Cubilet 200 ml.</v>
      </c>
      <c r="E335" s="18" t="str">
        <f>VLOOKUP(C:C,'LListat referències'!A:D,4,FALSE)</f>
        <v/>
      </c>
      <c r="F335" s="49">
        <f>VLOOKUP(C:C,'LListat referències'!A:E,5,FALSE)</f>
        <v>14.18</v>
      </c>
      <c r="G335" s="49">
        <v>26.58</v>
      </c>
      <c r="H335" s="49">
        <v>2</v>
      </c>
      <c r="I335" s="75">
        <f>Tabla1[[#This Row],[Cant. Fabricada (uds)]]/Tabla1[[#This Row],[Cavidades]]*Tabla1[[#This Row],[Tiempo Ciclo]]/60/60</f>
        <v>3.6916666666666664E-3</v>
      </c>
      <c r="J335" s="1" t="s">
        <v>797</v>
      </c>
      <c r="K335" s="25"/>
      <c r="L335" s="25">
        <v>7690</v>
      </c>
      <c r="M335" s="25">
        <v>0</v>
      </c>
      <c r="N335" s="25">
        <v>7691</v>
      </c>
      <c r="O335" s="20">
        <v>17</v>
      </c>
      <c r="P335" s="1">
        <f>Tabla1[[#This Row],[Noche]]-Tabla1[[#This Row],[Mañana ]]</f>
        <v>1</v>
      </c>
      <c r="Q335" s="58"/>
      <c r="R335" s="21">
        <f t="shared" si="8"/>
        <v>0</v>
      </c>
      <c r="S335" s="22">
        <f>Tabla1[[#This Row],[Merma Salas A &amp; B2]]*1000/Tabla1[[#This Row],[Peso gr.]]</f>
        <v>0</v>
      </c>
      <c r="T335" s="52"/>
      <c r="U335" s="24">
        <f>Tabla1[[#This Row],[Total piezas NOK]]/Tabla1[[#This Row],[Cant. Fabricada (uds)]]</f>
        <v>0</v>
      </c>
    </row>
    <row r="336" spans="1:22" x14ac:dyDescent="0.3">
      <c r="A336" s="43">
        <v>44543</v>
      </c>
      <c r="B336" s="20" t="s">
        <v>913</v>
      </c>
      <c r="C336" s="20">
        <v>1936</v>
      </c>
      <c r="D336" s="13" t="str">
        <f>VLOOKUP(C:C,'LListat referències'!A:B,2,FALSE)</f>
        <v>Cubilet 200 ml.</v>
      </c>
      <c r="E336" s="18" t="str">
        <f>VLOOKUP(C:C,'LListat referències'!A:D,4,FALSE)</f>
        <v/>
      </c>
      <c r="F336" s="49">
        <f>VLOOKUP(C:C,'LListat referències'!A:E,5,FALSE)</f>
        <v>14.18</v>
      </c>
      <c r="G336" s="49">
        <v>26.58</v>
      </c>
      <c r="H336" s="49">
        <v>2</v>
      </c>
      <c r="I336" s="75">
        <f>Tabla1[[#This Row],[Cant. Fabricada (uds)]]/Tabla1[[#This Row],[Cavidades]]*Tabla1[[#This Row],[Tiempo Ciclo]]/60/60</f>
        <v>10.033950000000001</v>
      </c>
      <c r="J336" s="1" t="s">
        <v>797</v>
      </c>
      <c r="K336" s="25"/>
      <c r="L336" s="25">
        <v>0</v>
      </c>
      <c r="M336" s="25">
        <v>563</v>
      </c>
      <c r="N336" s="25">
        <v>2718</v>
      </c>
      <c r="O336" s="20">
        <v>17</v>
      </c>
      <c r="P336" s="1">
        <f>Tabla1[[#This Row],[Noche]]-Tabla1[[#This Row],[Mañana ]]</f>
        <v>2718</v>
      </c>
      <c r="Q336" s="58"/>
      <c r="R336" s="21">
        <f t="shared" si="8"/>
        <v>0</v>
      </c>
      <c r="S336" s="22">
        <f>Tabla1[[#This Row],[Merma Salas A &amp; B2]]*1000/Tabla1[[#This Row],[Peso gr.]]</f>
        <v>0</v>
      </c>
      <c r="T336" s="52"/>
      <c r="U336" s="24">
        <f>Tabla1[[#This Row],[Total piezas NOK]]/Tabla1[[#This Row],[Cant. Fabricada (uds)]]</f>
        <v>0</v>
      </c>
    </row>
    <row r="337" spans="1:22" x14ac:dyDescent="0.3">
      <c r="A337" s="43">
        <v>44543</v>
      </c>
      <c r="B337" s="20" t="s">
        <v>917</v>
      </c>
      <c r="C337" s="20" t="s">
        <v>615</v>
      </c>
      <c r="D337" s="13" t="str">
        <f>VLOOKUP(C:C,'LListat referències'!A:B,2,FALSE)</f>
        <v>Tarro 50ml Tinter Quadrat</v>
      </c>
      <c r="E337" s="18" t="str">
        <f>VLOOKUP(C:C,'LListat referències'!A:D,4,FALSE)</f>
        <v>T116</v>
      </c>
      <c r="F337" s="49">
        <f>VLOOKUP(C:C,'LListat referències'!A:E,5,FALSE)</f>
        <v>121.5</v>
      </c>
      <c r="G337" s="49">
        <v>126.1</v>
      </c>
      <c r="H337" s="49">
        <v>2</v>
      </c>
      <c r="I337" s="75">
        <f>Tabla1[[#This Row],[Cant. Fabricada (uds)]]/Tabla1[[#This Row],[Cavidades]]*Tabla1[[#This Row],[Tiempo Ciclo]]/60/60</f>
        <v>14.501499999999998</v>
      </c>
      <c r="J337" s="1" t="s">
        <v>8</v>
      </c>
      <c r="K337" s="25"/>
      <c r="L337" s="25">
        <v>30550</v>
      </c>
      <c r="M337" s="25">
        <v>30936</v>
      </c>
      <c r="N337" s="25">
        <v>31378</v>
      </c>
      <c r="O337" s="20">
        <v>30</v>
      </c>
      <c r="P337" s="1">
        <f>Tabla1[[#This Row],[Noche]]-Tabla1[[#This Row],[Mañana ]]</f>
        <v>828</v>
      </c>
      <c r="Q337" s="58"/>
      <c r="R337" s="21">
        <f t="shared" si="8"/>
        <v>0</v>
      </c>
      <c r="S337" s="22">
        <f>Tabla1[[#This Row],[Merma Salas A &amp; B2]]*1000/Tabla1[[#This Row],[Peso gr.]]</f>
        <v>0</v>
      </c>
      <c r="T337" s="52">
        <v>50</v>
      </c>
      <c r="U337" s="24">
        <f>Tabla1[[#This Row],[Total piezas NOK]]/Tabla1[[#This Row],[Cant. Fabricada (uds)]]</f>
        <v>0</v>
      </c>
    </row>
    <row r="338" spans="1:22" x14ac:dyDescent="0.3">
      <c r="A338" s="43">
        <v>44543</v>
      </c>
      <c r="B338" s="20" t="s">
        <v>839</v>
      </c>
      <c r="C338" s="20" t="s">
        <v>10</v>
      </c>
      <c r="D338" s="13" t="str">
        <f>VLOOKUP(C:C,'LListat referències'!A:B,2,FALSE)</f>
        <v xml:space="preserve">Tapa 100 ml prima </v>
      </c>
      <c r="E338" s="18" t="str">
        <f>VLOOKUP(C:C,'LListat referències'!A:D,4,FALSE)</f>
        <v>#26(100 ml)</v>
      </c>
      <c r="F338" s="49">
        <f>VLOOKUP(C:C,'LListat referències'!A:E,5,FALSE)</f>
        <v>30.3</v>
      </c>
      <c r="G338" s="49">
        <v>66.400000000000006</v>
      </c>
      <c r="H338" s="49">
        <v>4</v>
      </c>
      <c r="I338" s="75">
        <f>Tabla1[[#This Row],[Cant. Fabricada (uds)]]/Tabla1[[#This Row],[Cavidades]]*Tabla1[[#This Row],[Tiempo Ciclo]]/60/60</f>
        <v>7.2025555555555565</v>
      </c>
      <c r="J338" s="1" t="s">
        <v>15</v>
      </c>
      <c r="K338" s="25"/>
      <c r="L338" s="25">
        <v>33499</v>
      </c>
      <c r="M338" s="25">
        <v>34221</v>
      </c>
      <c r="N338" s="25">
        <v>35061</v>
      </c>
      <c r="O338" s="20">
        <v>38</v>
      </c>
      <c r="P338" s="1">
        <f>Tabla1[[#This Row],[Noche]]-Tabla1[[#This Row],[Mañana ]]</f>
        <v>1562</v>
      </c>
      <c r="Q338" s="58"/>
      <c r="R338" s="21">
        <f t="shared" si="8"/>
        <v>0</v>
      </c>
      <c r="S338" s="22">
        <f>Tabla1[[#This Row],[Merma Salas A &amp; B2]]*1000/Tabla1[[#This Row],[Peso gr.]]</f>
        <v>0</v>
      </c>
      <c r="T338" s="52"/>
      <c r="U338" s="24">
        <f>Tabla1[[#This Row],[Total piezas NOK]]/Tabla1[[#This Row],[Cant. Fabricada (uds)]]</f>
        <v>0</v>
      </c>
    </row>
    <row r="339" spans="1:22" x14ac:dyDescent="0.3">
      <c r="A339" s="43">
        <v>44543</v>
      </c>
      <c r="B339" s="20" t="s">
        <v>926</v>
      </c>
      <c r="C339" s="20">
        <v>2006</v>
      </c>
      <c r="D339" s="13">
        <f>VLOOKUP(C:C,'LListat referències'!A:B,2,FALSE)</f>
        <v>0</v>
      </c>
      <c r="E339" s="18">
        <f>VLOOKUP(C:C,'LListat referències'!A:D,4,FALSE)</f>
        <v>0</v>
      </c>
      <c r="F339" s="49">
        <f>VLOOKUP(C:C,'LListat referències'!A:E,5,FALSE)</f>
        <v>17</v>
      </c>
      <c r="G339" s="49">
        <v>41.56</v>
      </c>
      <c r="H339" s="49">
        <v>4</v>
      </c>
      <c r="I339" s="75">
        <f>Tabla1[[#This Row],[Cant. Fabricada (uds)]]/Tabla1[[#This Row],[Cavidades]]*Tabla1[[#This Row],[Tiempo Ciclo]]/60/60</f>
        <v>22.061433333333337</v>
      </c>
      <c r="J339" s="1" t="s">
        <v>763</v>
      </c>
      <c r="K339" s="25"/>
      <c r="L339" s="25">
        <v>4608</v>
      </c>
      <c r="M339" s="25">
        <v>8106</v>
      </c>
      <c r="N339" s="25">
        <v>12252</v>
      </c>
      <c r="O339" s="20">
        <v>9</v>
      </c>
      <c r="P339" s="1">
        <f>Tabla1[[#This Row],[Noche]]-Tabla1[[#This Row],[Mañana ]]</f>
        <v>7644</v>
      </c>
      <c r="Q339" s="58"/>
      <c r="R339" s="21">
        <f t="shared" si="8"/>
        <v>0</v>
      </c>
      <c r="S339" s="22">
        <f>Tabla1[[#This Row],[Merma Salas A &amp; B2]]*1000/Tabla1[[#This Row],[Peso gr.]]</f>
        <v>0</v>
      </c>
      <c r="T339" s="52"/>
      <c r="U339" s="24">
        <f>Tabla1[[#This Row],[Total piezas NOK]]/Tabla1[[#This Row],[Cant. Fabricada (uds)]]</f>
        <v>0</v>
      </c>
    </row>
    <row r="340" spans="1:22" x14ac:dyDescent="0.3">
      <c r="A340" s="43">
        <v>44544</v>
      </c>
      <c r="B340" s="20" t="s">
        <v>913</v>
      </c>
      <c r="C340" s="20">
        <v>1936</v>
      </c>
      <c r="D340" s="13" t="str">
        <f>VLOOKUP(C:C,'LListat referències'!A:B,2,FALSE)</f>
        <v>Cubilet 200 ml.</v>
      </c>
      <c r="E340" s="18" t="str">
        <f>VLOOKUP(C:C,'LListat referències'!A:D,4,FALSE)</f>
        <v/>
      </c>
      <c r="F340" s="49">
        <f>VLOOKUP(C:C,'LListat referències'!A:E,5,FALSE)</f>
        <v>14.18</v>
      </c>
      <c r="G340" s="49">
        <v>26.58</v>
      </c>
      <c r="H340" s="49">
        <v>2</v>
      </c>
      <c r="I340" s="75">
        <f>Tabla1[[#This Row],[Cant. Fabricada (uds)]]/Tabla1[[#This Row],[Cavidades]]*Tabla1[[#This Row],[Tiempo Ciclo]]/60/60</f>
        <v>15.39425</v>
      </c>
      <c r="J340" s="1" t="s">
        <v>797</v>
      </c>
      <c r="K340" s="25"/>
      <c r="L340" s="25">
        <v>5090</v>
      </c>
      <c r="M340" s="25">
        <v>6998</v>
      </c>
      <c r="N340" s="25">
        <v>9260</v>
      </c>
      <c r="O340" s="20">
        <v>17</v>
      </c>
      <c r="P340" s="1">
        <f>Tabla1[[#This Row],[Noche]]-Tabla1[[#This Row],[Mañana ]]</f>
        <v>4170</v>
      </c>
      <c r="Q340" s="58"/>
      <c r="R340" s="21">
        <f t="shared" si="8"/>
        <v>0</v>
      </c>
      <c r="S340" s="22">
        <f>Tabla1[[#This Row],[Merma Salas A &amp; B2]]*1000/Tabla1[[#This Row],[Peso gr.]]</f>
        <v>0</v>
      </c>
      <c r="T340" s="52"/>
      <c r="U340" s="24">
        <f>Tabla1[[#This Row],[Total piezas NOK]]/Tabla1[[#This Row],[Cant. Fabricada (uds)]]</f>
        <v>0</v>
      </c>
    </row>
    <row r="341" spans="1:22" x14ac:dyDescent="0.3">
      <c r="A341" s="43">
        <v>44544</v>
      </c>
      <c r="B341" s="20" t="s">
        <v>918</v>
      </c>
      <c r="C341" s="20" t="s">
        <v>615</v>
      </c>
      <c r="D341" s="13" t="str">
        <f>VLOOKUP(C:C,'LListat referències'!A:B,2,FALSE)</f>
        <v>Tarro 50ml Tinter Quadrat</v>
      </c>
      <c r="E341" s="18" t="str">
        <f>VLOOKUP(C:C,'LListat referències'!A:D,4,FALSE)</f>
        <v>T116</v>
      </c>
      <c r="F341" s="49">
        <f>VLOOKUP(C:C,'LListat referències'!A:E,5,FALSE)</f>
        <v>121.5</v>
      </c>
      <c r="G341" s="49">
        <v>126.1</v>
      </c>
      <c r="H341" s="49">
        <v>2</v>
      </c>
      <c r="I341" s="75">
        <f>Tabla1[[#This Row],[Cant. Fabricada (uds)]]/Tabla1[[#This Row],[Cavidades]]*Tabla1[[#This Row],[Tiempo Ciclo]]/60/60</f>
        <v>14.746694444444444</v>
      </c>
      <c r="J341" s="1" t="s">
        <v>8</v>
      </c>
      <c r="K341" s="25"/>
      <c r="L341" s="25">
        <v>31856</v>
      </c>
      <c r="M341" s="25">
        <v>32238</v>
      </c>
      <c r="N341" s="25">
        <v>32698</v>
      </c>
      <c r="O341" s="20">
        <v>30</v>
      </c>
      <c r="P341" s="1">
        <f>Tabla1[[#This Row],[Noche]]-Tabla1[[#This Row],[Mañana ]]</f>
        <v>842</v>
      </c>
      <c r="Q341" s="58">
        <v>25</v>
      </c>
      <c r="R341" s="21">
        <f t="shared" si="8"/>
        <v>25</v>
      </c>
      <c r="S341" s="22">
        <f>Tabla1[[#This Row],[Merma Salas A &amp; B2]]*1000/Tabla1[[#This Row],[Peso gr.]]</f>
        <v>205.76131687242798</v>
      </c>
      <c r="T341" s="52"/>
      <c r="U341" s="24">
        <f>Tabla1[[#This Row],[Total piezas NOK]]/Tabla1[[#This Row],[Cant. Fabricada (uds)]]</f>
        <v>0.24437211029979569</v>
      </c>
      <c r="V341" s="19" t="s">
        <v>922</v>
      </c>
    </row>
    <row r="342" spans="1:22" x14ac:dyDescent="0.3">
      <c r="A342" s="43">
        <v>44544</v>
      </c>
      <c r="B342" s="20" t="s">
        <v>839</v>
      </c>
      <c r="C342" s="20" t="s">
        <v>10</v>
      </c>
      <c r="D342" s="13" t="str">
        <f>VLOOKUP(C:C,'LListat referències'!A:B,2,FALSE)</f>
        <v xml:space="preserve">Tapa 100 ml prima </v>
      </c>
      <c r="E342" s="18" t="str">
        <f>VLOOKUP(C:C,'LListat referències'!A:D,4,FALSE)</f>
        <v>#26(100 ml)</v>
      </c>
      <c r="F342" s="49">
        <f>VLOOKUP(C:C,'LListat referències'!A:E,5,FALSE)</f>
        <v>30.3</v>
      </c>
      <c r="G342" s="49">
        <v>66.400000000000006</v>
      </c>
      <c r="H342" s="49">
        <v>4</v>
      </c>
      <c r="I342" s="75">
        <f>Tabla1[[#This Row],[Cant. Fabricada (uds)]]/Tabla1[[#This Row],[Cavidades]]*Tabla1[[#This Row],[Tiempo Ciclo]]/60/60</f>
        <v>7.1103333333333332</v>
      </c>
      <c r="J342" s="1" t="s">
        <v>15</v>
      </c>
      <c r="K342" s="25"/>
      <c r="L342" s="25">
        <v>35959</v>
      </c>
      <c r="M342" s="25">
        <v>36685</v>
      </c>
      <c r="N342" s="25">
        <v>37501</v>
      </c>
      <c r="O342" s="20">
        <v>38</v>
      </c>
      <c r="P342" s="1">
        <f>Tabla1[[#This Row],[Noche]]-Tabla1[[#This Row],[Mañana ]]</f>
        <v>1542</v>
      </c>
      <c r="Q342" s="58"/>
      <c r="R342" s="21">
        <f t="shared" si="8"/>
        <v>0</v>
      </c>
      <c r="S342" s="22">
        <f>Tabla1[[#This Row],[Merma Salas A &amp; B2]]*1000/Tabla1[[#This Row],[Peso gr.]]</f>
        <v>0</v>
      </c>
      <c r="T342" s="52"/>
      <c r="U342" s="24">
        <f>Tabla1[[#This Row],[Total piezas NOK]]/Tabla1[[#This Row],[Cant. Fabricada (uds)]]</f>
        <v>0</v>
      </c>
    </row>
    <row r="343" spans="1:22" x14ac:dyDescent="0.3">
      <c r="A343" s="43">
        <v>44544</v>
      </c>
      <c r="B343" s="20" t="s">
        <v>924</v>
      </c>
      <c r="C343" s="20" t="s">
        <v>668</v>
      </c>
      <c r="D343" s="13" t="str">
        <f>VLOOKUP(C:C,'LListat referències'!A:B,2,FALSE)</f>
        <v>Cubilet 200 ml baix sense nervi</v>
      </c>
      <c r="E343" s="18" t="str">
        <f>VLOOKUP(C:C,'LListat referències'!A:D,4,FALSE)</f>
        <v/>
      </c>
      <c r="F343" s="49">
        <f>VLOOKUP(C:C,'LListat referències'!A:E,5,FALSE)</f>
        <v>21.7</v>
      </c>
      <c r="G343" s="49">
        <v>22.66</v>
      </c>
      <c r="H343" s="49">
        <v>2</v>
      </c>
      <c r="I343" s="75">
        <f>Tabla1[[#This Row],[Cant. Fabricada (uds)]]/Tabla1[[#This Row],[Cavidades]]*Tabla1[[#This Row],[Tiempo Ciclo]]/60/60</f>
        <v>13.709300000000002</v>
      </c>
      <c r="J343" s="1" t="s">
        <v>797</v>
      </c>
      <c r="K343" s="25"/>
      <c r="L343" s="25">
        <v>1728</v>
      </c>
      <c r="M343" s="25">
        <v>3652</v>
      </c>
      <c r="N343" s="25">
        <v>6084</v>
      </c>
      <c r="O343" s="20">
        <v>25</v>
      </c>
      <c r="P343" s="1">
        <f>Tabla1[[#This Row],[Noche]]-Tabla1[[#This Row],[Mañana ]]</f>
        <v>4356</v>
      </c>
      <c r="Q343" s="58"/>
      <c r="R343" s="21">
        <f t="shared" si="8"/>
        <v>0</v>
      </c>
      <c r="S343" s="22">
        <f>Tabla1[[#This Row],[Merma Salas A &amp; B2]]*1000/Tabla1[[#This Row],[Peso gr.]]</f>
        <v>0</v>
      </c>
      <c r="T343" s="52"/>
      <c r="U343" s="24">
        <f>Tabla1[[#This Row],[Total piezas NOK]]/Tabla1[[#This Row],[Cant. Fabricada (uds)]]</f>
        <v>0</v>
      </c>
    </row>
    <row r="344" spans="1:22" x14ac:dyDescent="0.3">
      <c r="A344" s="43">
        <v>44545</v>
      </c>
      <c r="B344" s="20" t="s">
        <v>913</v>
      </c>
      <c r="C344" s="20">
        <v>1936</v>
      </c>
      <c r="D344" s="13" t="str">
        <f>VLOOKUP(C:C,'LListat referències'!A:B,2,FALSE)</f>
        <v>Cubilet 200 ml.</v>
      </c>
      <c r="E344" s="18" t="str">
        <f>VLOOKUP(C:C,'LListat referències'!A:D,4,FALSE)</f>
        <v/>
      </c>
      <c r="F344" s="49">
        <f>VLOOKUP(C:C,'LListat referències'!A:E,5,FALSE)</f>
        <v>14.18</v>
      </c>
      <c r="G344" s="49">
        <v>26.58</v>
      </c>
      <c r="H344" s="49">
        <v>2</v>
      </c>
      <c r="I344" s="75">
        <f>Tabla1[[#This Row],[Cant. Fabricada (uds)]]/Tabla1[[#This Row],[Cavidades]]*Tabla1[[#This Row],[Tiempo Ciclo]]/60/60</f>
        <v>16.132583333333333</v>
      </c>
      <c r="J344" s="1" t="s">
        <v>797</v>
      </c>
      <c r="K344" s="25"/>
      <c r="L344" s="25">
        <v>11370</v>
      </c>
      <c r="M344" s="25">
        <v>13446</v>
      </c>
      <c r="N344" s="25">
        <v>15740</v>
      </c>
      <c r="O344" s="20">
        <v>17</v>
      </c>
      <c r="P344" s="1">
        <f>Tabla1[[#This Row],[Noche]]-Tabla1[[#This Row],[Mañana ]]</f>
        <v>4370</v>
      </c>
      <c r="Q344" s="58"/>
      <c r="R344" s="21">
        <f t="shared" si="8"/>
        <v>0</v>
      </c>
      <c r="S344" s="22">
        <f>Tabla1[[#This Row],[Merma Salas A &amp; B2]]*1000/Tabla1[[#This Row],[Peso gr.]]</f>
        <v>0</v>
      </c>
      <c r="T344" s="52"/>
      <c r="U344" s="24">
        <f>Tabla1[[#This Row],[Total piezas NOK]]/Tabla1[[#This Row],[Cant. Fabricada (uds)]]</f>
        <v>0</v>
      </c>
    </row>
    <row r="345" spans="1:22" x14ac:dyDescent="0.3">
      <c r="A345" s="43">
        <v>44545</v>
      </c>
      <c r="B345" s="20" t="s">
        <v>880</v>
      </c>
      <c r="C345" s="20">
        <v>1897</v>
      </c>
      <c r="D345" s="13" t="str">
        <f>VLOOKUP(C:C,'LListat referències'!A:B,2,FALSE)</f>
        <v>Tapa 50 cc mar mar (6 unit)</v>
      </c>
      <c r="E345" s="18" t="str">
        <f>VLOOKUP(C:C,'LListat referències'!A:D,4,FALSE)</f>
        <v>#6(50 ml)</v>
      </c>
      <c r="F345" s="49">
        <f>VLOOKUP(C:C,'LListat referències'!A:E,5,FALSE)</f>
        <v>32</v>
      </c>
      <c r="G345" s="49">
        <v>81.709999999999994</v>
      </c>
      <c r="H345" s="49">
        <v>2</v>
      </c>
      <c r="I345" s="75">
        <f>Tabla1[[#This Row],[Cant. Fabricada (uds)]]/Tabla1[[#This Row],[Cavidades]]*Tabla1[[#This Row],[Tiempo Ciclo]]/60/60</f>
        <v>40.242174999999996</v>
      </c>
      <c r="J345" s="1" t="s">
        <v>8</v>
      </c>
      <c r="K345" s="25"/>
      <c r="L345" s="25">
        <v>0</v>
      </c>
      <c r="M345" s="25">
        <v>1410</v>
      </c>
      <c r="N345" s="25">
        <v>3546</v>
      </c>
      <c r="O345" s="20">
        <v>17</v>
      </c>
      <c r="P345" s="1">
        <f>Tabla1[[#This Row],[Noche]]-Tabla1[[#This Row],[Mañana ]]</f>
        <v>3546</v>
      </c>
      <c r="Q345" s="58"/>
      <c r="R345" s="21">
        <f t="shared" si="8"/>
        <v>0</v>
      </c>
      <c r="S345" s="22">
        <f>Tabla1[[#This Row],[Merma Salas A &amp; B2]]*1000/Tabla1[[#This Row],[Peso gr.]]</f>
        <v>0</v>
      </c>
      <c r="T345" s="52"/>
      <c r="U345" s="24">
        <f>Tabla1[[#This Row],[Total piezas NOK]]/Tabla1[[#This Row],[Cant. Fabricada (uds)]]</f>
        <v>0</v>
      </c>
    </row>
    <row r="346" spans="1:22" x14ac:dyDescent="0.3">
      <c r="A346" s="43">
        <v>44545</v>
      </c>
      <c r="B346" s="20" t="s">
        <v>914</v>
      </c>
      <c r="C346" s="20" t="s">
        <v>585</v>
      </c>
      <c r="D346" s="13" t="str">
        <f>VLOOKUP(C:C,'LListat referències'!A:B,2,FALSE)</f>
        <v>Tarro 200ml quadrat cònic</v>
      </c>
      <c r="E346" s="18" t="str">
        <f>VLOOKUP(C:C,'LListat referències'!A:D,4,FALSE)</f>
        <v>T083</v>
      </c>
      <c r="F346" s="49">
        <f>VLOOKUP(C:C,'LListat referències'!A:E,5,FALSE)</f>
        <v>233</v>
      </c>
      <c r="G346" s="49">
        <v>111.31</v>
      </c>
      <c r="H346" s="49">
        <v>2</v>
      </c>
      <c r="I346" s="75">
        <f>Tabla1[[#This Row],[Cant. Fabricada (uds)]]/Tabla1[[#This Row],[Cavidades]]*Tabla1[[#This Row],[Tiempo Ciclo]]/60/60</f>
        <v>5.8128555555555552</v>
      </c>
      <c r="J346" s="1" t="s">
        <v>7</v>
      </c>
      <c r="K346" s="25"/>
      <c r="L346" s="25">
        <v>0</v>
      </c>
      <c r="M346" s="25">
        <v>134</v>
      </c>
      <c r="N346" s="25">
        <v>376</v>
      </c>
      <c r="O346" s="20">
        <v>51</v>
      </c>
      <c r="P346" s="1">
        <f>Tabla1[[#This Row],[Noche]]-Tabla1[[#This Row],[Mañana ]]</f>
        <v>376</v>
      </c>
      <c r="Q346" s="58">
        <v>5</v>
      </c>
      <c r="R346" s="21">
        <f t="shared" si="8"/>
        <v>5</v>
      </c>
      <c r="S346" s="22">
        <f>Tabla1[[#This Row],[Merma Salas A &amp; B2]]*1000/Tabla1[[#This Row],[Peso gr.]]</f>
        <v>21.459227467811157</v>
      </c>
      <c r="T346" s="52"/>
      <c r="U346" s="24">
        <f>Tabla1[[#This Row],[Total piezas NOK]]/Tabla1[[#This Row],[Cant. Fabricada (uds)]]</f>
        <v>5.707241347822116E-2</v>
      </c>
    </row>
    <row r="347" spans="1:22" x14ac:dyDescent="0.3">
      <c r="A347" s="43">
        <v>44545</v>
      </c>
      <c r="B347" s="20" t="s">
        <v>919</v>
      </c>
      <c r="C347" s="20" t="s">
        <v>615</v>
      </c>
      <c r="D347" s="13" t="str">
        <f>VLOOKUP(C:C,'LListat referències'!A:B,2,FALSE)</f>
        <v>Tarro 50ml Tinter Quadrat</v>
      </c>
      <c r="E347" s="18" t="str">
        <f>VLOOKUP(C:C,'LListat referències'!A:D,4,FALSE)</f>
        <v>T116</v>
      </c>
      <c r="F347" s="49">
        <f>VLOOKUP(C:C,'LListat referències'!A:E,5,FALSE)</f>
        <v>121.5</v>
      </c>
      <c r="G347" s="49">
        <v>126.1</v>
      </c>
      <c r="H347" s="49">
        <v>2</v>
      </c>
      <c r="I347" s="75">
        <f>Tabla1[[#This Row],[Cant. Fabricada (uds)]]/Tabla1[[#This Row],[Cavidades]]*Tabla1[[#This Row],[Tiempo Ciclo]]/60/60</f>
        <v>15.307138888888888</v>
      </c>
      <c r="J347" s="1" t="s">
        <v>8</v>
      </c>
      <c r="K347" s="25"/>
      <c r="L347" s="25">
        <v>33108</v>
      </c>
      <c r="M347" s="25">
        <v>33528</v>
      </c>
      <c r="N347" s="25">
        <v>33982</v>
      </c>
      <c r="O347" s="20">
        <v>30</v>
      </c>
      <c r="P347" s="1">
        <f>Tabla1[[#This Row],[Noche]]-Tabla1[[#This Row],[Mañana ]]</f>
        <v>874</v>
      </c>
      <c r="Q347" s="58"/>
      <c r="R347" s="21">
        <f t="shared" si="8"/>
        <v>0</v>
      </c>
      <c r="S347" s="22">
        <f>Tabla1[[#This Row],[Merma Salas A &amp; B2]]*1000/Tabla1[[#This Row],[Peso gr.]]</f>
        <v>0</v>
      </c>
      <c r="T347" s="52"/>
      <c r="U347" s="24">
        <f>Tabla1[[#This Row],[Total piezas NOK]]/Tabla1[[#This Row],[Cant. Fabricada (uds)]]</f>
        <v>0</v>
      </c>
    </row>
    <row r="348" spans="1:22" x14ac:dyDescent="0.3">
      <c r="A348" s="43">
        <v>44545</v>
      </c>
      <c r="B348" s="20" t="s">
        <v>839</v>
      </c>
      <c r="C348" s="20" t="s">
        <v>10</v>
      </c>
      <c r="D348" s="13" t="str">
        <f>VLOOKUP(C:C,'LListat referències'!A:B,2,FALSE)</f>
        <v xml:space="preserve">Tapa 100 ml prima </v>
      </c>
      <c r="E348" s="18" t="str">
        <f>VLOOKUP(C:C,'LListat referències'!A:D,4,FALSE)</f>
        <v>#26(100 ml)</v>
      </c>
      <c r="F348" s="49">
        <f>VLOOKUP(C:C,'LListat referències'!A:E,5,FALSE)</f>
        <v>30.3</v>
      </c>
      <c r="G348" s="49">
        <v>66.400000000000006</v>
      </c>
      <c r="H348" s="49">
        <v>4</v>
      </c>
      <c r="I348" s="75">
        <f>Tabla1[[#This Row],[Cant. Fabricada (uds)]]/Tabla1[[#This Row],[Cavidades]]*Tabla1[[#This Row],[Tiempo Ciclo]]/60/60</f>
        <v>5.376555555555556</v>
      </c>
      <c r="J348" s="1" t="s">
        <v>15</v>
      </c>
      <c r="K348" s="25"/>
      <c r="L348" s="25">
        <v>38307</v>
      </c>
      <c r="M348" s="25">
        <v>39091</v>
      </c>
      <c r="N348" s="25">
        <v>39473</v>
      </c>
      <c r="O348" s="20">
        <v>38</v>
      </c>
      <c r="P348" s="1">
        <f>Tabla1[[#This Row],[Noche]]-Tabla1[[#This Row],[Mañana ]]</f>
        <v>1166</v>
      </c>
      <c r="Q348" s="58"/>
      <c r="R348" s="21">
        <f t="shared" si="8"/>
        <v>0</v>
      </c>
      <c r="S348" s="22">
        <f>Tabla1[[#This Row],[Merma Salas A &amp; B2]]*1000/Tabla1[[#This Row],[Peso gr.]]</f>
        <v>0</v>
      </c>
      <c r="T348" s="52"/>
      <c r="U348" s="24">
        <f>Tabla1[[#This Row],[Total piezas NOK]]/Tabla1[[#This Row],[Cant. Fabricada (uds)]]</f>
        <v>0</v>
      </c>
    </row>
    <row r="349" spans="1:22" x14ac:dyDescent="0.3">
      <c r="A349" s="43">
        <v>44545</v>
      </c>
      <c r="B349" s="20" t="s">
        <v>924</v>
      </c>
      <c r="C349" s="20" t="s">
        <v>668</v>
      </c>
      <c r="D349" s="13" t="str">
        <f>VLOOKUP(C:C,'LListat referències'!A:B,2,FALSE)</f>
        <v>Cubilet 200 ml baix sense nervi</v>
      </c>
      <c r="E349" s="18" t="str">
        <f>VLOOKUP(C:C,'LListat referències'!A:D,4,FALSE)</f>
        <v/>
      </c>
      <c r="F349" s="49">
        <f>VLOOKUP(C:C,'LListat referències'!A:E,5,FALSE)</f>
        <v>21.7</v>
      </c>
      <c r="G349" s="49">
        <v>22.66</v>
      </c>
      <c r="H349" s="49">
        <v>2</v>
      </c>
      <c r="I349" s="75">
        <f>Tabla1[[#This Row],[Cant. Fabricada (uds)]]/Tabla1[[#This Row],[Cavidades]]*Tabla1[[#This Row],[Tiempo Ciclo]]/60/60</f>
        <v>0.893811111111111</v>
      </c>
      <c r="J349" s="1" t="s">
        <v>797</v>
      </c>
      <c r="K349" s="25"/>
      <c r="L349" s="25">
        <v>6084</v>
      </c>
      <c r="M349" s="25">
        <v>6084</v>
      </c>
      <c r="N349" s="25">
        <v>6368</v>
      </c>
      <c r="O349" s="20">
        <v>25</v>
      </c>
      <c r="P349" s="1">
        <f>Tabla1[[#This Row],[Noche]]-Tabla1[[#This Row],[Mañana ]]</f>
        <v>284</v>
      </c>
      <c r="Q349" s="58"/>
      <c r="R349" s="21">
        <f t="shared" si="8"/>
        <v>0</v>
      </c>
      <c r="S349" s="22">
        <f>Tabla1[[#This Row],[Merma Salas A &amp; B2]]*1000/Tabla1[[#This Row],[Peso gr.]]</f>
        <v>0</v>
      </c>
      <c r="T349" s="52"/>
      <c r="U349" s="24">
        <f>Tabla1[[#This Row],[Total piezas NOK]]/Tabla1[[#This Row],[Cant. Fabricada (uds)]]</f>
        <v>0</v>
      </c>
    </row>
    <row r="350" spans="1:22" x14ac:dyDescent="0.3">
      <c r="A350" s="43">
        <v>44546</v>
      </c>
      <c r="B350" s="20" t="s">
        <v>920</v>
      </c>
      <c r="C350" s="20" t="s">
        <v>615</v>
      </c>
      <c r="D350" s="13" t="str">
        <f>VLOOKUP(C:C,'LListat referències'!A:B,2,FALSE)</f>
        <v>Tarro 50ml Tinter Quadrat</v>
      </c>
      <c r="E350" s="18" t="str">
        <f>VLOOKUP(C:C,'LListat referències'!A:D,4,FALSE)</f>
        <v>T116</v>
      </c>
      <c r="F350" s="49">
        <f>VLOOKUP(C:C,'LListat referències'!A:E,5,FALSE)</f>
        <v>121.5</v>
      </c>
      <c r="G350" s="49">
        <v>126.1</v>
      </c>
      <c r="H350" s="49">
        <v>2</v>
      </c>
      <c r="I350" s="75">
        <f>Tabla1[[#This Row],[Cant. Fabricada (uds)]]/Tabla1[[#This Row],[Cavidades]]*Tabla1[[#This Row],[Tiempo Ciclo]]/60/60</f>
        <v>1.7513888888888888E-2</v>
      </c>
      <c r="J350" s="1" t="s">
        <v>8</v>
      </c>
      <c r="K350" s="25"/>
      <c r="L350" s="25">
        <v>34420</v>
      </c>
      <c r="M350" s="25"/>
      <c r="N350" s="25">
        <v>34421</v>
      </c>
      <c r="O350" s="20">
        <v>30</v>
      </c>
      <c r="P350" s="1">
        <f>Tabla1[[#This Row],[Noche]]-Tabla1[[#This Row],[Mañana ]]</f>
        <v>1</v>
      </c>
      <c r="Q350" s="58"/>
      <c r="R350" s="21">
        <f t="shared" si="8"/>
        <v>0</v>
      </c>
      <c r="S350" s="22">
        <f>Tabla1[[#This Row],[Merma Salas A &amp; B2]]*1000/Tabla1[[#This Row],[Peso gr.]]</f>
        <v>0</v>
      </c>
      <c r="T350" s="52"/>
      <c r="U350" s="24">
        <f>Tabla1[[#This Row],[Total piezas NOK]]/Tabla1[[#This Row],[Cant. Fabricada (uds)]]</f>
        <v>0</v>
      </c>
    </row>
    <row r="351" spans="1:22" x14ac:dyDescent="0.3">
      <c r="A351" s="43" t="s">
        <v>934</v>
      </c>
      <c r="B351" s="20" t="s">
        <v>907</v>
      </c>
      <c r="C351" s="20" t="s">
        <v>644</v>
      </c>
      <c r="D351" s="13" t="str">
        <f>VLOOKUP(C:C,'LListat referències'!A:B,2,FALSE)</f>
        <v>Tarro 200ml Quadrat estret (Tapa Rodona)</v>
      </c>
      <c r="E351" s="18">
        <f>VLOOKUP(C:C,'LListat referències'!A:D,4,FALSE)</f>
        <v>0</v>
      </c>
      <c r="F351" s="49">
        <f>VLOOKUP(C:C,'LListat referències'!A:E,5,FALSE)</f>
        <v>220.84</v>
      </c>
      <c r="G351" s="49">
        <v>122.4</v>
      </c>
      <c r="H351" s="49">
        <v>1</v>
      </c>
      <c r="I351" s="75">
        <f>Tabla1[[#This Row],[Cant. Fabricada (uds)]]/Tabla1[[#This Row],[Cavidades]]*Tabla1[[#This Row],[Tiempo Ciclo]]/60/60</f>
        <v>16.353999999999999</v>
      </c>
      <c r="J351" s="1" t="s">
        <v>8</v>
      </c>
      <c r="K351" s="25"/>
      <c r="L351" s="25">
        <v>1599</v>
      </c>
      <c r="M351" s="25">
        <v>1826</v>
      </c>
      <c r="N351" s="25">
        <v>2080</v>
      </c>
      <c r="O351" s="20">
        <v>41</v>
      </c>
      <c r="P351" s="1">
        <f>Tabla1[[#This Row],[Noche]]-Tabla1[[#This Row],[Mañana ]]</f>
        <v>481</v>
      </c>
      <c r="Q351" s="58"/>
      <c r="R351" s="21">
        <f t="shared" si="8"/>
        <v>0</v>
      </c>
      <c r="S351" s="22">
        <f>Tabla1[[#This Row],[Merma Salas A &amp; B2]]*1000/Tabla1[[#This Row],[Peso gr.]]</f>
        <v>0</v>
      </c>
      <c r="T351" s="52">
        <v>30</v>
      </c>
      <c r="U351" s="24">
        <f>Tabla1[[#This Row],[Total piezas NOK]]/Tabla1[[#This Row],[Cant. Fabricada (uds)]]</f>
        <v>0</v>
      </c>
    </row>
    <row r="352" spans="1:22" x14ac:dyDescent="0.3">
      <c r="A352" s="43">
        <v>44544</v>
      </c>
      <c r="B352" s="20" t="s">
        <v>907</v>
      </c>
      <c r="C352" s="20" t="s">
        <v>644</v>
      </c>
      <c r="D352" s="13" t="str">
        <f>VLOOKUP(C:C,'LListat referències'!A:B,2,FALSE)</f>
        <v>Tarro 200ml Quadrat estret (Tapa Rodona)</v>
      </c>
      <c r="E352" s="18">
        <f>VLOOKUP(C:C,'LListat referències'!A:D,4,FALSE)</f>
        <v>0</v>
      </c>
      <c r="F352" s="49">
        <f>VLOOKUP(C:C,'LListat referències'!A:E,5,FALSE)</f>
        <v>220.84</v>
      </c>
      <c r="G352" s="49">
        <v>122.4</v>
      </c>
      <c r="H352" s="49">
        <v>1</v>
      </c>
      <c r="I352" s="75">
        <f>Tabla1[[#This Row],[Cant. Fabricada (uds)]]/Tabla1[[#This Row],[Cavidades]]*Tabla1[[#This Row],[Tiempo Ciclo]]/60/60</f>
        <v>16.864000000000001</v>
      </c>
      <c r="J352" s="1" t="s">
        <v>8</v>
      </c>
      <c r="K352" s="25"/>
      <c r="L352" s="25">
        <v>2351</v>
      </c>
      <c r="M352" s="25">
        <v>2584</v>
      </c>
      <c r="N352" s="25">
        <v>2847</v>
      </c>
      <c r="O352" s="20">
        <v>41</v>
      </c>
      <c r="P352" s="1">
        <f>Tabla1[[#This Row],[Noche]]-Tabla1[[#This Row],[Mañana ]]</f>
        <v>496</v>
      </c>
      <c r="Q352" s="58"/>
      <c r="R352" s="21">
        <f t="shared" si="8"/>
        <v>0</v>
      </c>
      <c r="S352" s="22">
        <f>Tabla1[[#This Row],[Merma Salas A &amp; B2]]*1000/Tabla1[[#This Row],[Peso gr.]]</f>
        <v>0</v>
      </c>
      <c r="T352" s="52">
        <v>45</v>
      </c>
      <c r="U352" s="24">
        <f>Tabla1[[#This Row],[Total piezas NOK]]/Tabla1[[#This Row],[Cant. Fabricada (uds)]]</f>
        <v>0</v>
      </c>
    </row>
    <row r="353" spans="1:22" x14ac:dyDescent="0.3">
      <c r="A353" s="43">
        <v>44545</v>
      </c>
      <c r="B353" s="20" t="s">
        <v>907</v>
      </c>
      <c r="C353" s="20" t="s">
        <v>644</v>
      </c>
      <c r="D353" s="13" t="str">
        <f>VLOOKUP(C:C,'LListat referències'!A:B,2,FALSE)</f>
        <v>Tarro 200ml Quadrat estret (Tapa Rodona)</v>
      </c>
      <c r="E353" s="18">
        <f>VLOOKUP(C:C,'LListat referències'!A:D,4,FALSE)</f>
        <v>0</v>
      </c>
      <c r="F353" s="49">
        <f>VLOOKUP(C:C,'LListat referències'!A:E,5,FALSE)</f>
        <v>220.84</v>
      </c>
      <c r="G353" s="49">
        <v>122.4</v>
      </c>
      <c r="H353" s="49">
        <v>1</v>
      </c>
      <c r="I353" s="75">
        <f>Tabla1[[#This Row],[Cant. Fabricada (uds)]]/Tabla1[[#This Row],[Cavidades]]*Tabla1[[#This Row],[Tiempo Ciclo]]/60/60</f>
        <v>17.306000000000001</v>
      </c>
      <c r="J353" s="1" t="s">
        <v>8</v>
      </c>
      <c r="K353" s="25"/>
      <c r="L353" s="25">
        <v>3100</v>
      </c>
      <c r="M353" s="25">
        <v>3340</v>
      </c>
      <c r="N353" s="25">
        <v>3609</v>
      </c>
      <c r="O353" s="20">
        <v>41</v>
      </c>
      <c r="P353" s="1">
        <f>Tabla1[[#This Row],[Noche]]-Tabla1[[#This Row],[Mañana ]]</f>
        <v>509</v>
      </c>
      <c r="Q353" s="58"/>
      <c r="R353" s="21">
        <f t="shared" si="8"/>
        <v>0</v>
      </c>
      <c r="S353" s="22">
        <f>Tabla1[[#This Row],[Merma Salas A &amp; B2]]*1000/Tabla1[[#This Row],[Peso gr.]]</f>
        <v>0</v>
      </c>
      <c r="T353" s="52">
        <v>55</v>
      </c>
      <c r="U353" s="24">
        <f>Tabla1[[#This Row],[Total piezas NOK]]/Tabla1[[#This Row],[Cant. Fabricada (uds)]]</f>
        <v>0</v>
      </c>
    </row>
    <row r="354" spans="1:22" x14ac:dyDescent="0.3">
      <c r="A354" s="43">
        <v>44546</v>
      </c>
      <c r="B354" s="20" t="s">
        <v>907</v>
      </c>
      <c r="C354" s="20" t="s">
        <v>644</v>
      </c>
      <c r="D354" s="13" t="str">
        <f>VLOOKUP(C:C,'LListat referències'!A:B,2,FALSE)</f>
        <v>Tarro 200ml Quadrat estret (Tapa Rodona)</v>
      </c>
      <c r="E354" s="18">
        <f>VLOOKUP(C:C,'LListat referències'!A:D,4,FALSE)</f>
        <v>0</v>
      </c>
      <c r="F354" s="49">
        <f>VLOOKUP(C:C,'LListat referències'!A:E,5,FALSE)</f>
        <v>220.84</v>
      </c>
      <c r="G354" s="49">
        <v>122.4</v>
      </c>
      <c r="H354" s="49">
        <v>1</v>
      </c>
      <c r="I354" s="75">
        <f>Tabla1[[#This Row],[Cant. Fabricada (uds)]]/Tabla1[[#This Row],[Cavidades]]*Tabla1[[#This Row],[Tiempo Ciclo]]/60/60</f>
        <v>16.966000000000001</v>
      </c>
      <c r="J354" s="1" t="s">
        <v>8</v>
      </c>
      <c r="K354" s="25"/>
      <c r="L354" s="25">
        <v>3867</v>
      </c>
      <c r="M354" s="25">
        <v>4106</v>
      </c>
      <c r="N354" s="25">
        <v>4366</v>
      </c>
      <c r="O354" s="20">
        <v>41</v>
      </c>
      <c r="P354" s="1">
        <f>Tabla1[[#This Row],[Noche]]-Tabla1[[#This Row],[Mañana ]]</f>
        <v>499</v>
      </c>
      <c r="Q354" s="58"/>
      <c r="R354" s="21">
        <f t="shared" si="8"/>
        <v>0</v>
      </c>
      <c r="S354" s="22">
        <f>Tabla1[[#This Row],[Merma Salas A &amp; B2]]*1000/Tabla1[[#This Row],[Peso gr.]]</f>
        <v>0</v>
      </c>
      <c r="T354" s="52">
        <v>50</v>
      </c>
      <c r="U354" s="24">
        <f>Tabla1[[#This Row],[Total piezas NOK]]/Tabla1[[#This Row],[Cant. Fabricada (uds)]]</f>
        <v>0</v>
      </c>
    </row>
    <row r="355" spans="1:22" x14ac:dyDescent="0.3">
      <c r="A355" s="43">
        <v>44547</v>
      </c>
      <c r="B355" s="20" t="s">
        <v>907</v>
      </c>
      <c r="C355" s="20" t="s">
        <v>644</v>
      </c>
      <c r="D355" s="13" t="str">
        <f>VLOOKUP(C:C,'LListat referències'!A:B,2,FALSE)</f>
        <v>Tarro 200ml Quadrat estret (Tapa Rodona)</v>
      </c>
      <c r="E355" s="18">
        <f>VLOOKUP(C:C,'LListat referències'!A:D,4,FALSE)</f>
        <v>0</v>
      </c>
      <c r="F355" s="49">
        <f>VLOOKUP(C:C,'LListat referències'!A:E,5,FALSE)</f>
        <v>220.84</v>
      </c>
      <c r="G355" s="49">
        <v>122.4</v>
      </c>
      <c r="H355" s="49">
        <v>1</v>
      </c>
      <c r="I355" s="75">
        <f>Tabla1[[#This Row],[Cant. Fabricada (uds)]]/Tabla1[[#This Row],[Cavidades]]*Tabla1[[#This Row],[Tiempo Ciclo]]/60/60</f>
        <v>15.674000000000001</v>
      </c>
      <c r="J355" s="1" t="s">
        <v>8</v>
      </c>
      <c r="K355" s="25"/>
      <c r="L355" s="25">
        <v>4619</v>
      </c>
      <c r="M355" s="25">
        <v>4867</v>
      </c>
      <c r="N355" s="25">
        <v>5080</v>
      </c>
      <c r="O355" s="20">
        <v>41</v>
      </c>
      <c r="P355" s="1">
        <f>Tabla1[[#This Row],[Noche]]-Tabla1[[#This Row],[Mañana ]]</f>
        <v>461</v>
      </c>
      <c r="Q355" s="58"/>
      <c r="R355" s="21">
        <f t="shared" si="8"/>
        <v>0</v>
      </c>
      <c r="S355" s="22">
        <f>Tabla1[[#This Row],[Merma Salas A &amp; B2]]*1000/Tabla1[[#This Row],[Peso gr.]]</f>
        <v>0</v>
      </c>
      <c r="T355" s="52">
        <v>45</v>
      </c>
      <c r="U355" s="24">
        <f>Tabla1[[#This Row],[Total piezas NOK]]/Tabla1[[#This Row],[Cant. Fabricada (uds)]]</f>
        <v>0</v>
      </c>
    </row>
    <row r="356" spans="1:22" x14ac:dyDescent="0.3">
      <c r="A356" s="43">
        <v>44550</v>
      </c>
      <c r="B356" s="20" t="s">
        <v>907</v>
      </c>
      <c r="C356" s="20" t="s">
        <v>644</v>
      </c>
      <c r="D356" s="13" t="str">
        <f>VLOOKUP(C:C,'LListat referències'!A:B,2,FALSE)</f>
        <v>Tarro 200ml Quadrat estret (Tapa Rodona)</v>
      </c>
      <c r="E356" s="18">
        <f>VLOOKUP(C:C,'LListat referències'!A:D,4,FALSE)</f>
        <v>0</v>
      </c>
      <c r="F356" s="49">
        <f>VLOOKUP(C:C,'LListat referències'!A:E,5,FALSE)</f>
        <v>220.84</v>
      </c>
      <c r="G356" s="49">
        <v>122.4</v>
      </c>
      <c r="H356" s="49">
        <v>1</v>
      </c>
      <c r="I356" s="75">
        <f>Tabla1[[#This Row],[Cant. Fabricada (uds)]]/Tabla1[[#This Row],[Cavidades]]*Tabla1[[#This Row],[Tiempo Ciclo]]/60/60</f>
        <v>17.102</v>
      </c>
      <c r="J356" s="1" t="s">
        <v>8</v>
      </c>
      <c r="K356" s="25"/>
      <c r="L356" s="25">
        <v>5295</v>
      </c>
      <c r="M356" s="25">
        <v>5546</v>
      </c>
      <c r="N356" s="25">
        <v>5798</v>
      </c>
      <c r="O356" s="20">
        <v>41</v>
      </c>
      <c r="P356" s="1">
        <f>Tabla1[[#This Row],[Noche]]-Tabla1[[#This Row],[Mañana ]]</f>
        <v>503</v>
      </c>
      <c r="Q356" s="58">
        <v>5</v>
      </c>
      <c r="R356" s="21">
        <f t="shared" si="8"/>
        <v>5</v>
      </c>
      <c r="S356" s="22">
        <f>Tabla1[[#This Row],[Merma Salas A &amp; B2]]*1000/Tabla1[[#This Row],[Peso gr.]]</f>
        <v>22.640825937330195</v>
      </c>
      <c r="T356" s="52"/>
      <c r="U356" s="24">
        <f>Tabla1[[#This Row],[Total piezas NOK]]/Tabla1[[#This Row],[Cant. Fabricada (uds)]]</f>
        <v>4.5011582380378119E-2</v>
      </c>
    </row>
    <row r="357" spans="1:22" x14ac:dyDescent="0.3">
      <c r="A357" s="43">
        <v>44551</v>
      </c>
      <c r="B357" s="20" t="s">
        <v>907</v>
      </c>
      <c r="C357" s="20" t="s">
        <v>644</v>
      </c>
      <c r="D357" s="13" t="str">
        <f>VLOOKUP(C:C,'LListat referències'!A:B,2,FALSE)</f>
        <v>Tarro 200ml Quadrat estret (Tapa Rodona)</v>
      </c>
      <c r="E357" s="18">
        <f>VLOOKUP(C:C,'LListat referències'!A:D,4,FALSE)</f>
        <v>0</v>
      </c>
      <c r="F357" s="49">
        <f>VLOOKUP(C:C,'LListat referències'!A:E,5,FALSE)</f>
        <v>220.84</v>
      </c>
      <c r="G357" s="49">
        <v>122.4</v>
      </c>
      <c r="H357" s="49">
        <v>1</v>
      </c>
      <c r="I357" s="75">
        <f>Tabla1[[#This Row],[Cant. Fabricada (uds)]]/Tabla1[[#This Row],[Cavidades]]*Tabla1[[#This Row],[Tiempo Ciclo]]/60/60</f>
        <v>17.34</v>
      </c>
      <c r="J357" s="1" t="s">
        <v>8</v>
      </c>
      <c r="K357" s="25"/>
      <c r="L357" s="25">
        <v>6056</v>
      </c>
      <c r="M357" s="25">
        <v>6301</v>
      </c>
      <c r="N357" s="25">
        <v>6566</v>
      </c>
      <c r="O357" s="20">
        <v>41</v>
      </c>
      <c r="P357" s="1">
        <f>Tabla1[[#This Row],[Noche]]-Tabla1[[#This Row],[Mañana ]]</f>
        <v>510</v>
      </c>
      <c r="Q357" s="58">
        <v>5</v>
      </c>
      <c r="R357" s="21">
        <f t="shared" si="8"/>
        <v>5</v>
      </c>
      <c r="S357" s="22">
        <f>Tabla1[[#This Row],[Merma Salas A &amp; B2]]*1000/Tabla1[[#This Row],[Peso gr.]]</f>
        <v>22.640825937330195</v>
      </c>
      <c r="T357" s="52"/>
      <c r="U357" s="24">
        <f>Tabla1[[#This Row],[Total piezas NOK]]/Tabla1[[#This Row],[Cant. Fabricada (uds)]]</f>
        <v>4.4393776347706262E-2</v>
      </c>
    </row>
    <row r="358" spans="1:22" x14ac:dyDescent="0.3">
      <c r="A358" s="43">
        <v>44552</v>
      </c>
      <c r="B358" s="20" t="s">
        <v>907</v>
      </c>
      <c r="C358" s="20" t="s">
        <v>644</v>
      </c>
      <c r="D358" s="13" t="str">
        <f>VLOOKUP(C:C,'LListat referències'!A:B,2,FALSE)</f>
        <v>Tarro 200ml Quadrat estret (Tapa Rodona)</v>
      </c>
      <c r="E358" s="18">
        <f>VLOOKUP(C:C,'LListat referències'!A:D,4,FALSE)</f>
        <v>0</v>
      </c>
      <c r="F358" s="49">
        <f>VLOOKUP(C:C,'LListat referències'!A:E,5,FALSE)</f>
        <v>220.84</v>
      </c>
      <c r="G358" s="49">
        <v>122.4</v>
      </c>
      <c r="H358" s="49">
        <v>1</v>
      </c>
      <c r="I358" s="75">
        <f>Tabla1[[#This Row],[Cant. Fabricada (uds)]]/Tabla1[[#This Row],[Cavidades]]*Tabla1[[#This Row],[Tiempo Ciclo]]/60/60</f>
        <v>15.164</v>
      </c>
      <c r="J358" s="1" t="s">
        <v>8</v>
      </c>
      <c r="K358" s="25"/>
      <c r="L358" s="25">
        <v>6823</v>
      </c>
      <c r="M358" s="25">
        <v>7066</v>
      </c>
      <c r="N358" s="25">
        <v>7269</v>
      </c>
      <c r="O358" s="20">
        <v>41</v>
      </c>
      <c r="P358" s="1">
        <f>Tabla1[[#This Row],[Noche]]-Tabla1[[#This Row],[Mañana ]]</f>
        <v>446</v>
      </c>
      <c r="Q358" s="58">
        <v>10</v>
      </c>
      <c r="R358" s="21">
        <f t="shared" si="8"/>
        <v>10</v>
      </c>
      <c r="S358" s="22">
        <f>Tabla1[[#This Row],[Merma Salas A &amp; B2]]*1000/Tabla1[[#This Row],[Peso gr.]]</f>
        <v>45.28165187466039</v>
      </c>
      <c r="T358" s="52"/>
      <c r="U358" s="24">
        <f>Tabla1[[#This Row],[Total piezas NOK]]/Tabla1[[#This Row],[Cant. Fabricada (uds)]]</f>
        <v>0.10152836743197396</v>
      </c>
    </row>
    <row r="359" spans="1:22" x14ac:dyDescent="0.3">
      <c r="A359" s="43">
        <v>44199</v>
      </c>
      <c r="B359" s="20" t="s">
        <v>907</v>
      </c>
      <c r="C359" s="20" t="s">
        <v>644</v>
      </c>
      <c r="D359" s="13" t="str">
        <f>VLOOKUP(C:C,'LListat referències'!A:B,2,FALSE)</f>
        <v>Tarro 200ml Quadrat estret (Tapa Rodona)</v>
      </c>
      <c r="E359" s="18">
        <f>VLOOKUP(C:C,'LListat referències'!A:D,4,FALSE)</f>
        <v>0</v>
      </c>
      <c r="F359" s="49">
        <f>VLOOKUP(C:C,'LListat referències'!A:E,5,FALSE)</f>
        <v>220.84</v>
      </c>
      <c r="G359" s="49">
        <v>122.4</v>
      </c>
      <c r="H359" s="49">
        <v>1</v>
      </c>
      <c r="I359" s="75">
        <f>Tabla1[[#This Row],[Cant. Fabricada (uds)]]/Tabla1[[#This Row],[Cavidades]]*Tabla1[[#This Row],[Tiempo Ciclo]]/60/60</f>
        <v>16.422000000000001</v>
      </c>
      <c r="J359" s="1" t="s">
        <v>8</v>
      </c>
      <c r="K359" s="25"/>
      <c r="L359" s="25">
        <v>7507</v>
      </c>
      <c r="M359" s="25">
        <v>7735</v>
      </c>
      <c r="N359" s="25">
        <v>7990</v>
      </c>
      <c r="O359" s="20">
        <v>41</v>
      </c>
      <c r="P359" s="1">
        <f>Tabla1[[#This Row],[Noche]]-Tabla1[[#This Row],[Mañana ]]</f>
        <v>483</v>
      </c>
      <c r="Q359" s="58">
        <v>10</v>
      </c>
      <c r="R359" s="21">
        <f t="shared" si="8"/>
        <v>10</v>
      </c>
      <c r="S359" s="22">
        <f>Tabla1[[#This Row],[Merma Salas A &amp; B2]]*1000/Tabla1[[#This Row],[Peso gr.]]</f>
        <v>45.28165187466039</v>
      </c>
      <c r="T359" s="52"/>
      <c r="U359" s="24">
        <f>Tabla1[[#This Row],[Total piezas NOK]]/Tabla1[[#This Row],[Cant. Fabricada (uds)]]</f>
        <v>9.3750832038634352E-2</v>
      </c>
    </row>
    <row r="360" spans="1:22" x14ac:dyDescent="0.3">
      <c r="A360" s="43">
        <v>44200</v>
      </c>
      <c r="B360" s="20" t="s">
        <v>907</v>
      </c>
      <c r="C360" s="20" t="s">
        <v>644</v>
      </c>
      <c r="D360" s="13" t="str">
        <f>VLOOKUP(C:C,'LListat referències'!A:B,2,FALSE)</f>
        <v>Tarro 200ml Quadrat estret (Tapa Rodona)</v>
      </c>
      <c r="E360" s="18">
        <f>VLOOKUP(C:C,'LListat referències'!A:D,4,FALSE)</f>
        <v>0</v>
      </c>
      <c r="F360" s="49">
        <f>VLOOKUP(C:C,'LListat referències'!A:E,5,FALSE)</f>
        <v>220.84</v>
      </c>
      <c r="G360" s="49">
        <v>122.4</v>
      </c>
      <c r="H360" s="49">
        <v>1</v>
      </c>
      <c r="I360" s="75">
        <f>Tabla1[[#This Row],[Cant. Fabricada (uds)]]/Tabla1[[#This Row],[Cavidades]]*Tabla1[[#This Row],[Tiempo Ciclo]]/60/60</f>
        <v>2.0059999999999998</v>
      </c>
      <c r="J360" s="1" t="s">
        <v>8</v>
      </c>
      <c r="K360" s="25"/>
      <c r="L360" s="25">
        <v>8273</v>
      </c>
      <c r="M360" s="25">
        <v>8332</v>
      </c>
      <c r="N360" s="25">
        <v>8332</v>
      </c>
      <c r="O360" s="20">
        <v>41</v>
      </c>
      <c r="P360" s="1">
        <f>Tabla1[[#This Row],[Noche]]-Tabla1[[#This Row],[Mañana ]]</f>
        <v>59</v>
      </c>
      <c r="Q360" s="58"/>
      <c r="R360" s="21">
        <f t="shared" si="8"/>
        <v>0</v>
      </c>
      <c r="S360" s="22">
        <f>Tabla1[[#This Row],[Merma Salas A &amp; B2]]*1000/Tabla1[[#This Row],[Peso gr.]]</f>
        <v>0</v>
      </c>
      <c r="T360" s="52">
        <v>20</v>
      </c>
      <c r="U360" s="24">
        <f>Tabla1[[#This Row],[Total piezas NOK]]/Tabla1[[#This Row],[Cant. Fabricada (uds)]]</f>
        <v>0</v>
      </c>
    </row>
    <row r="361" spans="1:22" ht="28.8" x14ac:dyDescent="0.3">
      <c r="A361" s="43">
        <v>44203</v>
      </c>
      <c r="B361" s="20" t="s">
        <v>902</v>
      </c>
      <c r="C361" s="20" t="s">
        <v>644</v>
      </c>
      <c r="D361" s="13" t="str">
        <f>VLOOKUP(C:C,'LListat referències'!A:B,2,FALSE)</f>
        <v>Tarro 200ml Quadrat estret (Tapa Rodona)</v>
      </c>
      <c r="E361" s="18">
        <f>VLOOKUP(C:C,'LListat referències'!A:D,4,FALSE)</f>
        <v>0</v>
      </c>
      <c r="F361" s="49">
        <f>VLOOKUP(C:C,'LListat referències'!A:E,5,FALSE)</f>
        <v>220.84</v>
      </c>
      <c r="G361" s="49">
        <v>122.4</v>
      </c>
      <c r="H361" s="49">
        <v>1</v>
      </c>
      <c r="I361" s="75">
        <f>Tabla1[[#This Row],[Cant. Fabricada (uds)]]/Tabla1[[#This Row],[Cavidades]]*Tabla1[[#This Row],[Tiempo Ciclo]]/60/60</f>
        <v>17</v>
      </c>
      <c r="J361" s="1" t="s">
        <v>7</v>
      </c>
      <c r="K361" s="25"/>
      <c r="L361" s="25">
        <v>0</v>
      </c>
      <c r="M361" s="25">
        <v>300</v>
      </c>
      <c r="N361" s="25">
        <v>500</v>
      </c>
      <c r="O361" s="20">
        <v>41</v>
      </c>
      <c r="P361" s="1">
        <f>Tabla1[[#This Row],[Noche]]-Tabla1[[#This Row],[Mañana ]]</f>
        <v>500</v>
      </c>
      <c r="Q361" s="58"/>
      <c r="R361" s="21">
        <f t="shared" si="8"/>
        <v>0</v>
      </c>
      <c r="S361" s="22">
        <f>Tabla1[[#This Row],[Merma Salas A &amp; B2]]*1000/Tabla1[[#This Row],[Peso gr.]]</f>
        <v>0</v>
      </c>
      <c r="T361" s="52">
        <v>90</v>
      </c>
      <c r="U361" s="24">
        <f>Tabla1[[#This Row],[Total piezas NOK]]/Tabla1[[#This Row],[Cant. Fabricada (uds)]]</f>
        <v>0</v>
      </c>
      <c r="V361" s="19" t="s">
        <v>938</v>
      </c>
    </row>
    <row r="362" spans="1:22" x14ac:dyDescent="0.3">
      <c r="A362" s="43">
        <v>44206</v>
      </c>
      <c r="B362" s="20" t="s">
        <v>937</v>
      </c>
      <c r="C362" s="20" t="s">
        <v>644</v>
      </c>
      <c r="D362" s="13" t="str">
        <f>VLOOKUP(C:C,'LListat referències'!A:B,2,FALSE)</f>
        <v>Tarro 200ml Quadrat estret (Tapa Rodona)</v>
      </c>
      <c r="E362" s="18">
        <f>VLOOKUP(C:C,'LListat referències'!A:D,4,FALSE)</f>
        <v>0</v>
      </c>
      <c r="F362" s="49">
        <f>VLOOKUP(C:C,'LListat referències'!A:E,5,FALSE)</f>
        <v>220.84</v>
      </c>
      <c r="G362" s="49">
        <v>122.4</v>
      </c>
      <c r="H362" s="49">
        <v>1</v>
      </c>
      <c r="I362" s="75">
        <f>Tabla1[[#This Row],[Cant. Fabricada (uds)]]/Tabla1[[#This Row],[Cavidades]]*Tabla1[[#This Row],[Tiempo Ciclo]]/60/60</f>
        <v>3.4</v>
      </c>
      <c r="J362" s="1" t="s">
        <v>7</v>
      </c>
      <c r="K362" s="25"/>
      <c r="L362" s="25">
        <v>0</v>
      </c>
      <c r="M362" s="25"/>
      <c r="N362" s="25">
        <v>100</v>
      </c>
      <c r="O362" s="20">
        <v>41</v>
      </c>
      <c r="P362" s="1">
        <f>Tabla1[[#This Row],[Noche]]-Tabla1[[#This Row],[Mañana ]]</f>
        <v>100</v>
      </c>
      <c r="Q362" s="58"/>
      <c r="R362" s="21">
        <f t="shared" si="8"/>
        <v>0</v>
      </c>
      <c r="S362" s="22">
        <f>Tabla1[[#This Row],[Merma Salas A &amp; B2]]*1000/Tabla1[[#This Row],[Peso gr.]]</f>
        <v>0</v>
      </c>
      <c r="T362" s="52">
        <v>10</v>
      </c>
      <c r="U362" s="24">
        <f>Tabla1[[#This Row],[Total piezas NOK]]/Tabla1[[#This Row],[Cant. Fabricada (uds)]]</f>
        <v>0</v>
      </c>
    </row>
    <row r="363" spans="1:22" x14ac:dyDescent="0.3">
      <c r="A363" s="43">
        <v>44206</v>
      </c>
      <c r="B363" s="20" t="s">
        <v>902</v>
      </c>
      <c r="C363" s="20" t="s">
        <v>644</v>
      </c>
      <c r="D363" s="13" t="str">
        <f>VLOOKUP(C:C,'LListat referències'!A:B,2,FALSE)</f>
        <v>Tarro 200ml Quadrat estret (Tapa Rodona)</v>
      </c>
      <c r="E363" s="18">
        <f>VLOOKUP(C:C,'LListat referències'!A:D,4,FALSE)</f>
        <v>0</v>
      </c>
      <c r="F363" s="49">
        <f>VLOOKUP(C:C,'LListat referències'!A:E,5,FALSE)</f>
        <v>220.84</v>
      </c>
      <c r="G363" s="49">
        <v>122.4</v>
      </c>
      <c r="H363" s="49">
        <v>1</v>
      </c>
      <c r="I363" s="75">
        <f>Tabla1[[#This Row],[Cant. Fabricada (uds)]]/Tabla1[[#This Row],[Cavidades]]*Tabla1[[#This Row],[Tiempo Ciclo]]/60/60</f>
        <v>21.998000000000001</v>
      </c>
      <c r="J363" s="1" t="s">
        <v>7</v>
      </c>
      <c r="K363" s="25"/>
      <c r="L363" s="25">
        <v>500</v>
      </c>
      <c r="M363" s="25">
        <v>908</v>
      </c>
      <c r="N363" s="25">
        <v>1147</v>
      </c>
      <c r="O363" s="20">
        <v>41</v>
      </c>
      <c r="P363" s="1">
        <f>Tabla1[[#This Row],[Noche]]-Tabla1[[#This Row],[Mañana ]]</f>
        <v>647</v>
      </c>
      <c r="Q363" s="58">
        <v>5</v>
      </c>
      <c r="R363" s="21">
        <f t="shared" si="8"/>
        <v>5</v>
      </c>
      <c r="S363" s="22">
        <f>Tabla1[[#This Row],[Merma Salas A &amp; B2]]*1000/Tabla1[[#This Row],[Peso gr.]]</f>
        <v>22.640825937330195</v>
      </c>
      <c r="T363" s="52"/>
      <c r="U363" s="24">
        <f>Tabla1[[#This Row],[Total piezas NOK]]/Tabla1[[#This Row],[Cant. Fabricada (uds)]]</f>
        <v>3.4993548589382063E-2</v>
      </c>
    </row>
    <row r="364" spans="1:22" x14ac:dyDescent="0.3">
      <c r="A364" s="43">
        <v>44207</v>
      </c>
      <c r="B364" s="20" t="s">
        <v>902</v>
      </c>
      <c r="C364" s="20" t="s">
        <v>644</v>
      </c>
      <c r="D364" s="13" t="str">
        <f>VLOOKUP(C:C,'LListat referències'!A:B,2,FALSE)</f>
        <v>Tarro 200ml Quadrat estret (Tapa Rodona)</v>
      </c>
      <c r="E364" s="18">
        <f>VLOOKUP(C:C,'LListat referències'!A:D,4,FALSE)</f>
        <v>0</v>
      </c>
      <c r="F364" s="49">
        <f>VLOOKUP(C:C,'LListat referències'!A:E,5,FALSE)</f>
        <v>220.84</v>
      </c>
      <c r="G364" s="49">
        <v>122.4</v>
      </c>
      <c r="H364" s="49">
        <v>1</v>
      </c>
      <c r="I364" s="75">
        <f>Tabla1[[#This Row],[Cant. Fabricada (uds)]]/Tabla1[[#This Row],[Cavidades]]*Tabla1[[#This Row],[Tiempo Ciclo]]/60/60</f>
        <v>23.8</v>
      </c>
      <c r="J364" s="1" t="s">
        <v>7</v>
      </c>
      <c r="K364" s="25"/>
      <c r="L364" s="25">
        <v>1147</v>
      </c>
      <c r="M364" s="25">
        <v>1613</v>
      </c>
      <c r="N364" s="25">
        <v>1847</v>
      </c>
      <c r="O364" s="20">
        <v>41</v>
      </c>
      <c r="P364" s="1">
        <f>Tabla1[[#This Row],[Noche]]-Tabla1[[#This Row],[Mañana ]]</f>
        <v>700</v>
      </c>
      <c r="Q364" s="58">
        <v>30</v>
      </c>
      <c r="R364" s="21">
        <f t="shared" si="8"/>
        <v>30</v>
      </c>
      <c r="S364" s="22">
        <f>Tabla1[[#This Row],[Merma Salas A &amp; B2]]*1000/Tabla1[[#This Row],[Peso gr.]]</f>
        <v>135.84495562398115</v>
      </c>
      <c r="T364" s="52"/>
      <c r="U364" s="24">
        <f>Tabla1[[#This Row],[Total piezas NOK]]/Tabla1[[#This Row],[Cant. Fabricada (uds)]]</f>
        <v>0.19406422231997308</v>
      </c>
    </row>
    <row r="365" spans="1:22" x14ac:dyDescent="0.3">
      <c r="A365" s="43">
        <v>44208</v>
      </c>
      <c r="B365" s="20" t="s">
        <v>902</v>
      </c>
      <c r="C365" s="20" t="s">
        <v>644</v>
      </c>
      <c r="D365" s="13" t="str">
        <f>VLOOKUP(C:C,'LListat referències'!A:B,2,FALSE)</f>
        <v>Tarro 200ml Quadrat estret (Tapa Rodona)</v>
      </c>
      <c r="E365" s="18">
        <f>VLOOKUP(C:C,'LListat referències'!A:D,4,FALSE)</f>
        <v>0</v>
      </c>
      <c r="F365" s="49">
        <f>VLOOKUP(C:C,'LListat referències'!A:E,5,FALSE)</f>
        <v>220.84</v>
      </c>
      <c r="G365" s="49">
        <v>122.4</v>
      </c>
      <c r="H365" s="49">
        <v>1</v>
      </c>
      <c r="I365" s="75">
        <f>Tabla1[[#This Row],[Cant. Fabricada (uds)]]/Tabla1[[#This Row],[Cavidades]]*Tabla1[[#This Row],[Tiempo Ciclo]]/60/60</f>
        <v>24.071999999999999</v>
      </c>
      <c r="J365" s="1" t="s">
        <v>7</v>
      </c>
      <c r="K365" s="25"/>
      <c r="L365" s="25">
        <v>1847</v>
      </c>
      <c r="M365" s="25">
        <v>2316</v>
      </c>
      <c r="N365" s="25">
        <v>2555</v>
      </c>
      <c r="O365" s="20">
        <v>41</v>
      </c>
      <c r="P365" s="1">
        <f>Tabla1[[#This Row],[Noche]]-Tabla1[[#This Row],[Mañana ]]</f>
        <v>708</v>
      </c>
      <c r="Q365" s="58"/>
      <c r="R365" s="21">
        <f t="shared" si="8"/>
        <v>0</v>
      </c>
      <c r="S365" s="22">
        <f>Tabla1[[#This Row],[Merma Salas A &amp; B2]]*1000/Tabla1[[#This Row],[Peso gr.]]</f>
        <v>0</v>
      </c>
      <c r="T365" s="52"/>
      <c r="U365" s="24">
        <f>Tabla1[[#This Row],[Total piezas NOK]]/Tabla1[[#This Row],[Cant. Fabricada (uds)]]</f>
        <v>0</v>
      </c>
    </row>
    <row r="366" spans="1:22" x14ac:dyDescent="0.3">
      <c r="A366" s="43">
        <v>44209</v>
      </c>
      <c r="B366" s="20" t="s">
        <v>902</v>
      </c>
      <c r="C366" s="20" t="s">
        <v>644</v>
      </c>
      <c r="D366" s="13" t="str">
        <f>VLOOKUP(C:C,'LListat referències'!A:B,2,FALSE)</f>
        <v>Tarro 200ml Quadrat estret (Tapa Rodona)</v>
      </c>
      <c r="E366" s="18">
        <f>VLOOKUP(C:C,'LListat referències'!A:D,4,FALSE)</f>
        <v>0</v>
      </c>
      <c r="F366" s="49">
        <f>VLOOKUP(C:C,'LListat referències'!A:E,5,FALSE)</f>
        <v>220.84</v>
      </c>
      <c r="G366" s="49">
        <v>122.4</v>
      </c>
      <c r="H366" s="49">
        <v>1</v>
      </c>
      <c r="I366" s="75">
        <f>Tabla1[[#This Row],[Cant. Fabricada (uds)]]/Tabla1[[#This Row],[Cavidades]]*Tabla1[[#This Row],[Tiempo Ciclo]]/60/60</f>
        <v>15.912000000000001</v>
      </c>
      <c r="J366" s="1" t="s">
        <v>7</v>
      </c>
      <c r="K366" s="25"/>
      <c r="L366" s="25">
        <v>2790</v>
      </c>
      <c r="M366" s="25">
        <v>3021</v>
      </c>
      <c r="N366" s="25">
        <v>3258</v>
      </c>
      <c r="O366" s="20">
        <v>41</v>
      </c>
      <c r="P366" s="1">
        <f>Tabla1[[#This Row],[Noche]]-Tabla1[[#This Row],[Mañana ]]</f>
        <v>468</v>
      </c>
      <c r="Q366" s="58"/>
      <c r="R366" s="21">
        <f t="shared" si="8"/>
        <v>0</v>
      </c>
      <c r="S366" s="22">
        <f>Tabla1[[#This Row],[Merma Salas A &amp; B2]]*1000/Tabla1[[#This Row],[Peso gr.]]</f>
        <v>0</v>
      </c>
      <c r="T366" s="52"/>
      <c r="U366" s="24">
        <f>Tabla1[[#This Row],[Total piezas NOK]]/Tabla1[[#This Row],[Cant. Fabricada (uds)]]</f>
        <v>0</v>
      </c>
    </row>
    <row r="367" spans="1:22" x14ac:dyDescent="0.3">
      <c r="A367" s="43">
        <v>44210</v>
      </c>
      <c r="B367" s="20" t="s">
        <v>902</v>
      </c>
      <c r="C367" s="20" t="s">
        <v>644</v>
      </c>
      <c r="D367" s="13" t="str">
        <f>VLOOKUP(C:C,'LListat referències'!A:B,2,FALSE)</f>
        <v>Tarro 200ml Quadrat estret (Tapa Rodona)</v>
      </c>
      <c r="E367" s="18">
        <f>VLOOKUP(C:C,'LListat referències'!A:D,4,FALSE)</f>
        <v>0</v>
      </c>
      <c r="F367" s="49">
        <f>VLOOKUP(C:C,'LListat referències'!A:E,5,FALSE)</f>
        <v>220.84</v>
      </c>
      <c r="G367" s="49">
        <v>122.4</v>
      </c>
      <c r="H367" s="49">
        <v>1</v>
      </c>
      <c r="I367" s="75">
        <f>Tabla1[[#This Row],[Cant. Fabricada (uds)]]/Tabla1[[#This Row],[Cavidades]]*Tabla1[[#This Row],[Tiempo Ciclo]]/60/60</f>
        <v>13.838000000000001</v>
      </c>
      <c r="J367" s="1" t="s">
        <v>7</v>
      </c>
      <c r="K367" s="25"/>
      <c r="L367" s="25">
        <v>3519</v>
      </c>
      <c r="M367" s="25">
        <v>3728</v>
      </c>
      <c r="N367" s="25">
        <v>3926</v>
      </c>
      <c r="O367" s="20">
        <v>41</v>
      </c>
      <c r="P367" s="1">
        <f>Tabla1[[#This Row],[Noche]]-Tabla1[[#This Row],[Mañana ]]</f>
        <v>407</v>
      </c>
      <c r="Q367" s="58">
        <v>10</v>
      </c>
      <c r="R367" s="21">
        <f t="shared" si="8"/>
        <v>10</v>
      </c>
      <c r="S367" s="22">
        <f>Tabla1[[#This Row],[Merma Salas A &amp; B2]]*1000/Tabla1[[#This Row],[Peso gr.]]</f>
        <v>45.28165187466039</v>
      </c>
      <c r="T367" s="52"/>
      <c r="U367" s="24">
        <f>Tabla1[[#This Row],[Total piezas NOK]]/Tabla1[[#This Row],[Cant. Fabricada (uds)]]</f>
        <v>0.11125712991317049</v>
      </c>
    </row>
    <row r="368" spans="1:22" x14ac:dyDescent="0.3">
      <c r="A368" s="43">
        <v>44543</v>
      </c>
      <c r="B368" s="20" t="s">
        <v>884</v>
      </c>
      <c r="C368" s="20">
        <v>1861</v>
      </c>
      <c r="D368" s="13" t="str">
        <f>VLOOKUP(C:C,'LListat referències'!A:B,2,FALSE)</f>
        <v>Tarro 50ml Standard 8 unitats</v>
      </c>
      <c r="E368" s="18" t="str">
        <f>VLOOKUP(C:C,'LListat referències'!A:D,4,FALSE)</f>
        <v>T022</v>
      </c>
      <c r="F368" s="49">
        <f>VLOOKUP(C:C,'LListat referències'!A:E,5,FALSE)</f>
        <v>92</v>
      </c>
      <c r="G368" s="49">
        <v>146.19999999999999</v>
      </c>
      <c r="H368" s="49">
        <v>7</v>
      </c>
      <c r="I368" s="75">
        <f>Tabla1[[#This Row],[Cant. Fabricada (uds)]]/Tabla1[[#This Row],[Cavidades]]*Tabla1[[#This Row],[Tiempo Ciclo]]/60/60</f>
        <v>5.8015873015873015E-3</v>
      </c>
      <c r="J368" s="1" t="s">
        <v>885</v>
      </c>
      <c r="K368" s="25"/>
      <c r="L368" s="25"/>
      <c r="M368" s="25"/>
      <c r="N368" s="25"/>
      <c r="O368" s="20">
        <v>43</v>
      </c>
      <c r="P368" s="1">
        <v>1</v>
      </c>
      <c r="Q368" s="58"/>
      <c r="R368" s="21">
        <f t="shared" si="8"/>
        <v>0</v>
      </c>
      <c r="S368" s="22">
        <f>Tabla1[[#This Row],[Merma Salas A &amp; B2]]*1000/Tabla1[[#This Row],[Peso gr.]]</f>
        <v>0</v>
      </c>
      <c r="T368" s="52">
        <v>90</v>
      </c>
      <c r="U368" s="24">
        <f>Tabla1[[#This Row],[Total piezas NOK]]/Tabla1[[#This Row],[Cant. Fabricada (uds)]]</f>
        <v>0</v>
      </c>
      <c r="V368" s="19" t="s">
        <v>939</v>
      </c>
    </row>
    <row r="369" spans="1:22" x14ac:dyDescent="0.3">
      <c r="A369" s="43">
        <v>44544</v>
      </c>
      <c r="B369" s="20" t="s">
        <v>884</v>
      </c>
      <c r="C369" s="20">
        <v>1861</v>
      </c>
      <c r="D369" s="13" t="str">
        <f>VLOOKUP(C:C,'LListat referències'!A:B,2,FALSE)</f>
        <v>Tarro 50ml Standard 8 unitats</v>
      </c>
      <c r="E369" s="18" t="str">
        <f>VLOOKUP(C:C,'LListat referències'!A:D,4,FALSE)</f>
        <v>T022</v>
      </c>
      <c r="F369" s="49">
        <f>VLOOKUP(C:C,'LListat referències'!A:E,5,FALSE)</f>
        <v>92</v>
      </c>
      <c r="G369" s="49">
        <v>146.19999999999999</v>
      </c>
      <c r="H369" s="49">
        <v>7</v>
      </c>
      <c r="I369" s="75">
        <f>Tabla1[[#This Row],[Cant. Fabricada (uds)]]/Tabla1[[#This Row],[Cavidades]]*Tabla1[[#This Row],[Tiempo Ciclo]]/60/60</f>
        <v>5.8015873015873015E-3</v>
      </c>
      <c r="J369" s="1" t="s">
        <v>885</v>
      </c>
      <c r="K369" s="25"/>
      <c r="L369" s="25"/>
      <c r="M369" s="25"/>
      <c r="N369" s="25"/>
      <c r="O369" s="20">
        <v>43</v>
      </c>
      <c r="P369" s="1">
        <v>1</v>
      </c>
      <c r="Q369" s="58"/>
      <c r="R369" s="21">
        <f t="shared" si="8"/>
        <v>0</v>
      </c>
      <c r="S369" s="22">
        <f>Tabla1[[#This Row],[Merma Salas A &amp; B2]]*1000/Tabla1[[#This Row],[Peso gr.]]</f>
        <v>0</v>
      </c>
      <c r="T369" s="52">
        <v>175</v>
      </c>
      <c r="U369" s="24">
        <f>Tabla1[[#This Row],[Total piezas NOK]]/Tabla1[[#This Row],[Cant. Fabricada (uds)]]</f>
        <v>0</v>
      </c>
      <c r="V369" s="19" t="s">
        <v>939</v>
      </c>
    </row>
    <row r="370" spans="1:22" x14ac:dyDescent="0.3">
      <c r="A370" s="43">
        <v>44545</v>
      </c>
      <c r="B370" s="20" t="s">
        <v>884</v>
      </c>
      <c r="C370" s="20">
        <v>1861</v>
      </c>
      <c r="D370" s="13" t="str">
        <f>VLOOKUP(C:C,'LListat referències'!A:B,2,FALSE)</f>
        <v>Tarro 50ml Standard 8 unitats</v>
      </c>
      <c r="E370" s="18" t="str">
        <f>VLOOKUP(C:C,'LListat referències'!A:D,4,FALSE)</f>
        <v>T022</v>
      </c>
      <c r="F370" s="49">
        <f>VLOOKUP(C:C,'LListat referències'!A:E,5,FALSE)</f>
        <v>92</v>
      </c>
      <c r="G370" s="49">
        <v>146.19999999999999</v>
      </c>
      <c r="H370" s="49">
        <v>7</v>
      </c>
      <c r="I370" s="75">
        <f>Tabla1[[#This Row],[Cant. Fabricada (uds)]]/Tabla1[[#This Row],[Cavidades]]*Tabla1[[#This Row],[Tiempo Ciclo]]/60/60</f>
        <v>5.8015873015873015E-3</v>
      </c>
      <c r="J370" s="1" t="s">
        <v>885</v>
      </c>
      <c r="K370" s="25"/>
      <c r="L370" s="25"/>
      <c r="M370" s="25"/>
      <c r="N370" s="25"/>
      <c r="O370" s="20">
        <v>43</v>
      </c>
      <c r="P370" s="1">
        <v>1</v>
      </c>
      <c r="Q370" s="58"/>
      <c r="R370" s="21">
        <f t="shared" si="8"/>
        <v>0</v>
      </c>
      <c r="S370" s="22">
        <f>Tabla1[[#This Row],[Merma Salas A &amp; B2]]*1000/Tabla1[[#This Row],[Peso gr.]]</f>
        <v>0</v>
      </c>
      <c r="T370" s="52">
        <v>100</v>
      </c>
      <c r="U370" s="24">
        <f>Tabla1[[#This Row],[Total piezas NOK]]/Tabla1[[#This Row],[Cant. Fabricada (uds)]]</f>
        <v>0</v>
      </c>
      <c r="V370" s="19" t="s">
        <v>939</v>
      </c>
    </row>
    <row r="371" spans="1:22" x14ac:dyDescent="0.3">
      <c r="A371" s="43">
        <v>44564</v>
      </c>
      <c r="B371" s="20" t="s">
        <v>884</v>
      </c>
      <c r="C371" s="20">
        <v>1861</v>
      </c>
      <c r="D371" s="13" t="str">
        <f>VLOOKUP(C:C,'LListat referències'!A:B,2,FALSE)</f>
        <v>Tarro 50ml Standard 8 unitats</v>
      </c>
      <c r="E371" s="18" t="str">
        <f>VLOOKUP(C:C,'LListat referències'!A:D,4,FALSE)</f>
        <v>T022</v>
      </c>
      <c r="F371" s="49">
        <f>VLOOKUP(C:C,'LListat referències'!A:E,5,FALSE)</f>
        <v>92</v>
      </c>
      <c r="G371" s="49">
        <v>146.19999999999999</v>
      </c>
      <c r="H371" s="49">
        <v>7</v>
      </c>
      <c r="I371" s="75">
        <f>Tabla1[[#This Row],[Cant. Fabricada (uds)]]/Tabla1[[#This Row],[Cavidades]]*Tabla1[[#This Row],[Tiempo Ciclo]]/60/60</f>
        <v>5.8015873015873015E-3</v>
      </c>
      <c r="J371" s="1" t="s">
        <v>885</v>
      </c>
      <c r="K371" s="25"/>
      <c r="L371" s="25"/>
      <c r="M371" s="25"/>
      <c r="N371" s="25"/>
      <c r="O371" s="20">
        <v>43</v>
      </c>
      <c r="P371" s="1">
        <v>1</v>
      </c>
      <c r="Q371" s="58"/>
      <c r="R371" s="21">
        <f t="shared" si="8"/>
        <v>0</v>
      </c>
      <c r="S371" s="22">
        <f>Tabla1[[#This Row],[Merma Salas A &amp; B2]]*1000/Tabla1[[#This Row],[Peso gr.]]</f>
        <v>0</v>
      </c>
      <c r="T371" s="52">
        <v>80</v>
      </c>
      <c r="U371" s="24">
        <f>Tabla1[[#This Row],[Total piezas NOK]]/Tabla1[[#This Row],[Cant. Fabricada (uds)]]</f>
        <v>0</v>
      </c>
      <c r="V371" s="19" t="s">
        <v>939</v>
      </c>
    </row>
    <row r="372" spans="1:22" x14ac:dyDescent="0.3">
      <c r="A372" s="43">
        <v>44565</v>
      </c>
      <c r="B372" s="20" t="s">
        <v>884</v>
      </c>
      <c r="C372" s="20">
        <v>1861</v>
      </c>
      <c r="D372" s="13" t="str">
        <f>VLOOKUP(C:C,'LListat referències'!A:B,2,FALSE)</f>
        <v>Tarro 50ml Standard 8 unitats</v>
      </c>
      <c r="E372" s="18" t="str">
        <f>VLOOKUP(C:C,'LListat referències'!A:D,4,FALSE)</f>
        <v>T022</v>
      </c>
      <c r="F372" s="49">
        <f>VLOOKUP(C:C,'LListat referències'!A:E,5,FALSE)</f>
        <v>92</v>
      </c>
      <c r="G372" s="49">
        <v>146.19999999999999</v>
      </c>
      <c r="H372" s="49">
        <v>7</v>
      </c>
      <c r="I372" s="75">
        <f>Tabla1[[#This Row],[Cant. Fabricada (uds)]]/Tabla1[[#This Row],[Cavidades]]*Tabla1[[#This Row],[Tiempo Ciclo]]/60/60</f>
        <v>5.8015873015873015E-3</v>
      </c>
      <c r="J372" s="1" t="s">
        <v>885</v>
      </c>
      <c r="K372" s="25"/>
      <c r="L372" s="25"/>
      <c r="M372" s="25"/>
      <c r="N372" s="25"/>
      <c r="O372" s="20">
        <v>43</v>
      </c>
      <c r="P372" s="1">
        <v>1</v>
      </c>
      <c r="Q372" s="58"/>
      <c r="R372" s="21">
        <f t="shared" si="8"/>
        <v>0</v>
      </c>
      <c r="S372" s="22">
        <f>Tabla1[[#This Row],[Merma Salas A &amp; B2]]*1000/Tabla1[[#This Row],[Peso gr.]]</f>
        <v>0</v>
      </c>
      <c r="T372" s="52">
        <v>140</v>
      </c>
      <c r="U372" s="24">
        <f>Tabla1[[#This Row],[Total piezas NOK]]/Tabla1[[#This Row],[Cant. Fabricada (uds)]]</f>
        <v>0</v>
      </c>
      <c r="V372" s="19" t="s">
        <v>939</v>
      </c>
    </row>
    <row r="373" spans="1:22" x14ac:dyDescent="0.3">
      <c r="A373" s="43">
        <v>44571</v>
      </c>
      <c r="B373" s="20" t="s">
        <v>884</v>
      </c>
      <c r="C373" s="20">
        <v>1861</v>
      </c>
      <c r="D373" s="13" t="str">
        <f>VLOOKUP(C:C,'LListat referències'!A:B,2,FALSE)</f>
        <v>Tarro 50ml Standard 8 unitats</v>
      </c>
      <c r="E373" s="18" t="str">
        <f>VLOOKUP(C:C,'LListat referències'!A:D,4,FALSE)</f>
        <v>T022</v>
      </c>
      <c r="F373" s="49">
        <f>VLOOKUP(C:C,'LListat referències'!A:E,5,FALSE)</f>
        <v>92</v>
      </c>
      <c r="G373" s="49">
        <v>146.19999999999999</v>
      </c>
      <c r="H373" s="49">
        <v>7</v>
      </c>
      <c r="I373" s="75">
        <f>Tabla1[[#This Row],[Cant. Fabricada (uds)]]/Tabla1[[#This Row],[Cavidades]]*Tabla1[[#This Row],[Tiempo Ciclo]]/60/60</f>
        <v>5.8015873015873015E-3</v>
      </c>
      <c r="J373" s="1" t="s">
        <v>885</v>
      </c>
      <c r="K373" s="25"/>
      <c r="L373" s="25"/>
      <c r="M373" s="25"/>
      <c r="N373" s="25"/>
      <c r="O373" s="20">
        <v>43</v>
      </c>
      <c r="P373" s="1">
        <v>1</v>
      </c>
      <c r="Q373" s="58"/>
      <c r="R373" s="21">
        <f t="shared" si="8"/>
        <v>0</v>
      </c>
      <c r="S373" s="22">
        <f>Tabla1[[#This Row],[Merma Salas A &amp; B2]]*1000/Tabla1[[#This Row],[Peso gr.]]</f>
        <v>0</v>
      </c>
      <c r="T373" s="52">
        <v>55</v>
      </c>
      <c r="U373" s="24">
        <f>Tabla1[[#This Row],[Total piezas NOK]]/Tabla1[[#This Row],[Cant. Fabricada (uds)]]</f>
        <v>0</v>
      </c>
      <c r="V373" s="19" t="s">
        <v>939</v>
      </c>
    </row>
    <row r="374" spans="1:22" x14ac:dyDescent="0.3">
      <c r="A374" s="43">
        <v>44572</v>
      </c>
      <c r="B374" s="20" t="s">
        <v>884</v>
      </c>
      <c r="C374" s="20">
        <v>1861</v>
      </c>
      <c r="D374" s="13" t="str">
        <f>VLOOKUP(C:C,'LListat referències'!A:B,2,FALSE)</f>
        <v>Tarro 50ml Standard 8 unitats</v>
      </c>
      <c r="E374" s="18" t="str">
        <f>VLOOKUP(C:C,'LListat referències'!A:D,4,FALSE)</f>
        <v>T022</v>
      </c>
      <c r="F374" s="49">
        <f>VLOOKUP(C:C,'LListat referències'!A:E,5,FALSE)</f>
        <v>92</v>
      </c>
      <c r="G374" s="49">
        <v>146.19999999999999</v>
      </c>
      <c r="H374" s="49">
        <v>7</v>
      </c>
      <c r="I374" s="75">
        <f>Tabla1[[#This Row],[Cant. Fabricada (uds)]]/Tabla1[[#This Row],[Cavidades]]*Tabla1[[#This Row],[Tiempo Ciclo]]/60/60</f>
        <v>5.8015873015873015E-3</v>
      </c>
      <c r="J374" s="1" t="s">
        <v>885</v>
      </c>
      <c r="K374" s="25"/>
      <c r="L374" s="25"/>
      <c r="M374" s="25"/>
      <c r="N374" s="25"/>
      <c r="O374" s="20">
        <v>43</v>
      </c>
      <c r="P374" s="1">
        <v>1</v>
      </c>
      <c r="Q374" s="58"/>
      <c r="R374" s="21">
        <f t="shared" si="8"/>
        <v>0</v>
      </c>
      <c r="S374" s="22">
        <f>Tabla1[[#This Row],[Merma Salas A &amp; B2]]*1000/Tabla1[[#This Row],[Peso gr.]]</f>
        <v>0</v>
      </c>
      <c r="T374" s="52">
        <v>200</v>
      </c>
      <c r="U374" s="24">
        <f>Tabla1[[#This Row],[Total piezas NOK]]/Tabla1[[#This Row],[Cant. Fabricada (uds)]]</f>
        <v>0</v>
      </c>
      <c r="V374" s="19" t="s">
        <v>939</v>
      </c>
    </row>
    <row r="375" spans="1:22" x14ac:dyDescent="0.3">
      <c r="A375" s="43">
        <v>44573</v>
      </c>
      <c r="B375" s="20" t="s">
        <v>884</v>
      </c>
      <c r="C375" s="20">
        <v>1861</v>
      </c>
      <c r="D375" s="13" t="str">
        <f>VLOOKUP(C:C,'LListat referències'!A:B,2,FALSE)</f>
        <v>Tarro 50ml Standard 8 unitats</v>
      </c>
      <c r="E375" s="18" t="str">
        <f>VLOOKUP(C:C,'LListat referències'!A:D,4,FALSE)</f>
        <v>T022</v>
      </c>
      <c r="F375" s="49">
        <f>VLOOKUP(C:C,'LListat referències'!A:E,5,FALSE)</f>
        <v>92</v>
      </c>
      <c r="G375" s="49">
        <v>146.19999999999999</v>
      </c>
      <c r="H375" s="49">
        <v>7</v>
      </c>
      <c r="I375" s="75">
        <f>Tabla1[[#This Row],[Cant. Fabricada (uds)]]/Tabla1[[#This Row],[Cavidades]]*Tabla1[[#This Row],[Tiempo Ciclo]]/60/60</f>
        <v>5.8015873015873015E-3</v>
      </c>
      <c r="J375" s="1" t="s">
        <v>885</v>
      </c>
      <c r="K375" s="25"/>
      <c r="L375" s="25"/>
      <c r="M375" s="25"/>
      <c r="N375" s="25"/>
      <c r="O375" s="20">
        <v>43</v>
      </c>
      <c r="P375" s="1">
        <v>1</v>
      </c>
      <c r="Q375" s="58"/>
      <c r="R375" s="21">
        <f t="shared" si="8"/>
        <v>0</v>
      </c>
      <c r="S375" s="22">
        <f>Tabla1[[#This Row],[Merma Salas A &amp; B2]]*1000/Tabla1[[#This Row],[Peso gr.]]</f>
        <v>0</v>
      </c>
      <c r="T375" s="52"/>
      <c r="U375" s="24">
        <f>Tabla1[[#This Row],[Total piezas NOK]]/Tabla1[[#This Row],[Cant. Fabricada (uds)]]</f>
        <v>0</v>
      </c>
    </row>
    <row r="376" spans="1:22" x14ac:dyDescent="0.3">
      <c r="A376" s="43">
        <v>44573</v>
      </c>
      <c r="B376" s="20" t="s">
        <v>884</v>
      </c>
      <c r="C376" s="20">
        <v>2021</v>
      </c>
      <c r="D376" s="13" t="str">
        <f>VLOOKUP(C:C,'LListat referències'!A:B,2,FALSE)</f>
        <v>Tarro standard 6 cavidades</v>
      </c>
      <c r="E376" s="18" t="str">
        <f>VLOOKUP(C:C,'LListat referències'!A:D,4,FALSE)</f>
        <v>T22</v>
      </c>
      <c r="F376" s="49">
        <f>VLOOKUP(C:C,'LListat referències'!A:E,5,FALSE)</f>
        <v>97.5</v>
      </c>
      <c r="G376" s="49">
        <v>126.7</v>
      </c>
      <c r="H376" s="49">
        <v>6</v>
      </c>
      <c r="I376" s="75">
        <f>Tabla1[[#This Row],[Cant. Fabricada (uds)]]/Tabla1[[#This Row],[Cavidades]]*Tabla1[[#This Row],[Tiempo Ciclo]]/60/60</f>
        <v>10.030416666666667</v>
      </c>
      <c r="J376" s="1" t="s">
        <v>885</v>
      </c>
      <c r="K376" s="25"/>
      <c r="L376" s="25">
        <v>0</v>
      </c>
      <c r="M376" s="25">
        <v>372</v>
      </c>
      <c r="N376" s="25">
        <v>1710</v>
      </c>
      <c r="O376" s="20">
        <v>42</v>
      </c>
      <c r="P376" s="1">
        <f>Tabla1[[#This Row],[Noche]]-Tabla1[[#This Row],[Mañana ]]</f>
        <v>1710</v>
      </c>
      <c r="Q376" s="58"/>
      <c r="R376" s="21">
        <f t="shared" si="8"/>
        <v>0</v>
      </c>
      <c r="S376" s="22">
        <f>Tabla1[[#This Row],[Merma Salas A &amp; B2]]*1000/Tabla1[[#This Row],[Peso gr.]]</f>
        <v>0</v>
      </c>
      <c r="T376" s="52">
        <v>70</v>
      </c>
      <c r="U376" s="24">
        <f>Tabla1[[#This Row],[Total piezas NOK]]/Tabla1[[#This Row],[Cant. Fabricada (uds)]]</f>
        <v>0</v>
      </c>
      <c r="V376" s="19" t="s">
        <v>944</v>
      </c>
    </row>
    <row r="377" spans="1:22" x14ac:dyDescent="0.3">
      <c r="A377" s="43">
        <v>44574</v>
      </c>
      <c r="B377" s="20" t="s">
        <v>884</v>
      </c>
      <c r="C377" s="20">
        <v>2021</v>
      </c>
      <c r="D377" s="13" t="str">
        <f>VLOOKUP(C:C,'LListat referències'!A:B,2,FALSE)</f>
        <v>Tarro standard 6 cavidades</v>
      </c>
      <c r="E377" s="18" t="str">
        <f>VLOOKUP(C:C,'LListat referències'!A:D,4,FALSE)</f>
        <v>T22</v>
      </c>
      <c r="F377" s="49">
        <f>VLOOKUP(C:C,'LListat referències'!A:E,5,FALSE)</f>
        <v>97.5</v>
      </c>
      <c r="G377" s="49">
        <v>126.7</v>
      </c>
      <c r="H377" s="49">
        <v>6</v>
      </c>
      <c r="I377" s="75">
        <f>Tabla1[[#This Row],[Cant. Fabricada (uds)]]/Tabla1[[#This Row],[Cavidades]]*Tabla1[[#This Row],[Tiempo Ciclo]]/60/60</f>
        <v>15.379972222222223</v>
      </c>
      <c r="J377" s="1" t="s">
        <v>885</v>
      </c>
      <c r="K377" s="25"/>
      <c r="L377" s="25">
        <v>3060</v>
      </c>
      <c r="M377" s="25">
        <v>4368</v>
      </c>
      <c r="N377" s="25">
        <v>5682</v>
      </c>
      <c r="O377" s="20">
        <v>42</v>
      </c>
      <c r="P377" s="1">
        <f>Tabla1[[#This Row],[Noche]]-Tabla1[[#This Row],[Mañana ]]</f>
        <v>2622</v>
      </c>
      <c r="Q377" s="58">
        <v>25</v>
      </c>
      <c r="R377" s="21">
        <f t="shared" si="8"/>
        <v>25</v>
      </c>
      <c r="S377" s="22">
        <f>Tabla1[[#This Row],[Merma Salas A &amp; B2]]*1000/Tabla1[[#This Row],[Peso gr.]]</f>
        <v>256.41025641025641</v>
      </c>
      <c r="T377" s="52"/>
      <c r="U377" s="24">
        <f>Tabla1[[#This Row],[Total piezas NOK]]/Tabla1[[#This Row],[Cant. Fabricada (uds)]]</f>
        <v>9.7791859805589784E-2</v>
      </c>
    </row>
    <row r="378" spans="1:22" x14ac:dyDescent="0.3">
      <c r="A378" s="43">
        <v>44575</v>
      </c>
      <c r="B378" s="20" t="s">
        <v>884</v>
      </c>
      <c r="C378" s="20">
        <v>2021</v>
      </c>
      <c r="D378" s="13" t="str">
        <f>VLOOKUP(C:C,'LListat referències'!A:B,2,FALSE)</f>
        <v>Tarro standard 6 cavidades</v>
      </c>
      <c r="E378" s="18" t="str">
        <f>VLOOKUP(C:C,'LListat referències'!A:D,4,FALSE)</f>
        <v>T22</v>
      </c>
      <c r="F378" s="49">
        <f>VLOOKUP(C:C,'LListat referències'!A:E,5,FALSE)</f>
        <v>97.5</v>
      </c>
      <c r="G378" s="49">
        <v>126.7</v>
      </c>
      <c r="H378" s="49">
        <v>6</v>
      </c>
      <c r="I378" s="75">
        <f>Tabla1[[#This Row],[Cant. Fabricada (uds)]]/Tabla1[[#This Row],[Cavidades]]*Tabla1[[#This Row],[Tiempo Ciclo]]/60/60</f>
        <v>1.3021944444444447</v>
      </c>
      <c r="J378" s="1" t="s">
        <v>885</v>
      </c>
      <c r="K378" s="25"/>
      <c r="L378" s="25">
        <v>7044</v>
      </c>
      <c r="M378" s="25">
        <v>7266</v>
      </c>
      <c r="N378" s="25">
        <v>7266</v>
      </c>
      <c r="O378" s="20">
        <v>42</v>
      </c>
      <c r="P378" s="1">
        <f>Tabla1[[#This Row],[Noche]]-Tabla1[[#This Row],[Mañana ]]</f>
        <v>222</v>
      </c>
      <c r="Q378" s="58">
        <v>2</v>
      </c>
      <c r="R378" s="21">
        <f t="shared" si="8"/>
        <v>2</v>
      </c>
      <c r="S378" s="22">
        <f>Tabla1[[#This Row],[Merma Salas A &amp; B2]]*1000/Tabla1[[#This Row],[Peso gr.]]</f>
        <v>20.512820512820515</v>
      </c>
      <c r="T378" s="52"/>
      <c r="U378" s="24">
        <f>Tabla1[[#This Row],[Total piezas NOK]]/Tabla1[[#This Row],[Cant. Fabricada (uds)]]</f>
        <v>9.2400092400092407E-2</v>
      </c>
    </row>
    <row r="379" spans="1:22" x14ac:dyDescent="0.3">
      <c r="A379" s="43">
        <v>44575</v>
      </c>
      <c r="B379" s="20" t="s">
        <v>941</v>
      </c>
      <c r="C379" s="20">
        <v>2021</v>
      </c>
      <c r="D379" s="13" t="str">
        <f>VLOOKUP(C:C,'LListat referències'!A:B,2,FALSE)</f>
        <v>Tarro standard 6 cavidades</v>
      </c>
      <c r="E379" s="18" t="str">
        <f>VLOOKUP(C:C,'LListat referències'!A:D,4,FALSE)</f>
        <v>T22</v>
      </c>
      <c r="F379" s="49">
        <f>VLOOKUP(C:C,'LListat referències'!A:E,5,FALSE)</f>
        <v>97.5</v>
      </c>
      <c r="G379" s="49">
        <v>126.7</v>
      </c>
      <c r="H379" s="49">
        <v>6</v>
      </c>
      <c r="I379" s="75">
        <f>Tabla1[[#This Row],[Cant. Fabricada (uds)]]/Tabla1[[#This Row],[Cavidades]]*Tabla1[[#This Row],[Tiempo Ciclo]]/60/60</f>
        <v>12.247666666666667</v>
      </c>
      <c r="J379" s="1" t="s">
        <v>885</v>
      </c>
      <c r="K379" s="25"/>
      <c r="L379" s="25">
        <v>0</v>
      </c>
      <c r="M379" s="25">
        <v>996</v>
      </c>
      <c r="N379" s="25">
        <v>2088</v>
      </c>
      <c r="O379" s="20">
        <v>42</v>
      </c>
      <c r="P379" s="1">
        <f>Tabla1[[#This Row],[Noche]]-Tabla1[[#This Row],[Mañana ]]</f>
        <v>2088</v>
      </c>
      <c r="Q379" s="58">
        <v>15</v>
      </c>
      <c r="R379" s="21">
        <f t="shared" si="8"/>
        <v>15</v>
      </c>
      <c r="S379" s="22">
        <f>Tabla1[[#This Row],[Merma Salas A &amp; B2]]*1000/Tabla1[[#This Row],[Peso gr.]]</f>
        <v>153.84615384615384</v>
      </c>
      <c r="T379" s="52">
        <v>20</v>
      </c>
      <c r="U379" s="24">
        <f>Tabla1[[#This Row],[Total piezas NOK]]/Tabla1[[#This Row],[Cant. Fabricada (uds)]]</f>
        <v>7.3681108163866776E-2</v>
      </c>
      <c r="V379" s="19" t="s">
        <v>844</v>
      </c>
    </row>
    <row r="380" spans="1:22" x14ac:dyDescent="0.3">
      <c r="A380" s="43">
        <v>44578</v>
      </c>
      <c r="B380" s="20" t="s">
        <v>941</v>
      </c>
      <c r="C380" s="20">
        <v>2021</v>
      </c>
      <c r="D380" s="13" t="str">
        <f>VLOOKUP(C:C,'LListat referències'!A:B,2,FALSE)</f>
        <v>Tarro standard 6 cavidades</v>
      </c>
      <c r="E380" s="18" t="str">
        <f>VLOOKUP(C:C,'LListat referències'!A:D,4,FALSE)</f>
        <v>T22</v>
      </c>
      <c r="F380" s="49">
        <f>VLOOKUP(C:C,'LListat referències'!A:E,5,FALSE)</f>
        <v>97.5</v>
      </c>
      <c r="G380" s="49">
        <v>126.7</v>
      </c>
      <c r="H380" s="49">
        <v>6</v>
      </c>
      <c r="I380" s="75">
        <f>Tabla1[[#This Row],[Cant. Fabricada (uds)]]/Tabla1[[#This Row],[Cavidades]]*Tabla1[[#This Row],[Tiempo Ciclo]]/60/60</f>
        <v>7.3556388888888886</v>
      </c>
      <c r="J380" s="1" t="s">
        <v>885</v>
      </c>
      <c r="K380" s="25"/>
      <c r="L380" s="25">
        <v>2892</v>
      </c>
      <c r="M380" s="25">
        <v>4146</v>
      </c>
      <c r="N380" s="25">
        <v>4146</v>
      </c>
      <c r="O380" s="20">
        <v>42</v>
      </c>
      <c r="P380" s="1">
        <f>Tabla1[[#This Row],[Noche]]-Tabla1[[#This Row],[Mañana ]]</f>
        <v>1254</v>
      </c>
      <c r="Q380" s="58">
        <v>10</v>
      </c>
      <c r="R380" s="21">
        <f t="shared" si="8"/>
        <v>10</v>
      </c>
      <c r="S380" s="22">
        <f>Tabla1[[#This Row],[Merma Salas A &amp; B2]]*1000/Tabla1[[#This Row],[Peso gr.]]</f>
        <v>102.56410256410257</v>
      </c>
      <c r="T380" s="52">
        <v>50</v>
      </c>
      <c r="U380" s="24">
        <f>Tabla1[[#This Row],[Total piezas NOK]]/Tabla1[[#This Row],[Cant. Fabricada (uds)]]</f>
        <v>8.1789555473765999E-2</v>
      </c>
      <c r="V380" s="19" t="s">
        <v>803</v>
      </c>
    </row>
    <row r="381" spans="1:22" x14ac:dyDescent="0.3">
      <c r="A381" s="43">
        <v>44571</v>
      </c>
      <c r="B381" s="20" t="s">
        <v>945</v>
      </c>
      <c r="C381" s="20">
        <v>1860</v>
      </c>
      <c r="D381" s="13" t="str">
        <f>VLOOKUP(C:C,'LListat referències'!A:B,2,FALSE)</f>
        <v>Tapa 50 cc mar mar (4 unit)</v>
      </c>
      <c r="E381" s="18" t="str">
        <f>VLOOKUP(C:C,'LListat referències'!A:D,4,FALSE)</f>
        <v>#6(50 ml)</v>
      </c>
      <c r="F381" s="49">
        <f>VLOOKUP(C:C,'LListat referències'!A:E,5,FALSE)</f>
        <v>20.86</v>
      </c>
      <c r="G381" s="49">
        <v>70.27</v>
      </c>
      <c r="H381" s="49">
        <v>4</v>
      </c>
      <c r="I381" s="75">
        <f>Tabla1[[#This Row],[Cant. Fabricada (uds)]]/Tabla1[[#This Row],[Cavidades]]*Tabla1[[#This Row],[Tiempo Ciclo]]/60/60</f>
        <v>14.756699999999999</v>
      </c>
      <c r="J381" s="1" t="s">
        <v>8</v>
      </c>
      <c r="K381" s="25"/>
      <c r="L381" s="25">
        <v>3152</v>
      </c>
      <c r="M381" s="25">
        <v>4540</v>
      </c>
      <c r="N381" s="25">
        <v>6176</v>
      </c>
      <c r="O381" s="20">
        <v>44</v>
      </c>
      <c r="P381" s="1">
        <f>Tabla1[[#This Row],[Noche]]-Tabla1[[#This Row],[Mañana ]]</f>
        <v>3024</v>
      </c>
      <c r="Q381" s="58"/>
      <c r="R381" s="21">
        <f t="shared" si="8"/>
        <v>0</v>
      </c>
      <c r="S381" s="22">
        <f>Tabla1[[#This Row],[Merma Salas A &amp; B2]]*1000/Tabla1[[#This Row],[Peso gr.]]</f>
        <v>0</v>
      </c>
      <c r="T381" s="52">
        <v>30</v>
      </c>
      <c r="U381" s="24">
        <f>Tabla1[[#This Row],[Total piezas NOK]]/Tabla1[[#This Row],[Cant. Fabricada (uds)]]</f>
        <v>0</v>
      </c>
      <c r="V381" s="19" t="s">
        <v>803</v>
      </c>
    </row>
    <row r="382" spans="1:22" x14ac:dyDescent="0.3">
      <c r="A382" s="43">
        <v>44571</v>
      </c>
      <c r="B382" s="20" t="s">
        <v>945</v>
      </c>
      <c r="C382" s="20">
        <v>1860</v>
      </c>
      <c r="D382" s="13" t="str">
        <f>VLOOKUP(C:C,'LListat referències'!A:B,2,FALSE)</f>
        <v>Tapa 50 cc mar mar (4 unit)</v>
      </c>
      <c r="E382" s="18" t="str">
        <f>VLOOKUP(C:C,'LListat referències'!A:D,4,FALSE)</f>
        <v>#6(50 ml)</v>
      </c>
      <c r="F382" s="49">
        <f>VLOOKUP(C:C,'LListat referències'!A:E,5,FALSE)</f>
        <v>20.86</v>
      </c>
      <c r="G382" s="49">
        <v>70.27</v>
      </c>
      <c r="H382" s="49">
        <v>4</v>
      </c>
      <c r="I382" s="75">
        <f>Tabla1[[#This Row],[Cant. Fabricada (uds)]]/Tabla1[[#This Row],[Cavidades]]*Tabla1[[#This Row],[Tiempo Ciclo]]/60/60</f>
        <v>23.833241666666666</v>
      </c>
      <c r="J382" s="1" t="s">
        <v>8</v>
      </c>
      <c r="K382" s="25"/>
      <c r="L382" s="25">
        <v>6176</v>
      </c>
      <c r="M382" s="25">
        <v>9412</v>
      </c>
      <c r="N382" s="25">
        <v>11060</v>
      </c>
      <c r="O382" s="20">
        <v>44</v>
      </c>
      <c r="P382" s="1">
        <f>Tabla1[[#This Row],[Noche]]-Tabla1[[#This Row],[Mañana ]]</f>
        <v>4884</v>
      </c>
      <c r="Q382" s="58">
        <v>5</v>
      </c>
      <c r="R382" s="21">
        <f t="shared" si="8"/>
        <v>5</v>
      </c>
      <c r="S382" s="22">
        <f>Tabla1[[#This Row],[Merma Salas A &amp; B2]]*1000/Tabla1[[#This Row],[Peso gr.]]</f>
        <v>239.69319271332694</v>
      </c>
      <c r="T382" s="52"/>
      <c r="U382" s="24">
        <f>Tabla1[[#This Row],[Total piezas NOK]]/Tabla1[[#This Row],[Cant. Fabricada (uds)]]</f>
        <v>4.9077230285283976E-2</v>
      </c>
    </row>
    <row r="383" spans="1:22" x14ac:dyDescent="0.3">
      <c r="A383" s="43">
        <v>44572</v>
      </c>
      <c r="B383" s="20" t="s">
        <v>945</v>
      </c>
      <c r="C383" s="20">
        <v>1860</v>
      </c>
      <c r="D383" s="13" t="str">
        <f>VLOOKUP(C:C,'LListat referències'!A:B,2,FALSE)</f>
        <v>Tapa 50 cc mar mar (4 unit)</v>
      </c>
      <c r="E383" s="18" t="str">
        <f>VLOOKUP(C:C,'LListat referències'!A:D,4,FALSE)</f>
        <v>#6(50 ml)</v>
      </c>
      <c r="F383" s="49">
        <f>VLOOKUP(C:C,'LListat referències'!A:E,5,FALSE)</f>
        <v>20.86</v>
      </c>
      <c r="G383" s="49">
        <v>70.27</v>
      </c>
      <c r="H383" s="49">
        <v>4</v>
      </c>
      <c r="I383" s="75">
        <f>Tabla1[[#This Row],[Cant. Fabricada (uds)]]/Tabla1[[#This Row],[Cavidades]]*Tabla1[[#This Row],[Tiempo Ciclo]]/60/60</f>
        <v>24.047955555555557</v>
      </c>
      <c r="J383" s="1" t="s">
        <v>8</v>
      </c>
      <c r="K383" s="25"/>
      <c r="L383" s="25">
        <v>11060</v>
      </c>
      <c r="M383" s="25">
        <v>14304</v>
      </c>
      <c r="N383" s="25">
        <v>15988</v>
      </c>
      <c r="O383" s="20">
        <v>44</v>
      </c>
      <c r="P383" s="1">
        <f>Tabla1[[#This Row],[Noche]]-Tabla1[[#This Row],[Mañana ]]</f>
        <v>4928</v>
      </c>
      <c r="Q383" s="58">
        <v>5</v>
      </c>
      <c r="R383" s="21">
        <f t="shared" si="8"/>
        <v>5</v>
      </c>
      <c r="S383" s="22">
        <f>Tabla1[[#This Row],[Merma Salas A &amp; B2]]*1000/Tabla1[[#This Row],[Peso gr.]]</f>
        <v>239.69319271332694</v>
      </c>
      <c r="T383" s="52"/>
      <c r="U383" s="24">
        <f>Tabla1[[#This Row],[Total piezas NOK]]/Tabla1[[#This Row],[Cant. Fabricada (uds)]]</f>
        <v>4.8639040729165368E-2</v>
      </c>
    </row>
    <row r="384" spans="1:22" x14ac:dyDescent="0.3">
      <c r="A384" s="43">
        <v>44572</v>
      </c>
      <c r="B384" s="20" t="s">
        <v>945</v>
      </c>
      <c r="C384" s="20">
        <v>1860</v>
      </c>
      <c r="D384" s="13" t="str">
        <f>VLOOKUP(C:C,'LListat referències'!A:B,2,FALSE)</f>
        <v>Tapa 50 cc mar mar (4 unit)</v>
      </c>
      <c r="E384" s="18" t="str">
        <f>VLOOKUP(C:C,'LListat referències'!A:D,4,FALSE)</f>
        <v>#6(50 ml)</v>
      </c>
      <c r="F384" s="49">
        <f>VLOOKUP(C:C,'LListat referències'!A:E,5,FALSE)</f>
        <v>20.86</v>
      </c>
      <c r="G384" s="49">
        <v>70.27</v>
      </c>
      <c r="H384" s="49">
        <v>4</v>
      </c>
      <c r="I384" s="75">
        <f>Tabla1[[#This Row],[Cant. Fabricada (uds)]]/Tabla1[[#This Row],[Cavidades]]*Tabla1[[#This Row],[Tiempo Ciclo]]/60/60</f>
        <v>15.966905555555552</v>
      </c>
      <c r="J384" s="1" t="s">
        <v>8</v>
      </c>
      <c r="K384" s="25"/>
      <c r="L384" s="25">
        <v>17620</v>
      </c>
      <c r="M384" s="25">
        <v>19232</v>
      </c>
      <c r="N384" s="25">
        <v>20892</v>
      </c>
      <c r="O384" s="20">
        <v>44</v>
      </c>
      <c r="P384" s="1">
        <f>Tabla1[[#This Row],[Noche]]-Tabla1[[#This Row],[Mañana ]]</f>
        <v>3272</v>
      </c>
      <c r="Q384" s="58">
        <v>2</v>
      </c>
      <c r="R384" s="21">
        <f t="shared" si="8"/>
        <v>2</v>
      </c>
      <c r="S384" s="22">
        <f>Tabla1[[#This Row],[Merma Salas A &amp; B2]]*1000/Tabla1[[#This Row],[Peso gr.]]</f>
        <v>95.877277085330775</v>
      </c>
      <c r="T384" s="52"/>
      <c r="U384" s="24">
        <f>Tabla1[[#This Row],[Total piezas NOK]]/Tabla1[[#This Row],[Cant. Fabricada (uds)]]</f>
        <v>2.930234629747273E-2</v>
      </c>
    </row>
    <row r="385" spans="1:22" x14ac:dyDescent="0.3">
      <c r="A385" s="43">
        <v>44574</v>
      </c>
      <c r="B385" s="20" t="s">
        <v>945</v>
      </c>
      <c r="C385" s="20">
        <v>1860</v>
      </c>
      <c r="D385" s="13" t="str">
        <f>VLOOKUP(C:C,'LListat referències'!A:B,2,FALSE)</f>
        <v>Tapa 50 cc mar mar (4 unit)</v>
      </c>
      <c r="E385" s="18" t="str">
        <f>VLOOKUP(C:C,'LListat referències'!A:D,4,FALSE)</f>
        <v>#6(50 ml)</v>
      </c>
      <c r="F385" s="49">
        <f>VLOOKUP(C:C,'LListat referències'!A:E,5,FALSE)</f>
        <v>20.86</v>
      </c>
      <c r="G385" s="49">
        <v>70.27</v>
      </c>
      <c r="H385" s="49">
        <v>4</v>
      </c>
      <c r="I385" s="75">
        <f>Tabla1[[#This Row],[Cant. Fabricada (uds)]]/Tabla1[[#This Row],[Cavidades]]*Tabla1[[#This Row],[Tiempo Ciclo]]/60/60</f>
        <v>13.819766666666665</v>
      </c>
      <c r="J385" s="1" t="s">
        <v>8</v>
      </c>
      <c r="K385" s="25"/>
      <c r="L385" s="25">
        <v>22624</v>
      </c>
      <c r="M385" s="25">
        <v>24176</v>
      </c>
      <c r="N385" s="25">
        <v>25456</v>
      </c>
      <c r="O385" s="20">
        <v>44</v>
      </c>
      <c r="P385" s="1">
        <f>Tabla1[[#This Row],[Noche]]-Tabla1[[#This Row],[Mañana ]]</f>
        <v>2832</v>
      </c>
      <c r="Q385" s="58">
        <v>5</v>
      </c>
      <c r="R385" s="21">
        <f t="shared" si="8"/>
        <v>5</v>
      </c>
      <c r="S385" s="22">
        <f>Tabla1[[#This Row],[Merma Salas A &amp; B2]]*1000/Tabla1[[#This Row],[Peso gr.]]</f>
        <v>239.69319271332694</v>
      </c>
      <c r="T385" s="52"/>
      <c r="U385" s="24">
        <f>Tabla1[[#This Row],[Total piezas NOK]]/Tabla1[[#This Row],[Cant. Fabricada (uds)]]</f>
        <v>8.4637426805553292E-2</v>
      </c>
    </row>
    <row r="386" spans="1:22" x14ac:dyDescent="0.3">
      <c r="A386" s="43">
        <v>44575</v>
      </c>
      <c r="B386" s="20" t="s">
        <v>945</v>
      </c>
      <c r="C386" s="20">
        <v>1860</v>
      </c>
      <c r="D386" s="13" t="str">
        <f>VLOOKUP(C:C,'LListat referències'!A:B,2,FALSE)</f>
        <v>Tapa 50 cc mar mar (4 unit)</v>
      </c>
      <c r="E386" s="18" t="str">
        <f>VLOOKUP(C:C,'LListat referències'!A:D,4,FALSE)</f>
        <v>#6(50 ml)</v>
      </c>
      <c r="F386" s="49">
        <f>VLOOKUP(C:C,'LListat referències'!A:E,5,FALSE)</f>
        <v>20.86</v>
      </c>
      <c r="G386" s="49">
        <v>70.27</v>
      </c>
      <c r="H386" s="49">
        <v>4</v>
      </c>
      <c r="I386" s="75">
        <f>Tabla1[[#This Row],[Cant. Fabricada (uds)]]/Tabla1[[#This Row],[Cavidades]]*Tabla1[[#This Row],[Tiempo Ciclo]]/60/60</f>
        <v>17.17711111111111</v>
      </c>
      <c r="J386" s="1" t="s">
        <v>8</v>
      </c>
      <c r="K386" s="25"/>
      <c r="L386" s="25">
        <v>25456</v>
      </c>
      <c r="M386" s="25">
        <v>27304</v>
      </c>
      <c r="N386" s="25">
        <v>28976</v>
      </c>
      <c r="O386" s="20">
        <v>44</v>
      </c>
      <c r="P386" s="1">
        <f>Tabla1[[#This Row],[Noche]]-Tabla1[[#This Row],[Mañana ]]</f>
        <v>3520</v>
      </c>
      <c r="Q386" s="58"/>
      <c r="R386" s="21">
        <f t="shared" si="8"/>
        <v>0</v>
      </c>
      <c r="S386" s="22">
        <f>Tabla1[[#This Row],[Merma Salas A &amp; B2]]*1000/Tabla1[[#This Row],[Peso gr.]]</f>
        <v>0</v>
      </c>
      <c r="T386" s="52"/>
      <c r="U386" s="24">
        <f>Tabla1[[#This Row],[Total piezas NOK]]/Tabla1[[#This Row],[Cant. Fabricada (uds)]]</f>
        <v>0</v>
      </c>
    </row>
    <row r="387" spans="1:22" x14ac:dyDescent="0.3">
      <c r="A387" s="43">
        <v>44540</v>
      </c>
      <c r="B387" s="20" t="s">
        <v>756</v>
      </c>
      <c r="C387" s="20">
        <v>1799</v>
      </c>
      <c r="D387" s="13" t="str">
        <f>VLOOKUP(C:C,'LListat referències'!A:B,2,FALSE)</f>
        <v>Tarro tapa juvena 30ml</v>
      </c>
      <c r="E387" s="18" t="str">
        <f>VLOOKUP(C:C,'LListat referències'!A:D,4,FALSE)</f>
        <v>T071</v>
      </c>
      <c r="F387" s="49">
        <f>VLOOKUP(C:C,'LListat referències'!A:E,5,FALSE)</f>
        <v>43.5</v>
      </c>
      <c r="G387" s="49">
        <v>96.08</v>
      </c>
      <c r="H387" s="49">
        <v>4</v>
      </c>
      <c r="I387" s="75">
        <f>Tabla1[[#This Row],[Cant. Fabricada (uds)]]/Tabla1[[#This Row],[Cavidades]]*Tabla1[[#This Row],[Tiempo Ciclo]]/60/60</f>
        <v>0</v>
      </c>
      <c r="J387" s="1" t="s">
        <v>15</v>
      </c>
      <c r="K387" s="25"/>
      <c r="L387" s="25"/>
      <c r="M387" s="25"/>
      <c r="N387" s="25"/>
      <c r="O387" s="20">
        <v>45</v>
      </c>
      <c r="P387" s="1">
        <f>Tabla1[[#This Row],[Noche]]-Tabla1[[#This Row],[Mañana ]]</f>
        <v>0</v>
      </c>
      <c r="Q387" s="58"/>
      <c r="R387" s="21">
        <f t="shared" si="8"/>
        <v>0</v>
      </c>
      <c r="S387" s="22">
        <f>Tabla1[[#This Row],[Merma Salas A &amp; B2]]*1000/Tabla1[[#This Row],[Peso gr.]]</f>
        <v>0</v>
      </c>
      <c r="T387" s="52">
        <v>55</v>
      </c>
      <c r="U387" s="24" t="s">
        <v>842</v>
      </c>
      <c r="V387" s="19" t="s">
        <v>947</v>
      </c>
    </row>
    <row r="388" spans="1:22" x14ac:dyDescent="0.3">
      <c r="A388" s="43">
        <v>44543</v>
      </c>
      <c r="B388" s="20" t="s">
        <v>858</v>
      </c>
      <c r="C388" s="20">
        <v>1799</v>
      </c>
      <c r="D388" s="13" t="str">
        <f>VLOOKUP(C:C,'LListat referències'!A:B,2,FALSE)</f>
        <v>Tarro tapa juvena 30ml</v>
      </c>
      <c r="E388" s="18" t="str">
        <f>VLOOKUP(C:C,'LListat referències'!A:D,4,FALSE)</f>
        <v>T071</v>
      </c>
      <c r="F388" s="49">
        <f>VLOOKUP(C:C,'LListat referències'!A:E,5,FALSE)</f>
        <v>43.5</v>
      </c>
      <c r="G388" s="49">
        <v>96.08</v>
      </c>
      <c r="H388" s="49">
        <v>4</v>
      </c>
      <c r="I388" s="75">
        <f>Tabla1[[#This Row],[Cant. Fabricada (uds)]]/Tabla1[[#This Row],[Cavidades]]*Tabla1[[#This Row],[Tiempo Ciclo]]/60/60</f>
        <v>0</v>
      </c>
      <c r="J388" s="1" t="s">
        <v>15</v>
      </c>
      <c r="K388" s="25"/>
      <c r="L388" s="25"/>
      <c r="M388" s="25"/>
      <c r="N388" s="25"/>
      <c r="O388" s="20">
        <v>45</v>
      </c>
      <c r="P388" s="1">
        <f>Tabla1[[#This Row],[Noche]]-Tabla1[[#This Row],[Mañana ]]</f>
        <v>0</v>
      </c>
      <c r="Q388" s="58"/>
      <c r="R388" s="21">
        <f t="shared" si="8"/>
        <v>0</v>
      </c>
      <c r="S388" s="22">
        <f>Tabla1[[#This Row],[Merma Salas A &amp; B2]]*1000/Tabla1[[#This Row],[Peso gr.]]</f>
        <v>0</v>
      </c>
      <c r="T388" s="52">
        <v>40</v>
      </c>
      <c r="U388" s="24" t="s">
        <v>842</v>
      </c>
      <c r="V388" s="19" t="s">
        <v>947</v>
      </c>
    </row>
    <row r="389" spans="1:22" x14ac:dyDescent="0.3">
      <c r="A389" s="43">
        <v>44565</v>
      </c>
      <c r="B389" s="20" t="s">
        <v>946</v>
      </c>
      <c r="C389" s="20">
        <v>1799</v>
      </c>
      <c r="D389" s="13" t="str">
        <f>VLOOKUP(C:C,'LListat referències'!A:B,2,FALSE)</f>
        <v>Tarro tapa juvena 30ml</v>
      </c>
      <c r="E389" s="18" t="str">
        <f>VLOOKUP(C:C,'LListat referències'!A:D,4,FALSE)</f>
        <v>T071</v>
      </c>
      <c r="F389" s="49">
        <f>VLOOKUP(C:C,'LListat referències'!A:E,5,FALSE)</f>
        <v>43.5</v>
      </c>
      <c r="G389" s="49">
        <v>96.08</v>
      </c>
      <c r="H389" s="49">
        <v>4</v>
      </c>
      <c r="I389" s="75">
        <f>Tabla1[[#This Row],[Cant. Fabricada (uds)]]/Tabla1[[#This Row],[Cavidades]]*Tabla1[[#This Row],[Tiempo Ciclo]]/60/60</f>
        <v>7.6864000000000008</v>
      </c>
      <c r="J389" s="1" t="s">
        <v>15</v>
      </c>
      <c r="K389" s="25"/>
      <c r="L389" s="25">
        <v>220</v>
      </c>
      <c r="M389" s="25">
        <v>762</v>
      </c>
      <c r="N389" s="25">
        <v>1372</v>
      </c>
      <c r="O389" s="20">
        <v>45</v>
      </c>
      <c r="P389" s="1">
        <f>Tabla1[[#This Row],[Noche]]-Tabla1[[#This Row],[Mañana ]]</f>
        <v>1152</v>
      </c>
      <c r="Q389" s="58"/>
      <c r="R389" s="21">
        <f t="shared" si="8"/>
        <v>0</v>
      </c>
      <c r="S389" s="22">
        <f>Tabla1[[#This Row],[Merma Salas A &amp; B2]]*1000/Tabla1[[#This Row],[Peso gr.]]</f>
        <v>0</v>
      </c>
      <c r="T389" s="52">
        <v>65</v>
      </c>
      <c r="U389" s="24">
        <f>Tabla1[[#This Row],[Total piezas NOK]]/Tabla1[[#This Row],[Cant. Fabricada (uds)]]</f>
        <v>0</v>
      </c>
      <c r="V389" s="19" t="s">
        <v>803</v>
      </c>
    </row>
    <row r="390" spans="1:22" x14ac:dyDescent="0.3">
      <c r="A390" s="43">
        <v>44566</v>
      </c>
      <c r="B390" s="20" t="s">
        <v>946</v>
      </c>
      <c r="C390" s="20">
        <v>1799</v>
      </c>
      <c r="D390" s="13" t="str">
        <f>VLOOKUP(C:C,'LListat referències'!A:B,2,FALSE)</f>
        <v>Tarro tapa juvena 30ml</v>
      </c>
      <c r="E390" s="18" t="str">
        <f>VLOOKUP(C:C,'LListat referències'!A:D,4,FALSE)</f>
        <v>T071</v>
      </c>
      <c r="F390" s="49">
        <f>VLOOKUP(C:C,'LListat referències'!A:E,5,FALSE)</f>
        <v>43.5</v>
      </c>
      <c r="G390" s="49">
        <v>96.08</v>
      </c>
      <c r="H390" s="49">
        <v>4</v>
      </c>
      <c r="I390" s="75">
        <f>Tabla1[[#This Row],[Cant. Fabricada (uds)]]/Tabla1[[#This Row],[Cavidades]]*Tabla1[[#This Row],[Tiempo Ciclo]]/60/60</f>
        <v>2.8823999999999996</v>
      </c>
      <c r="J390" s="1" t="s">
        <v>15</v>
      </c>
      <c r="K390" s="25"/>
      <c r="L390" s="25">
        <v>1728</v>
      </c>
      <c r="M390" s="25">
        <v>1956</v>
      </c>
      <c r="N390" s="25">
        <v>2160</v>
      </c>
      <c r="O390" s="20">
        <v>45</v>
      </c>
      <c r="P390" s="1">
        <f>Tabla1[[#This Row],[Noche]]-Tabla1[[#This Row],[Mañana ]]</f>
        <v>432</v>
      </c>
      <c r="Q390" s="58">
        <v>5</v>
      </c>
      <c r="R390" s="21">
        <f t="shared" si="8"/>
        <v>5</v>
      </c>
      <c r="S390" s="22">
        <f>Tabla1[[#This Row],[Merma Salas A &amp; B2]]*1000/Tabla1[[#This Row],[Peso gr.]]</f>
        <v>114.94252873563218</v>
      </c>
      <c r="T390" s="52"/>
      <c r="U390" s="24">
        <f>Tabla1[[#This Row],[Total piezas NOK]]/Tabla1[[#This Row],[Cant. Fabricada (uds)]]</f>
        <v>0.26607066836951893</v>
      </c>
    </row>
    <row r="391" spans="1:22" x14ac:dyDescent="0.3">
      <c r="A391" s="43">
        <v>44568</v>
      </c>
      <c r="B391" s="20" t="s">
        <v>946</v>
      </c>
      <c r="C391" s="20">
        <v>1799</v>
      </c>
      <c r="D391" s="13" t="str">
        <f>VLOOKUP(C:C,'LListat referències'!A:B,2,FALSE)</f>
        <v>Tarro tapa juvena 30ml</v>
      </c>
      <c r="E391" s="18" t="str">
        <f>VLOOKUP(C:C,'LListat referències'!A:D,4,FALSE)</f>
        <v>T071</v>
      </c>
      <c r="F391" s="49">
        <f>VLOOKUP(C:C,'LListat referències'!A:E,5,FALSE)</f>
        <v>43.5</v>
      </c>
      <c r="G391" s="49">
        <v>96.08</v>
      </c>
      <c r="H391" s="49">
        <v>4</v>
      </c>
      <c r="I391" s="75">
        <f>Tabla1[[#This Row],[Cant. Fabricada (uds)]]/Tabla1[[#This Row],[Cavidades]]*Tabla1[[#This Row],[Tiempo Ciclo]]/60/60</f>
        <v>3.7898222222222224</v>
      </c>
      <c r="J391" s="1" t="s">
        <v>15</v>
      </c>
      <c r="K391" s="25"/>
      <c r="L391" s="25">
        <v>2666</v>
      </c>
      <c r="M391" s="25">
        <v>3234</v>
      </c>
      <c r="N391" s="25">
        <v>3234</v>
      </c>
      <c r="O391" s="20">
        <v>45</v>
      </c>
      <c r="P391" s="1">
        <f>Tabla1[[#This Row],[Noche]]-Tabla1[[#This Row],[Mañana ]]</f>
        <v>568</v>
      </c>
      <c r="Q391" s="58">
        <v>5</v>
      </c>
      <c r="R391" s="21">
        <f t="shared" si="8"/>
        <v>5</v>
      </c>
      <c r="S391" s="22">
        <f>Tabla1[[#This Row],[Merma Salas A &amp; B2]]*1000/Tabla1[[#This Row],[Peso gr.]]</f>
        <v>114.94252873563218</v>
      </c>
      <c r="T391" s="52"/>
      <c r="U391" s="24">
        <f>Tabla1[[#This Row],[Total piezas NOK]]/Tabla1[[#This Row],[Cant. Fabricada (uds)]]</f>
        <v>0.20236360692892991</v>
      </c>
    </row>
    <row r="392" spans="1:22" x14ac:dyDescent="0.3">
      <c r="A392" s="43">
        <v>44571</v>
      </c>
      <c r="B392" s="20" t="s">
        <v>946</v>
      </c>
      <c r="C392" s="20">
        <v>1799</v>
      </c>
      <c r="D392" s="13" t="str">
        <f>VLOOKUP(C:C,'LListat referències'!A:B,2,FALSE)</f>
        <v>Tarro tapa juvena 30ml</v>
      </c>
      <c r="E392" s="18" t="str">
        <f>VLOOKUP(C:C,'LListat referències'!A:D,4,FALSE)</f>
        <v>T071</v>
      </c>
      <c r="F392" s="49">
        <f>VLOOKUP(C:C,'LListat referències'!A:E,5,FALSE)</f>
        <v>43.5</v>
      </c>
      <c r="G392" s="49">
        <v>96.08</v>
      </c>
      <c r="H392" s="49">
        <v>4</v>
      </c>
      <c r="I392" s="75">
        <f>Tabla1[[#This Row],[Cant. Fabricada (uds)]]/Tabla1[[#This Row],[Cavidades]]*Tabla1[[#This Row],[Tiempo Ciclo]]/60/60</f>
        <v>7.459544444444445</v>
      </c>
      <c r="J392" s="1" t="s">
        <v>15</v>
      </c>
      <c r="K392" s="25"/>
      <c r="L392" s="25">
        <v>4006</v>
      </c>
      <c r="M392" s="25">
        <v>4522</v>
      </c>
      <c r="N392" s="25">
        <v>5124</v>
      </c>
      <c r="O392" s="20">
        <v>45</v>
      </c>
      <c r="P392" s="1">
        <f>Tabla1[[#This Row],[Noche]]-Tabla1[[#This Row],[Mañana ]]</f>
        <v>1118</v>
      </c>
      <c r="Q392" s="58">
        <v>5</v>
      </c>
      <c r="R392" s="21">
        <f t="shared" si="8"/>
        <v>5</v>
      </c>
      <c r="S392" s="22">
        <f>Tabla1[[#This Row],[Merma Salas A &amp; B2]]*1000/Tabla1[[#This Row],[Peso gr.]]</f>
        <v>114.94252873563218</v>
      </c>
      <c r="T392" s="52"/>
      <c r="U392" s="24">
        <f>Tabla1[[#This Row],[Total piezas NOK]]/Tabla1[[#This Row],[Cant. Fabricada (uds)]]</f>
        <v>0.10281084860074435</v>
      </c>
    </row>
    <row r="393" spans="1:22" x14ac:dyDescent="0.3">
      <c r="A393" s="43">
        <v>44572</v>
      </c>
      <c r="B393" s="20" t="s">
        <v>946</v>
      </c>
      <c r="C393" s="20">
        <v>1799</v>
      </c>
      <c r="D393" s="13" t="str">
        <f>VLOOKUP(C:C,'LListat referències'!A:B,2,FALSE)</f>
        <v>Tarro tapa juvena 30ml</v>
      </c>
      <c r="E393" s="18" t="str">
        <f>VLOOKUP(C:C,'LListat referències'!A:D,4,FALSE)</f>
        <v>T071</v>
      </c>
      <c r="F393" s="49">
        <f>VLOOKUP(C:C,'LListat referències'!A:E,5,FALSE)</f>
        <v>43.5</v>
      </c>
      <c r="G393" s="49">
        <v>96.08</v>
      </c>
      <c r="H393" s="49">
        <v>4</v>
      </c>
      <c r="I393" s="75">
        <f>Tabla1[[#This Row],[Cant. Fabricada (uds)]]/Tabla1[[#This Row],[Cavidades]]*Tabla1[[#This Row],[Tiempo Ciclo]]/60/60</f>
        <v>11.79648888888889</v>
      </c>
      <c r="J393" s="1" t="s">
        <v>15</v>
      </c>
      <c r="K393" s="25"/>
      <c r="L393" s="25">
        <v>5124</v>
      </c>
      <c r="M393" s="25">
        <v>6296</v>
      </c>
      <c r="N393" s="25">
        <v>6892</v>
      </c>
      <c r="O393" s="20">
        <v>45</v>
      </c>
      <c r="P393" s="1">
        <f>Tabla1[[#This Row],[Noche]]-Tabla1[[#This Row],[Mañana ]]</f>
        <v>1768</v>
      </c>
      <c r="Q393" s="58">
        <v>15</v>
      </c>
      <c r="R393" s="21">
        <f t="shared" ref="R393:R456" si="9">SUM(Q393:Q393)</f>
        <v>15</v>
      </c>
      <c r="S393" s="22">
        <f>Tabla1[[#This Row],[Merma Salas A &amp; B2]]*1000/Tabla1[[#This Row],[Peso gr.]]</f>
        <v>344.82758620689657</v>
      </c>
      <c r="T393" s="52"/>
      <c r="U393" s="24">
        <f>Tabla1[[#This Row],[Total piezas NOK]]/Tabla1[[#This Row],[Cant. Fabricada (uds)]]</f>
        <v>0.19503822749258856</v>
      </c>
    </row>
    <row r="394" spans="1:22" x14ac:dyDescent="0.3">
      <c r="A394" s="43">
        <v>44573</v>
      </c>
      <c r="B394" s="20" t="s">
        <v>946</v>
      </c>
      <c r="C394" s="20">
        <v>1799</v>
      </c>
      <c r="D394" s="13" t="str">
        <f>VLOOKUP(C:C,'LListat referències'!A:B,2,FALSE)</f>
        <v>Tarro tapa juvena 30ml</v>
      </c>
      <c r="E394" s="18" t="str">
        <f>VLOOKUP(C:C,'LListat referències'!A:D,4,FALSE)</f>
        <v>T071</v>
      </c>
      <c r="F394" s="49">
        <f>VLOOKUP(C:C,'LListat referències'!A:E,5,FALSE)</f>
        <v>43.5</v>
      </c>
      <c r="G394" s="49">
        <v>96.08</v>
      </c>
      <c r="H394" s="49">
        <v>4</v>
      </c>
      <c r="I394" s="75">
        <f>Tabla1[[#This Row],[Cant. Fabricada (uds)]]/Tabla1[[#This Row],[Cavidades]]*Tabla1[[#This Row],[Tiempo Ciclo]]/60/60</f>
        <v>8.834022222222222</v>
      </c>
      <c r="J394" s="1" t="s">
        <v>15</v>
      </c>
      <c r="K394" s="25"/>
      <c r="L394" s="25">
        <v>6892</v>
      </c>
      <c r="M394" s="25">
        <v>8068</v>
      </c>
      <c r="N394" s="25">
        <v>8216</v>
      </c>
      <c r="O394" s="20">
        <v>45</v>
      </c>
      <c r="P394" s="1">
        <f>Tabla1[[#This Row],[Noche]]-Tabla1[[#This Row],[Mañana ]]</f>
        <v>1324</v>
      </c>
      <c r="Q394" s="58"/>
      <c r="R394" s="21">
        <f t="shared" si="9"/>
        <v>0</v>
      </c>
      <c r="S394" s="22">
        <f>Tabla1[[#This Row],[Merma Salas A &amp; B2]]*1000/Tabla1[[#This Row],[Peso gr.]]</f>
        <v>0</v>
      </c>
      <c r="T394" s="52"/>
      <c r="U394" s="24">
        <f>Tabla1[[#This Row],[Total piezas NOK]]/Tabla1[[#This Row],[Cant. Fabricada (uds)]]</f>
        <v>0</v>
      </c>
    </row>
    <row r="395" spans="1:22" x14ac:dyDescent="0.3">
      <c r="A395" s="43">
        <v>44574</v>
      </c>
      <c r="B395" s="20" t="s">
        <v>858</v>
      </c>
      <c r="C395" s="20">
        <v>1799</v>
      </c>
      <c r="D395" s="13" t="str">
        <f>VLOOKUP(C:C,'LListat referències'!A:B,2,FALSE)</f>
        <v>Tarro tapa juvena 30ml</v>
      </c>
      <c r="E395" s="18" t="str">
        <f>VLOOKUP(C:C,'LListat referències'!A:D,4,FALSE)</f>
        <v>T071</v>
      </c>
      <c r="F395" s="49">
        <f>VLOOKUP(C:C,'LListat referències'!A:E,5,FALSE)</f>
        <v>43.5</v>
      </c>
      <c r="G395" s="49">
        <v>96.08</v>
      </c>
      <c r="H395" s="49">
        <v>4</v>
      </c>
      <c r="I395" s="75">
        <f>Tabla1[[#This Row],[Cant. Fabricada (uds)]]/Tabla1[[#This Row],[Cavidades]]*Tabla1[[#This Row],[Tiempo Ciclo]]/60/60</f>
        <v>8.0333555555555556</v>
      </c>
      <c r="J395" s="1" t="s">
        <v>15</v>
      </c>
      <c r="K395" s="25"/>
      <c r="L395" s="25">
        <v>214</v>
      </c>
      <c r="M395" s="25">
        <v>816</v>
      </c>
      <c r="N395" s="25">
        <v>1418</v>
      </c>
      <c r="O395" s="20">
        <v>45</v>
      </c>
      <c r="P395" s="1">
        <f>Tabla1[[#This Row],[Noche]]-Tabla1[[#This Row],[Mañana ]]</f>
        <v>1204</v>
      </c>
      <c r="Q395" s="58">
        <v>10</v>
      </c>
      <c r="R395" s="21">
        <f t="shared" si="9"/>
        <v>10</v>
      </c>
      <c r="S395" s="22">
        <f>Tabla1[[#This Row],[Merma Salas A &amp; B2]]*1000/Tabla1[[#This Row],[Peso gr.]]</f>
        <v>229.88505747126436</v>
      </c>
      <c r="T395" s="52"/>
      <c r="U395" s="24">
        <f>Tabla1[[#This Row],[Total piezas NOK]]/Tabla1[[#This Row],[Cant. Fabricada (uds)]]</f>
        <v>0.19093443311566807</v>
      </c>
    </row>
    <row r="396" spans="1:22" x14ac:dyDescent="0.3">
      <c r="A396" s="43">
        <v>44575</v>
      </c>
      <c r="B396" s="20" t="s">
        <v>857</v>
      </c>
      <c r="C396" s="20">
        <v>1799</v>
      </c>
      <c r="D396" s="13" t="str">
        <f>VLOOKUP(C:C,'LListat referències'!A:B,2,FALSE)</f>
        <v>Tarro tapa juvena 30ml</v>
      </c>
      <c r="E396" s="18" t="str">
        <f>VLOOKUP(C:C,'LListat referències'!A:D,4,FALSE)</f>
        <v>T071</v>
      </c>
      <c r="F396" s="49">
        <f>VLOOKUP(C:C,'LListat referències'!A:E,5,FALSE)</f>
        <v>43.5</v>
      </c>
      <c r="G396" s="49">
        <v>96.08</v>
      </c>
      <c r="H396" s="49">
        <v>4</v>
      </c>
      <c r="I396" s="75">
        <f>Tabla1[[#This Row],[Cant. Fabricada (uds)]]/Tabla1[[#This Row],[Cavidades]]*Tabla1[[#This Row],[Tiempo Ciclo]]/60/60</f>
        <v>7.2059999999999995</v>
      </c>
      <c r="J396" s="1" t="s">
        <v>15</v>
      </c>
      <c r="K396" s="25"/>
      <c r="L396" s="25">
        <v>2054</v>
      </c>
      <c r="M396" s="25">
        <v>2628</v>
      </c>
      <c r="N396" s="25">
        <v>3134</v>
      </c>
      <c r="O396" s="20">
        <v>45</v>
      </c>
      <c r="P396" s="1">
        <f>Tabla1[[#This Row],[Noche]]-Tabla1[[#This Row],[Mañana ]]</f>
        <v>1080</v>
      </c>
      <c r="Q396" s="58">
        <v>5</v>
      </c>
      <c r="R396" s="21">
        <f t="shared" si="9"/>
        <v>5</v>
      </c>
      <c r="S396" s="22">
        <f>Tabla1[[#This Row],[Merma Salas A &amp; B2]]*1000/Tabla1[[#This Row],[Peso gr.]]</f>
        <v>114.94252873563218</v>
      </c>
      <c r="T396" s="52"/>
      <c r="U396" s="24">
        <f>Tabla1[[#This Row],[Total piezas NOK]]/Tabla1[[#This Row],[Cant. Fabricada (uds)]]</f>
        <v>0.10642826734780757</v>
      </c>
    </row>
    <row r="397" spans="1:22" x14ac:dyDescent="0.3">
      <c r="A397" s="43">
        <v>44578</v>
      </c>
      <c r="B397" s="20" t="s">
        <v>858</v>
      </c>
      <c r="C397" s="20">
        <v>1799</v>
      </c>
      <c r="D397" s="13" t="str">
        <f>VLOOKUP(C:C,'LListat referències'!A:B,2,FALSE)</f>
        <v>Tarro tapa juvena 30ml</v>
      </c>
      <c r="E397" s="18" t="str">
        <f>VLOOKUP(C:C,'LListat referències'!A:D,4,FALSE)</f>
        <v>T071</v>
      </c>
      <c r="F397" s="49">
        <f>VLOOKUP(C:C,'LListat referències'!A:E,5,FALSE)</f>
        <v>43.5</v>
      </c>
      <c r="G397" s="49">
        <v>96.08</v>
      </c>
      <c r="H397" s="49">
        <v>4</v>
      </c>
      <c r="I397" s="75">
        <f>Tabla1[[#This Row],[Cant. Fabricada (uds)]]/Tabla1[[#This Row],[Cavidades]]*Tabla1[[#This Row],[Tiempo Ciclo]]/60/60</f>
        <v>8.0200111111111116</v>
      </c>
      <c r="J397" s="1" t="s">
        <v>15</v>
      </c>
      <c r="K397" s="25"/>
      <c r="L397" s="25">
        <v>3320</v>
      </c>
      <c r="M397" s="25">
        <v>3896</v>
      </c>
      <c r="N397" s="25">
        <v>4522</v>
      </c>
      <c r="O397" s="20">
        <v>45</v>
      </c>
      <c r="P397" s="1">
        <f>Tabla1[[#This Row],[Noche]]-Tabla1[[#This Row],[Mañana ]]</f>
        <v>1202</v>
      </c>
      <c r="Q397" s="58"/>
      <c r="R397" s="21">
        <f t="shared" si="9"/>
        <v>0</v>
      </c>
      <c r="S397" s="22">
        <f>Tabla1[[#This Row],[Merma Salas A &amp; B2]]*1000/Tabla1[[#This Row],[Peso gr.]]</f>
        <v>0</v>
      </c>
      <c r="T397" s="52"/>
      <c r="U397" s="24">
        <f>Tabla1[[#This Row],[Total piezas NOK]]/Tabla1[[#This Row],[Cant. Fabricada (uds)]]</f>
        <v>0</v>
      </c>
    </row>
    <row r="398" spans="1:22" x14ac:dyDescent="0.3">
      <c r="A398" s="43">
        <v>44552</v>
      </c>
      <c r="B398" s="20" t="s">
        <v>936</v>
      </c>
      <c r="C398" s="20">
        <v>1904</v>
      </c>
      <c r="D398" s="13" t="str">
        <f>VLOOKUP(C:C,'LListat referències'!A:B,2,FALSE)</f>
        <v xml:space="preserve">Interior tapa 200ml </v>
      </c>
      <c r="E398" s="18" t="str">
        <f>VLOOKUP(C:C,'LListat referències'!A:D,4,FALSE)</f>
        <v/>
      </c>
      <c r="F398" s="49">
        <f>VLOOKUP(C:C,'LListat referències'!A:E,5,FALSE)</f>
        <v>10</v>
      </c>
      <c r="G398" s="49">
        <v>38.5</v>
      </c>
      <c r="H398" s="49">
        <v>4</v>
      </c>
      <c r="I398" s="75">
        <f>Tabla1[[#This Row],[Cant. Fabricada (uds)]]/Tabla1[[#This Row],[Cavidades]]*Tabla1[[#This Row],[Tiempo Ciclo]]/60/60</f>
        <v>4.5558333333333341</v>
      </c>
      <c r="J398" s="1" t="s">
        <v>797</v>
      </c>
      <c r="K398" s="25"/>
      <c r="L398" s="25">
        <v>1108</v>
      </c>
      <c r="M398" s="25">
        <v>2812</v>
      </c>
      <c r="N398" s="25">
        <v>2812</v>
      </c>
      <c r="O398" s="20">
        <v>39</v>
      </c>
      <c r="P398" s="1">
        <f>Tabla1[[#This Row],[Noche]]-Tabla1[[#This Row],[Mañana ]]</f>
        <v>1704</v>
      </c>
      <c r="Q398" s="58"/>
      <c r="R398" s="21">
        <f t="shared" si="9"/>
        <v>0</v>
      </c>
      <c r="S398" s="22">
        <f>Tabla1[[#This Row],[Merma Salas A &amp; B2]]*1000/Tabla1[[#This Row],[Peso gr.]]</f>
        <v>0</v>
      </c>
      <c r="T398" s="52"/>
      <c r="U398" s="24">
        <f>Tabla1[[#This Row],[Total piezas NOK]]/Tabla1[[#This Row],[Cant. Fabricada (uds)]]</f>
        <v>0</v>
      </c>
    </row>
    <row r="399" spans="1:22" x14ac:dyDescent="0.3">
      <c r="A399" s="43">
        <v>44564</v>
      </c>
      <c r="B399" s="20" t="s">
        <v>936</v>
      </c>
      <c r="C399" s="20">
        <v>1904</v>
      </c>
      <c r="D399" s="13" t="str">
        <f>VLOOKUP(C:C,'LListat referències'!A:B,2,FALSE)</f>
        <v xml:space="preserve">Interior tapa 200ml </v>
      </c>
      <c r="E399" s="18" t="str">
        <f>VLOOKUP(C:C,'LListat referències'!A:D,4,FALSE)</f>
        <v/>
      </c>
      <c r="F399" s="49">
        <f>VLOOKUP(C:C,'LListat referències'!A:E,5,FALSE)</f>
        <v>10</v>
      </c>
      <c r="G399" s="49">
        <v>38.5</v>
      </c>
      <c r="H399" s="49">
        <v>4</v>
      </c>
      <c r="I399" s="75">
        <f>Tabla1[[#This Row],[Cant. Fabricada (uds)]]/Tabla1[[#This Row],[Cavidades]]*Tabla1[[#This Row],[Tiempo Ciclo]]/60/60</f>
        <v>0</v>
      </c>
      <c r="J399" s="1" t="s">
        <v>797</v>
      </c>
      <c r="K399" s="25"/>
      <c r="L399" s="25">
        <v>4140</v>
      </c>
      <c r="M399" s="25"/>
      <c r="N399" s="25">
        <v>4140</v>
      </c>
      <c r="O399" s="20">
        <v>39</v>
      </c>
      <c r="P399" s="1">
        <f>Tabla1[[#This Row],[Noche]]-Tabla1[[#This Row],[Mañana ]]</f>
        <v>0</v>
      </c>
      <c r="Q399" s="58"/>
      <c r="R399" s="21">
        <f t="shared" si="9"/>
        <v>0</v>
      </c>
      <c r="S399" s="22">
        <f>Tabla1[[#This Row],[Merma Salas A &amp; B2]]*1000/Tabla1[[#This Row],[Peso gr.]]</f>
        <v>0</v>
      </c>
      <c r="T399" s="52"/>
      <c r="U399" s="24" t="s">
        <v>842</v>
      </c>
    </row>
    <row r="400" spans="1:22" x14ac:dyDescent="0.3">
      <c r="A400" s="43">
        <v>44565</v>
      </c>
      <c r="B400" s="20" t="s">
        <v>936</v>
      </c>
      <c r="C400" s="20">
        <v>1904</v>
      </c>
      <c r="D400" s="13" t="str">
        <f>VLOOKUP(C:C,'LListat referències'!A:B,2,FALSE)</f>
        <v xml:space="preserve">Interior tapa 200ml </v>
      </c>
      <c r="E400" s="18" t="str">
        <f>VLOOKUP(C:C,'LListat referències'!A:D,4,FALSE)</f>
        <v/>
      </c>
      <c r="F400" s="49">
        <f>VLOOKUP(C:C,'LListat referències'!A:E,5,FALSE)</f>
        <v>10</v>
      </c>
      <c r="G400" s="49">
        <v>38.5</v>
      </c>
      <c r="H400" s="49">
        <v>4</v>
      </c>
      <c r="I400" s="75">
        <f>Tabla1[[#This Row],[Cant. Fabricada (uds)]]/Tabla1[[#This Row],[Cavidades]]*Tabla1[[#This Row],[Tiempo Ciclo]]/60/60</f>
        <v>14.490972222222222</v>
      </c>
      <c r="J400" s="1" t="s">
        <v>797</v>
      </c>
      <c r="K400" s="25"/>
      <c r="L400" s="25">
        <v>1716</v>
      </c>
      <c r="M400" s="25">
        <v>4304</v>
      </c>
      <c r="N400" s="25">
        <v>7136</v>
      </c>
      <c r="O400" s="20">
        <v>39</v>
      </c>
      <c r="P400" s="1">
        <f>Tabla1[[#This Row],[Noche]]-Tabla1[[#This Row],[Mañana ]]</f>
        <v>5420</v>
      </c>
      <c r="Q400" s="58"/>
      <c r="R400" s="21">
        <f t="shared" si="9"/>
        <v>0</v>
      </c>
      <c r="S400" s="22">
        <f>Tabla1[[#This Row],[Merma Salas A &amp; B2]]*1000/Tabla1[[#This Row],[Peso gr.]]</f>
        <v>0</v>
      </c>
      <c r="T400" s="52"/>
      <c r="U400" s="24">
        <f>Tabla1[[#This Row],[Total piezas NOK]]/Tabla1[[#This Row],[Cant. Fabricada (uds)]]</f>
        <v>0</v>
      </c>
    </row>
    <row r="401" spans="1:22" x14ac:dyDescent="0.3">
      <c r="A401" s="43">
        <v>44566</v>
      </c>
      <c r="B401" s="20" t="s">
        <v>948</v>
      </c>
      <c r="C401" s="20">
        <v>1904</v>
      </c>
      <c r="D401" s="13" t="str">
        <f>VLOOKUP(C:C,'LListat referències'!A:B,2,FALSE)</f>
        <v xml:space="preserve">Interior tapa 200ml </v>
      </c>
      <c r="E401" s="18" t="str">
        <f>VLOOKUP(C:C,'LListat referències'!A:D,4,FALSE)</f>
        <v/>
      </c>
      <c r="F401" s="49">
        <f>VLOOKUP(C:C,'LListat referències'!A:E,5,FALSE)</f>
        <v>10</v>
      </c>
      <c r="G401" s="49">
        <v>38.5</v>
      </c>
      <c r="H401" s="49">
        <v>4</v>
      </c>
      <c r="I401" s="75">
        <f>Tabla1[[#This Row],[Cant. Fabricada (uds)]]/Tabla1[[#This Row],[Cavidades]]*Tabla1[[#This Row],[Tiempo Ciclo]]/60/60</f>
        <v>4.2350000000000003</v>
      </c>
      <c r="J401" s="1" t="s">
        <v>797</v>
      </c>
      <c r="K401" s="25"/>
      <c r="L401" s="25">
        <v>8884</v>
      </c>
      <c r="M401" s="25">
        <v>9332</v>
      </c>
      <c r="N401" s="25">
        <v>10468</v>
      </c>
      <c r="O401" s="20">
        <v>39</v>
      </c>
      <c r="P401" s="1">
        <f>Tabla1[[#This Row],[Noche]]-Tabla1[[#This Row],[Mañana ]]</f>
        <v>1584</v>
      </c>
      <c r="Q401" s="58"/>
      <c r="R401" s="21">
        <f t="shared" si="9"/>
        <v>0</v>
      </c>
      <c r="S401" s="22">
        <f>Tabla1[[#This Row],[Merma Salas A &amp; B2]]*1000/Tabla1[[#This Row],[Peso gr.]]</f>
        <v>0</v>
      </c>
      <c r="T401" s="52"/>
      <c r="U401" s="24">
        <f>Tabla1[[#This Row],[Total piezas NOK]]/Tabla1[[#This Row],[Cant. Fabricada (uds)]]</f>
        <v>0</v>
      </c>
    </row>
    <row r="402" spans="1:22" x14ac:dyDescent="0.3">
      <c r="A402" s="43">
        <v>44568</v>
      </c>
      <c r="B402" s="20" t="s">
        <v>948</v>
      </c>
      <c r="C402" s="20">
        <v>1904</v>
      </c>
      <c r="D402" s="13" t="str">
        <f>VLOOKUP(C:C,'LListat referències'!A:B,2,FALSE)</f>
        <v xml:space="preserve">Interior tapa 200ml </v>
      </c>
      <c r="E402" s="18" t="str">
        <f>VLOOKUP(C:C,'LListat referències'!A:D,4,FALSE)</f>
        <v/>
      </c>
      <c r="F402" s="49">
        <f>VLOOKUP(C:C,'LListat referències'!A:E,5,FALSE)</f>
        <v>10</v>
      </c>
      <c r="G402" s="49">
        <v>38.5</v>
      </c>
      <c r="H402" s="49">
        <v>4</v>
      </c>
      <c r="I402" s="75">
        <f>Tabla1[[#This Row],[Cant. Fabricada (uds)]]/Tabla1[[#This Row],[Cavidades]]*Tabla1[[#This Row],[Tiempo Ciclo]]/60/60</f>
        <v>0.25666666666666665</v>
      </c>
      <c r="J402" s="1" t="s">
        <v>797</v>
      </c>
      <c r="K402" s="25"/>
      <c r="L402" s="25"/>
      <c r="M402" s="25"/>
      <c r="N402" s="25">
        <v>96</v>
      </c>
      <c r="O402" s="20">
        <v>39</v>
      </c>
      <c r="P402" s="1">
        <f>Tabla1[[#This Row],[Noche]]-Tabla1[[#This Row],[Mañana ]]</f>
        <v>96</v>
      </c>
      <c r="Q402" s="58"/>
      <c r="R402" s="21">
        <f t="shared" si="9"/>
        <v>0</v>
      </c>
      <c r="S402" s="22">
        <f>Tabla1[[#This Row],[Merma Salas A &amp; B2]]*1000/Tabla1[[#This Row],[Peso gr.]]</f>
        <v>0</v>
      </c>
      <c r="T402" s="52"/>
      <c r="U402" s="24">
        <f>Tabla1[[#This Row],[Total piezas NOK]]/Tabla1[[#This Row],[Cant. Fabricada (uds)]]</f>
        <v>0</v>
      </c>
    </row>
    <row r="403" spans="1:22" x14ac:dyDescent="0.3">
      <c r="A403" s="43">
        <v>44575</v>
      </c>
      <c r="B403" s="20" t="s">
        <v>835</v>
      </c>
      <c r="C403" s="20">
        <v>1861</v>
      </c>
      <c r="D403" s="13" t="str">
        <f>VLOOKUP(C:C,'LListat referències'!A:B,2,FALSE)</f>
        <v>Tarro 50ml Standard 8 unitats</v>
      </c>
      <c r="E403" s="18" t="str">
        <f>VLOOKUP(C:C,'LListat referències'!A:D,4,FALSE)</f>
        <v>T022</v>
      </c>
      <c r="F403" s="49">
        <f>VLOOKUP(C:C,'LListat referències'!A:E,5,FALSE)</f>
        <v>92</v>
      </c>
      <c r="G403" s="49">
        <v>148</v>
      </c>
      <c r="H403" s="49">
        <v>7</v>
      </c>
      <c r="I403" s="75">
        <f>Tabla1[[#This Row],[Cant. Fabricada (uds)]]/Tabla1[[#This Row],[Cavidades]]*Tabla1[[#This Row],[Tiempo Ciclo]]/60/60</f>
        <v>12.374444444444444</v>
      </c>
      <c r="J403" s="1" t="s">
        <v>7</v>
      </c>
      <c r="K403" s="25"/>
      <c r="L403" s="25">
        <v>917</v>
      </c>
      <c r="M403" s="25">
        <v>2149</v>
      </c>
      <c r="N403" s="25">
        <v>3024</v>
      </c>
      <c r="O403" s="20">
        <v>40</v>
      </c>
      <c r="P403" s="1">
        <f>Tabla1[[#This Row],[Noche]]-Tabla1[[#This Row],[Mañana ]]</f>
        <v>2107</v>
      </c>
      <c r="Q403" s="58"/>
      <c r="R403" s="21">
        <f t="shared" si="9"/>
        <v>0</v>
      </c>
      <c r="S403" s="22">
        <f>Tabla1[[#This Row],[Merma Salas A &amp; B2]]*1000/Tabla1[[#This Row],[Peso gr.]]</f>
        <v>0</v>
      </c>
      <c r="T403" s="52">
        <v>260</v>
      </c>
      <c r="U403" s="24">
        <f>Tabla1[[#This Row],[Total piezas NOK]]/Tabla1[[#This Row],[Cant. Fabricada (uds)]]</f>
        <v>0</v>
      </c>
      <c r="V403" s="19" t="s">
        <v>949</v>
      </c>
    </row>
    <row r="404" spans="1:22" x14ac:dyDescent="0.3">
      <c r="A404" s="43">
        <v>44578</v>
      </c>
      <c r="B404" s="20" t="s">
        <v>835</v>
      </c>
      <c r="C404" s="20">
        <v>1861</v>
      </c>
      <c r="D404" s="13" t="str">
        <f>VLOOKUP(C:C,'LListat referències'!A:B,2,FALSE)</f>
        <v>Tarro 50ml Standard 8 unitats</v>
      </c>
      <c r="E404" s="18" t="str">
        <f>VLOOKUP(C:C,'LListat referències'!A:D,4,FALSE)</f>
        <v>T022</v>
      </c>
      <c r="F404" s="49">
        <f>VLOOKUP(C:C,'LListat referències'!A:E,5,FALSE)</f>
        <v>92</v>
      </c>
      <c r="G404" s="49">
        <v>148</v>
      </c>
      <c r="H404" s="49">
        <v>7</v>
      </c>
      <c r="I404" s="75">
        <f>Tabla1[[#This Row],[Cant. Fabricada (uds)]]/Tabla1[[#This Row],[Cavidades]]*Tabla1[[#This Row],[Tiempo Ciclo]]/60/60</f>
        <v>14.306666666666667</v>
      </c>
      <c r="J404" s="1" t="s">
        <v>7</v>
      </c>
      <c r="K404" s="25"/>
      <c r="L404" s="25">
        <v>3808</v>
      </c>
      <c r="M404" s="25">
        <v>5019</v>
      </c>
      <c r="N404" s="25">
        <v>6244</v>
      </c>
      <c r="O404" s="20">
        <v>40</v>
      </c>
      <c r="P404" s="1">
        <f>Tabla1[[#This Row],[Noche]]-Tabla1[[#This Row],[Mañana ]]</f>
        <v>2436</v>
      </c>
      <c r="Q404" s="58"/>
      <c r="R404" s="21">
        <f t="shared" si="9"/>
        <v>0</v>
      </c>
      <c r="S404" s="22">
        <f>Tabla1[[#This Row],[Merma Salas A &amp; B2]]*1000/Tabla1[[#This Row],[Peso gr.]]</f>
        <v>0</v>
      </c>
      <c r="T404" s="52"/>
      <c r="U404" s="24">
        <f>Tabla1[[#This Row],[Total piezas NOK]]/Tabla1[[#This Row],[Cant. Fabricada (uds)]]</f>
        <v>0</v>
      </c>
    </row>
    <row r="405" spans="1:22" x14ac:dyDescent="0.3">
      <c r="A405" s="43">
        <v>44551</v>
      </c>
      <c r="B405" s="20" t="s">
        <v>950</v>
      </c>
      <c r="C405" s="20">
        <v>1664</v>
      </c>
      <c r="D405" s="13" t="str">
        <f>VLOOKUP(C:C,'LListat referències'!A:B,2,FALSE)</f>
        <v>Interior tap d'ampolla 200ml</v>
      </c>
      <c r="E405" s="18" t="str">
        <f>VLOOKUP(C:C,'LListat referències'!A:D,4,FALSE)</f>
        <v/>
      </c>
      <c r="F405" s="49">
        <v>5.2</v>
      </c>
      <c r="G405" s="49">
        <v>24</v>
      </c>
      <c r="H405" s="49">
        <v>4</v>
      </c>
      <c r="I405" s="75">
        <f>Tabla1[[#This Row],[Cant. Fabricada (uds)]]/Tabla1[[#This Row],[Cavidades]]*Tabla1[[#This Row],[Tiempo Ciclo]]/60/60</f>
        <v>8.8849999999999998</v>
      </c>
      <c r="J405" s="1" t="s">
        <v>797</v>
      </c>
      <c r="K405" s="25"/>
      <c r="L405" s="25">
        <v>0</v>
      </c>
      <c r="M405" s="25">
        <v>1596</v>
      </c>
      <c r="N405" s="25">
        <v>5331</v>
      </c>
      <c r="O405" s="20">
        <v>46</v>
      </c>
      <c r="P405" s="1">
        <f>Tabla1[[#This Row],[Noche]]-Tabla1[[#This Row],[Mañana ]]</f>
        <v>5331</v>
      </c>
      <c r="Q405" s="58"/>
      <c r="R405" s="21">
        <f t="shared" si="9"/>
        <v>0</v>
      </c>
      <c r="S405" s="22">
        <f>Tabla1[[#This Row],[Merma Salas A &amp; B2]]*1000/Tabla1[[#This Row],[Peso gr.]]</f>
        <v>0</v>
      </c>
      <c r="T405" s="52"/>
      <c r="U405" s="24">
        <f>Tabla1[[#This Row],[Total piezas NOK]]/Tabla1[[#This Row],[Cant. Fabricada (uds)]]</f>
        <v>0</v>
      </c>
    </row>
    <row r="406" spans="1:22" x14ac:dyDescent="0.3">
      <c r="A406" s="43">
        <v>44552</v>
      </c>
      <c r="B406" s="20" t="s">
        <v>950</v>
      </c>
      <c r="C406" s="20">
        <v>1664</v>
      </c>
      <c r="D406" s="13" t="str">
        <f>VLOOKUP(C:C,'LListat referències'!A:B,2,FALSE)</f>
        <v>Interior tap d'ampolla 200ml</v>
      </c>
      <c r="E406" s="18" t="str">
        <f>VLOOKUP(C:C,'LListat referències'!A:D,4,FALSE)</f>
        <v/>
      </c>
      <c r="F406" s="49">
        <v>5.2</v>
      </c>
      <c r="G406" s="49">
        <v>24</v>
      </c>
      <c r="H406" s="49">
        <v>4</v>
      </c>
      <c r="I406" s="75">
        <f>Tabla1[[#This Row],[Cant. Fabricada (uds)]]/Tabla1[[#This Row],[Cavidades]]*Tabla1[[#This Row],[Tiempo Ciclo]]/60/60</f>
        <v>5.1800000000000006</v>
      </c>
      <c r="J406" s="1" t="s">
        <v>797</v>
      </c>
      <c r="K406" s="25"/>
      <c r="L406" s="25">
        <v>8901</v>
      </c>
      <c r="M406" s="25">
        <v>12009</v>
      </c>
      <c r="N406" s="25">
        <v>12009</v>
      </c>
      <c r="O406" s="20">
        <v>46</v>
      </c>
      <c r="P406" s="1">
        <f>Tabla1[[#This Row],[Noche]]-Tabla1[[#This Row],[Mañana ]]</f>
        <v>3108</v>
      </c>
      <c r="Q406" s="58"/>
      <c r="R406" s="21">
        <f t="shared" si="9"/>
        <v>0</v>
      </c>
      <c r="S406" s="22">
        <f>Tabla1[[#This Row],[Merma Salas A &amp; B2]]*1000/Tabla1[[#This Row],[Peso gr.]]</f>
        <v>0</v>
      </c>
      <c r="T406" s="52"/>
      <c r="U406" s="24">
        <f>Tabla1[[#This Row],[Total piezas NOK]]/Tabla1[[#This Row],[Cant. Fabricada (uds)]]</f>
        <v>0</v>
      </c>
    </row>
    <row r="407" spans="1:22" x14ac:dyDescent="0.3">
      <c r="A407" s="43">
        <v>44842</v>
      </c>
      <c r="B407" s="20" t="s">
        <v>770</v>
      </c>
      <c r="C407" s="20">
        <v>1540</v>
      </c>
      <c r="D407" s="13" t="str">
        <f>VLOOKUP(C:C,'LListat referències'!A:B,2,FALSE)</f>
        <v>Tapa 7 ml simple</v>
      </c>
      <c r="E407" s="18" t="str">
        <f>VLOOKUP(C:C,'LListat referències'!A:D,4,FALSE)</f>
        <v>#2 (7 ml)</v>
      </c>
      <c r="F407" s="49">
        <v>3.3</v>
      </c>
      <c r="G407" s="49">
        <v>22.41</v>
      </c>
      <c r="H407" s="49">
        <v>4</v>
      </c>
      <c r="I407" s="75">
        <f>Tabla1[[#This Row],[Cant. Fabricada (uds)]]/Tabla1[[#This Row],[Cavidades]]*Tabla1[[#This Row],[Tiempo Ciclo]]/60/60</f>
        <v>7.6940999999999997</v>
      </c>
      <c r="J407" s="1" t="s">
        <v>763</v>
      </c>
      <c r="K407" s="25"/>
      <c r="L407" s="25">
        <v>0</v>
      </c>
      <c r="M407" s="25">
        <v>324</v>
      </c>
      <c r="N407" s="25">
        <v>4944</v>
      </c>
      <c r="O407" s="20">
        <v>47</v>
      </c>
      <c r="P407" s="1">
        <f>Tabla1[[#This Row],[Noche]]-Tabla1[[#This Row],[Mañana ]]</f>
        <v>4944</v>
      </c>
      <c r="Q407" s="58"/>
      <c r="R407" s="21">
        <f t="shared" si="9"/>
        <v>0</v>
      </c>
      <c r="S407" s="22">
        <f>Tabla1[[#This Row],[Merma Salas A &amp; B2]]*1000/Tabla1[[#This Row],[Peso gr.]]</f>
        <v>0</v>
      </c>
      <c r="T407" s="52"/>
      <c r="U407" s="24">
        <f>Tabla1[[#This Row],[Total piezas NOK]]/Tabla1[[#This Row],[Cant. Fabricada (uds)]]</f>
        <v>0</v>
      </c>
    </row>
    <row r="408" spans="1:22" x14ac:dyDescent="0.3">
      <c r="A408" s="43">
        <v>44860</v>
      </c>
      <c r="B408" s="20" t="s">
        <v>770</v>
      </c>
      <c r="C408" s="20">
        <v>1540</v>
      </c>
      <c r="D408" s="13" t="str">
        <f>VLOOKUP(C:C,'LListat referències'!A:B,2,FALSE)</f>
        <v>Tapa 7 ml simple</v>
      </c>
      <c r="E408" s="18" t="str">
        <f>VLOOKUP(C:C,'LListat referències'!A:D,4,FALSE)</f>
        <v>#2 (7 ml)</v>
      </c>
      <c r="F408" s="49">
        <v>3.3</v>
      </c>
      <c r="G408" s="49">
        <v>22.41</v>
      </c>
      <c r="H408" s="49">
        <v>4</v>
      </c>
      <c r="I408" s="75">
        <f>Tabla1[[#This Row],[Cant. Fabricada (uds)]]/Tabla1[[#This Row],[Cavidades]]*Tabla1[[#This Row],[Tiempo Ciclo]]/60/60</f>
        <v>4.5380250000000002</v>
      </c>
      <c r="J408" s="1" t="s">
        <v>763</v>
      </c>
      <c r="K408" s="25"/>
      <c r="L408" s="25">
        <v>4944</v>
      </c>
      <c r="M408" s="25"/>
      <c r="N408" s="25">
        <v>7860</v>
      </c>
      <c r="O408" s="20">
        <v>47</v>
      </c>
      <c r="P408" s="1">
        <f>Tabla1[[#This Row],[Noche]]-Tabla1[[#This Row],[Mañana ]]</f>
        <v>2916</v>
      </c>
      <c r="Q408" s="58"/>
      <c r="R408" s="21">
        <f t="shared" si="9"/>
        <v>0</v>
      </c>
      <c r="S408" s="22">
        <f>Tabla1[[#This Row],[Merma Salas A &amp; B2]]*1000/Tabla1[[#This Row],[Peso gr.]]</f>
        <v>0</v>
      </c>
      <c r="T408" s="52"/>
      <c r="U408" s="24">
        <f>Tabla1[[#This Row],[Total piezas NOK]]/Tabla1[[#This Row],[Cant. Fabricada (uds)]]</f>
        <v>0</v>
      </c>
    </row>
    <row r="409" spans="1:22" x14ac:dyDescent="0.3">
      <c r="A409" s="43">
        <v>44550</v>
      </c>
      <c r="B409" s="20" t="s">
        <v>951</v>
      </c>
      <c r="C409" s="20">
        <v>1171</v>
      </c>
      <c r="D409" s="13" t="str">
        <f>VLOOKUP(C:C,'LListat referències'!A:B,2,FALSE)</f>
        <v>Obturador BOTELLA</v>
      </c>
      <c r="E409" s="18" t="str">
        <f>VLOOKUP(C:C,'LListat referències'!A:D,4,FALSE)</f>
        <v/>
      </c>
      <c r="F409" s="49">
        <v>1</v>
      </c>
      <c r="G409" s="49">
        <v>16.5</v>
      </c>
      <c r="H409" s="49">
        <v>4</v>
      </c>
      <c r="I409" s="75">
        <f>Tabla1[[#This Row],[Cant. Fabricada (uds)]]/Tabla1[[#This Row],[Cavidades]]*Tabla1[[#This Row],[Tiempo Ciclo]]/60/60</f>
        <v>12.494166666666667</v>
      </c>
      <c r="J409" s="1" t="s">
        <v>952</v>
      </c>
      <c r="K409" s="25"/>
      <c r="L409" s="25">
        <v>5060</v>
      </c>
      <c r="M409" s="25">
        <v>9276</v>
      </c>
      <c r="N409" s="25">
        <v>15964</v>
      </c>
      <c r="O409" s="20">
        <v>48</v>
      </c>
      <c r="P409" s="1">
        <f>Tabla1[[#This Row],[Noche]]-Tabla1[[#This Row],[Mañana ]]</f>
        <v>10904</v>
      </c>
      <c r="Q409" s="58"/>
      <c r="R409" s="21">
        <f t="shared" si="9"/>
        <v>0</v>
      </c>
      <c r="S409" s="22">
        <f>Tabla1[[#This Row],[Merma Salas A &amp; B2]]*1000/Tabla1[[#This Row],[Peso gr.]]</f>
        <v>0</v>
      </c>
      <c r="T409" s="52"/>
      <c r="U409" s="24">
        <f>Tabla1[[#This Row],[Total piezas NOK]]/Tabla1[[#This Row],[Cant. Fabricada (uds)]]</f>
        <v>0</v>
      </c>
    </row>
    <row r="410" spans="1:22" x14ac:dyDescent="0.3">
      <c r="A410" s="43">
        <v>44551</v>
      </c>
      <c r="B410" s="20" t="s">
        <v>951</v>
      </c>
      <c r="C410" s="20">
        <v>1171</v>
      </c>
      <c r="D410" s="13" t="str">
        <f>VLOOKUP(C:C,'LListat referències'!A:B,2,FALSE)</f>
        <v>Obturador BOTELLA</v>
      </c>
      <c r="E410" s="18" t="str">
        <f>VLOOKUP(C:C,'LListat referències'!A:D,4,FALSE)</f>
        <v/>
      </c>
      <c r="F410" s="49">
        <v>1</v>
      </c>
      <c r="G410" s="49">
        <v>16.5</v>
      </c>
      <c r="H410" s="49">
        <v>4</v>
      </c>
      <c r="I410" s="75">
        <f>Tabla1[[#This Row],[Cant. Fabricada (uds)]]/Tabla1[[#This Row],[Cavidades]]*Tabla1[[#This Row],[Tiempo Ciclo]]/60/60</f>
        <v>13.172500000000001</v>
      </c>
      <c r="J410" s="1" t="s">
        <v>952</v>
      </c>
      <c r="K410" s="25"/>
      <c r="L410" s="25">
        <v>22672</v>
      </c>
      <c r="M410" s="25">
        <v>26928</v>
      </c>
      <c r="N410" s="25">
        <v>34168</v>
      </c>
      <c r="O410" s="20">
        <v>48</v>
      </c>
      <c r="P410" s="1">
        <f>Tabla1[[#This Row],[Noche]]-Tabla1[[#This Row],[Mañana ]]</f>
        <v>11496</v>
      </c>
      <c r="Q410" s="58"/>
      <c r="R410" s="21">
        <f t="shared" si="9"/>
        <v>0</v>
      </c>
      <c r="S410" s="22">
        <f>Tabla1[[#This Row],[Merma Salas A &amp; B2]]*1000/Tabla1[[#This Row],[Peso gr.]]</f>
        <v>0</v>
      </c>
      <c r="T410" s="52"/>
      <c r="U410" s="24">
        <f>Tabla1[[#This Row],[Total piezas NOK]]/Tabla1[[#This Row],[Cant. Fabricada (uds)]]</f>
        <v>0</v>
      </c>
    </row>
    <row r="411" spans="1:22" x14ac:dyDescent="0.3">
      <c r="A411" s="43">
        <v>44552</v>
      </c>
      <c r="B411" s="20" t="s">
        <v>951</v>
      </c>
      <c r="C411" s="20">
        <v>1171</v>
      </c>
      <c r="D411" s="13" t="str">
        <f>VLOOKUP(C:C,'LListat referències'!A:B,2,FALSE)</f>
        <v>Obturador BOTELLA</v>
      </c>
      <c r="E411" s="18" t="str">
        <f>VLOOKUP(C:C,'LListat referències'!A:D,4,FALSE)</f>
        <v/>
      </c>
      <c r="F411" s="49">
        <v>1</v>
      </c>
      <c r="G411" s="49">
        <v>16.5</v>
      </c>
      <c r="H411" s="49">
        <v>4</v>
      </c>
      <c r="I411" s="75">
        <f>Tabla1[[#This Row],[Cant. Fabricada (uds)]]/Tabla1[[#This Row],[Cavidades]]*Tabla1[[#This Row],[Tiempo Ciclo]]/60/60</f>
        <v>7.8512499999999994</v>
      </c>
      <c r="J411" s="1" t="s">
        <v>952</v>
      </c>
      <c r="K411" s="25"/>
      <c r="L411" s="25">
        <v>34168</v>
      </c>
      <c r="M411" s="25"/>
      <c r="N411" s="25">
        <v>41020</v>
      </c>
      <c r="O411" s="20">
        <v>48</v>
      </c>
      <c r="P411" s="1">
        <f>Tabla1[[#This Row],[Noche]]-Tabla1[[#This Row],[Mañana ]]</f>
        <v>6852</v>
      </c>
      <c r="Q411" s="58"/>
      <c r="R411" s="21">
        <f t="shared" si="9"/>
        <v>0</v>
      </c>
      <c r="S411" s="22">
        <f>Tabla1[[#This Row],[Merma Salas A &amp; B2]]*1000/Tabla1[[#This Row],[Peso gr.]]</f>
        <v>0</v>
      </c>
      <c r="T411" s="52"/>
      <c r="U411" s="24">
        <f>Tabla1[[#This Row],[Total piezas NOK]]/Tabla1[[#This Row],[Cant. Fabricada (uds)]]</f>
        <v>0</v>
      </c>
    </row>
    <row r="412" spans="1:22" x14ac:dyDescent="0.3">
      <c r="A412" s="43">
        <v>44573</v>
      </c>
      <c r="B412" s="20" t="s">
        <v>953</v>
      </c>
      <c r="C412" s="20">
        <v>2013</v>
      </c>
      <c r="D412" s="13" t="str">
        <f>VLOOKUP(C:C,'LListat referències'!A:B,2,FALSE)</f>
        <v>Cubilet 15ml 6 unitats</v>
      </c>
      <c r="E412" s="18" t="str">
        <f>VLOOKUP(C:C,'LListat referències'!A:D,4,FALSE)</f>
        <v/>
      </c>
      <c r="F412" s="49">
        <f>VLOOKUP(C:C,'LListat referències'!A:E,5,FALSE)</f>
        <v>0</v>
      </c>
      <c r="G412" s="49">
        <v>11.66</v>
      </c>
      <c r="H412" s="49">
        <v>6</v>
      </c>
      <c r="I412" s="75">
        <f>Tabla1[[#This Row],[Cant. Fabricada (uds)]]/Tabla1[[#This Row],[Cavidades]]*Tabla1[[#This Row],[Tiempo Ciclo]]/60/60</f>
        <v>0.53981481481481475</v>
      </c>
      <c r="J412" s="1" t="s">
        <v>797</v>
      </c>
      <c r="K412" s="25"/>
      <c r="L412" s="25">
        <v>0</v>
      </c>
      <c r="M412" s="25"/>
      <c r="N412" s="25">
        <v>1000</v>
      </c>
      <c r="O412" s="20">
        <v>49</v>
      </c>
      <c r="P412" s="1">
        <f>Tabla1[[#This Row],[Noche]]-Tabla1[[#This Row],[Mañana ]]</f>
        <v>1000</v>
      </c>
      <c r="Q412" s="58"/>
      <c r="R412" s="21">
        <f t="shared" si="9"/>
        <v>0</v>
      </c>
      <c r="S412" s="22" t="e">
        <f>Tabla1[[#This Row],[Merma Salas A &amp; B2]]*1000/Tabla1[[#This Row],[Peso gr.]]</f>
        <v>#DIV/0!</v>
      </c>
      <c r="T412" s="52"/>
      <c r="U412" s="24" t="s">
        <v>842</v>
      </c>
    </row>
    <row r="413" spans="1:22" x14ac:dyDescent="0.3">
      <c r="A413" s="43">
        <v>44547</v>
      </c>
      <c r="B413" s="20" t="s">
        <v>914</v>
      </c>
      <c r="C413" s="20" t="s">
        <v>585</v>
      </c>
      <c r="D413" s="13" t="str">
        <f>VLOOKUP(C:C,'LListat referències'!A:B,2,FALSE)</f>
        <v>Tarro 200ml quadrat cònic</v>
      </c>
      <c r="E413" s="18" t="str">
        <f>VLOOKUP(C:C,'LListat referències'!A:D,4,FALSE)</f>
        <v>T083</v>
      </c>
      <c r="F413" s="49">
        <f>VLOOKUP(C:C,'LListat referències'!A:E,5,FALSE)</f>
        <v>233</v>
      </c>
      <c r="G413" s="49">
        <v>62.67</v>
      </c>
      <c r="H413" s="49">
        <v>2</v>
      </c>
      <c r="I413" s="75">
        <f>Tabla1[[#This Row],[Cant. Fabricada (uds)]]/Tabla1[[#This Row],[Cavidades]]*Tabla1[[#This Row],[Tiempo Ciclo]]/60/60</f>
        <v>14.344466666666667</v>
      </c>
      <c r="J413" s="1" t="s">
        <v>8</v>
      </c>
      <c r="K413" s="25"/>
      <c r="L413" s="25">
        <v>0</v>
      </c>
      <c r="M413" s="25">
        <v>1064</v>
      </c>
      <c r="N413" s="25">
        <v>1648</v>
      </c>
      <c r="O413" s="20">
        <v>51</v>
      </c>
      <c r="P413" s="1">
        <f>Tabla1[[#This Row],[Noche]]-Tabla1[[#This Row],[Mañana ]]</f>
        <v>1648</v>
      </c>
      <c r="Q413" s="58"/>
      <c r="R413" s="21">
        <f t="shared" si="9"/>
        <v>0</v>
      </c>
      <c r="S413" s="22">
        <f>Tabla1[[#This Row],[Merma Salas A &amp; B2]]*1000/Tabla1[[#This Row],[Peso gr.]]</f>
        <v>0</v>
      </c>
      <c r="T413" s="52">
        <v>4</v>
      </c>
      <c r="U413" s="24">
        <f>Tabla1[[#This Row],[Total piezas NOK]]/Tabla1[[#This Row],[Cant. Fabricada (uds)]]</f>
        <v>0</v>
      </c>
    </row>
    <row r="414" spans="1:22" x14ac:dyDescent="0.3">
      <c r="A414" s="43">
        <v>44551</v>
      </c>
      <c r="B414" s="20" t="s">
        <v>955</v>
      </c>
      <c r="C414" s="20">
        <v>1890</v>
      </c>
      <c r="D414" s="13" t="str">
        <f>VLOOKUP(C:C,'LListat referències'!A:B,2,FALSE)</f>
        <v>Tapa mar mar 200ml</v>
      </c>
      <c r="E414" s="18" t="str">
        <f>VLOOKUP(C:C,'LListat referències'!A:D,4,FALSE)</f>
        <v>#6(100/200 ml)</v>
      </c>
      <c r="F414" s="49">
        <f>VLOOKUP(C:C,'LListat referències'!A:E,5,FALSE)</f>
        <v>51.66</v>
      </c>
      <c r="G414" s="49">
        <v>62.67</v>
      </c>
      <c r="H414" s="49">
        <v>4</v>
      </c>
      <c r="I414" s="75">
        <f>Tabla1[[#This Row],[Cant. Fabricada (uds)]]/Tabla1[[#This Row],[Cavidades]]*Tabla1[[#This Row],[Tiempo Ciclo]]/60/60</f>
        <v>5.8666083333333336</v>
      </c>
      <c r="J414" s="1" t="s">
        <v>8</v>
      </c>
      <c r="K414" s="25"/>
      <c r="L414" s="25">
        <v>0</v>
      </c>
      <c r="M414" s="25"/>
      <c r="N414" s="25">
        <v>1348</v>
      </c>
      <c r="O414" s="20">
        <v>51</v>
      </c>
      <c r="P414" s="1">
        <f>Tabla1[[#This Row],[Noche]]-Tabla1[[#This Row],[Mañana ]]</f>
        <v>1348</v>
      </c>
      <c r="Q414" s="58"/>
      <c r="R414" s="21">
        <f t="shared" si="9"/>
        <v>0</v>
      </c>
      <c r="S414" s="22">
        <f>Tabla1[[#This Row],[Merma Salas A &amp; B2]]*1000/Tabla1[[#This Row],[Peso gr.]]</f>
        <v>0</v>
      </c>
      <c r="T414" s="52"/>
      <c r="U414" s="24">
        <f>Tabla1[[#This Row],[Total piezas NOK]]/Tabla1[[#This Row],[Cant. Fabricada (uds)]]</f>
        <v>0</v>
      </c>
    </row>
    <row r="415" spans="1:22" x14ac:dyDescent="0.3">
      <c r="A415" s="43">
        <v>44552</v>
      </c>
      <c r="B415" s="20" t="s">
        <v>954</v>
      </c>
      <c r="C415" s="20">
        <v>1890</v>
      </c>
      <c r="D415" s="13" t="str">
        <f>VLOOKUP(C:C,'LListat referències'!A:B,2,FALSE)</f>
        <v>Tapa mar mar 200ml</v>
      </c>
      <c r="E415" s="18" t="str">
        <f>VLOOKUP(C:C,'LListat referències'!A:D,4,FALSE)</f>
        <v>#6(100/200 ml)</v>
      </c>
      <c r="F415" s="49">
        <f>VLOOKUP(C:C,'LListat referències'!A:E,5,FALSE)</f>
        <v>51.66</v>
      </c>
      <c r="G415" s="49">
        <v>62.67</v>
      </c>
      <c r="H415" s="49">
        <v>4</v>
      </c>
      <c r="I415" s="75">
        <f>Tabla1[[#This Row],[Cant. Fabricada (uds)]]/Tabla1[[#This Row],[Cavidades]]*Tabla1[[#This Row],[Tiempo Ciclo]]/60/60</f>
        <v>14.048525000000001</v>
      </c>
      <c r="J415" s="1" t="s">
        <v>8</v>
      </c>
      <c r="K415" s="25"/>
      <c r="L415" s="25">
        <v>3200</v>
      </c>
      <c r="M415" s="25">
        <v>4960</v>
      </c>
      <c r="N415" s="25">
        <v>6428</v>
      </c>
      <c r="O415" s="20">
        <v>51</v>
      </c>
      <c r="P415" s="1">
        <f>Tabla1[[#This Row],[Noche]]-Tabla1[[#This Row],[Mañana ]]</f>
        <v>3228</v>
      </c>
      <c r="Q415" s="58"/>
      <c r="R415" s="21">
        <f t="shared" si="9"/>
        <v>0</v>
      </c>
      <c r="S415" s="22">
        <f>Tabla1[[#This Row],[Merma Salas A &amp; B2]]*1000/Tabla1[[#This Row],[Peso gr.]]</f>
        <v>0</v>
      </c>
      <c r="T415" s="52">
        <v>15</v>
      </c>
      <c r="U415" s="24">
        <f>Tabla1[[#This Row],[Total piezas NOK]]/Tabla1[[#This Row],[Cant. Fabricada (uds)]]</f>
        <v>0</v>
      </c>
      <c r="V415" s="19" t="s">
        <v>803</v>
      </c>
    </row>
    <row r="416" spans="1:22" x14ac:dyDescent="0.3">
      <c r="A416" s="43">
        <v>44564</v>
      </c>
      <c r="B416" s="20" t="s">
        <v>954</v>
      </c>
      <c r="C416" s="20">
        <v>1890</v>
      </c>
      <c r="D416" s="13" t="str">
        <f>VLOOKUP(C:C,'LListat referències'!A:B,2,FALSE)</f>
        <v>Tapa mar mar 200ml</v>
      </c>
      <c r="E416" s="18" t="str">
        <f>VLOOKUP(C:C,'LListat referències'!A:D,4,FALSE)</f>
        <v>#6(100/200 ml)</v>
      </c>
      <c r="F416" s="49">
        <f>VLOOKUP(C:C,'LListat referències'!A:E,5,FALSE)</f>
        <v>51.66</v>
      </c>
      <c r="G416" s="49">
        <v>62.67</v>
      </c>
      <c r="H416" s="49">
        <v>4</v>
      </c>
      <c r="I416" s="75">
        <f>Tabla1[[#This Row],[Cant. Fabricada (uds)]]/Tabla1[[#This Row],[Cavidades]]*Tabla1[[#This Row],[Tiempo Ciclo]]/60/60</f>
        <v>14.971166666666669</v>
      </c>
      <c r="J416" s="1" t="s">
        <v>8</v>
      </c>
      <c r="K416" s="25"/>
      <c r="L416" s="25">
        <v>8100</v>
      </c>
      <c r="M416" s="25">
        <v>9692</v>
      </c>
      <c r="N416" s="25">
        <v>11540</v>
      </c>
      <c r="O416" s="20">
        <v>51</v>
      </c>
      <c r="P416" s="1">
        <f>Tabla1[[#This Row],[Noche]]-Tabla1[[#This Row],[Mañana ]]</f>
        <v>3440</v>
      </c>
      <c r="Q416" s="58"/>
      <c r="R416" s="21">
        <f t="shared" si="9"/>
        <v>0</v>
      </c>
      <c r="S416" s="22">
        <f>Tabla1[[#This Row],[Merma Salas A &amp; B2]]*1000/Tabla1[[#This Row],[Peso gr.]]</f>
        <v>0</v>
      </c>
      <c r="T416" s="52"/>
      <c r="U416" s="24">
        <f>Tabla1[[#This Row],[Total piezas NOK]]/Tabla1[[#This Row],[Cant. Fabricada (uds)]]</f>
        <v>0</v>
      </c>
    </row>
    <row r="417" spans="1:22" x14ac:dyDescent="0.3">
      <c r="A417" s="43">
        <v>44565</v>
      </c>
      <c r="B417" s="20" t="s">
        <v>954</v>
      </c>
      <c r="C417" s="20">
        <v>1890</v>
      </c>
      <c r="D417" s="13" t="str">
        <f>VLOOKUP(C:C,'LListat referències'!A:B,2,FALSE)</f>
        <v>Tapa mar mar 200ml</v>
      </c>
      <c r="E417" s="18" t="str">
        <f>VLOOKUP(C:C,'LListat referències'!A:D,4,FALSE)</f>
        <v>#6(100/200 ml)</v>
      </c>
      <c r="F417" s="49">
        <f>VLOOKUP(C:C,'LListat referències'!A:E,5,FALSE)</f>
        <v>51.66</v>
      </c>
      <c r="G417" s="49">
        <v>62.67</v>
      </c>
      <c r="H417" s="49">
        <v>4</v>
      </c>
      <c r="I417" s="75">
        <f>Tabla1[[#This Row],[Cant. Fabricada (uds)]]/Tabla1[[#This Row],[Cavidades]]*Tabla1[[#This Row],[Tiempo Ciclo]]/60/60</f>
        <v>15.075616666666667</v>
      </c>
      <c r="J417" s="1" t="s">
        <v>8</v>
      </c>
      <c r="K417" s="25"/>
      <c r="L417" s="25">
        <v>13584</v>
      </c>
      <c r="M417" s="25">
        <v>15188</v>
      </c>
      <c r="N417" s="25">
        <v>17048</v>
      </c>
      <c r="O417" s="20">
        <v>51</v>
      </c>
      <c r="P417" s="1">
        <f>Tabla1[[#This Row],[Noche]]-Tabla1[[#This Row],[Mañana ]]</f>
        <v>3464</v>
      </c>
      <c r="Q417" s="58"/>
      <c r="R417" s="21">
        <f t="shared" si="9"/>
        <v>0</v>
      </c>
      <c r="S417" s="22">
        <f>Tabla1[[#This Row],[Merma Salas A &amp; B2]]*1000/Tabla1[[#This Row],[Peso gr.]]</f>
        <v>0</v>
      </c>
      <c r="T417" s="52"/>
      <c r="U417" s="24">
        <f>Tabla1[[#This Row],[Total piezas NOK]]/Tabla1[[#This Row],[Cant. Fabricada (uds)]]</f>
        <v>0</v>
      </c>
    </row>
    <row r="418" spans="1:22" x14ac:dyDescent="0.3">
      <c r="A418" s="43">
        <v>44566</v>
      </c>
      <c r="B418" s="20" t="s">
        <v>954</v>
      </c>
      <c r="C418" s="20">
        <v>1890</v>
      </c>
      <c r="D418" s="13" t="str">
        <f>VLOOKUP(C:C,'LListat referències'!A:B,2,FALSE)</f>
        <v>Tapa mar mar 200ml</v>
      </c>
      <c r="E418" s="18" t="str">
        <f>VLOOKUP(C:C,'LListat referències'!A:D,4,FALSE)</f>
        <v>#6(100/200 ml)</v>
      </c>
      <c r="F418" s="49">
        <f>VLOOKUP(C:C,'LListat referències'!A:E,5,FALSE)</f>
        <v>51.66</v>
      </c>
      <c r="G418" s="49">
        <v>62.67</v>
      </c>
      <c r="H418" s="49">
        <v>4</v>
      </c>
      <c r="I418" s="75">
        <f>Tabla1[[#This Row],[Cant. Fabricada (uds)]]/Tabla1[[#This Row],[Cavidades]]*Tabla1[[#This Row],[Tiempo Ciclo]]/60/60</f>
        <v>5.6054833333333338</v>
      </c>
      <c r="J418" s="1" t="s">
        <v>8</v>
      </c>
      <c r="K418" s="25"/>
      <c r="L418" s="25">
        <v>18156</v>
      </c>
      <c r="M418" s="25">
        <v>18856</v>
      </c>
      <c r="N418" s="25">
        <v>19444</v>
      </c>
      <c r="O418" s="20">
        <v>51</v>
      </c>
      <c r="P418" s="1">
        <f>Tabla1[[#This Row],[Noche]]-Tabla1[[#This Row],[Mañana ]]</f>
        <v>1288</v>
      </c>
      <c r="Q418" s="58"/>
      <c r="R418" s="21">
        <f t="shared" si="9"/>
        <v>0</v>
      </c>
      <c r="S418" s="22">
        <f>Tabla1[[#This Row],[Merma Salas A &amp; B2]]*1000/Tabla1[[#This Row],[Peso gr.]]</f>
        <v>0</v>
      </c>
      <c r="T418" s="52"/>
      <c r="U418" s="24">
        <f>Tabla1[[#This Row],[Total piezas NOK]]/Tabla1[[#This Row],[Cant. Fabricada (uds)]]</f>
        <v>0</v>
      </c>
    </row>
    <row r="419" spans="1:22" x14ac:dyDescent="0.3">
      <c r="A419" s="43">
        <v>44568</v>
      </c>
      <c r="B419" s="20" t="s">
        <v>954</v>
      </c>
      <c r="C419" s="20">
        <v>1890</v>
      </c>
      <c r="D419" s="13" t="str">
        <f>VLOOKUP(C:C,'LListat referències'!A:B,2,FALSE)</f>
        <v>Tapa mar mar 200ml</v>
      </c>
      <c r="E419" s="18" t="str">
        <f>VLOOKUP(C:C,'LListat referències'!A:D,4,FALSE)</f>
        <v>#6(100/200 ml)</v>
      </c>
      <c r="F419" s="49">
        <f>VLOOKUP(C:C,'LListat referències'!A:E,5,FALSE)</f>
        <v>51.66</v>
      </c>
      <c r="G419" s="49">
        <v>62.67</v>
      </c>
      <c r="H419" s="49">
        <v>4</v>
      </c>
      <c r="I419" s="75">
        <f>Tabla1[[#This Row],[Cant. Fabricada (uds)]]/Tabla1[[#This Row],[Cavidades]]*Tabla1[[#This Row],[Tiempo Ciclo]]/60/60</f>
        <v>10.723533333333334</v>
      </c>
      <c r="J419" s="1" t="s">
        <v>8</v>
      </c>
      <c r="K419" s="25"/>
      <c r="L419" s="25">
        <v>20924</v>
      </c>
      <c r="M419" s="25">
        <v>22592</v>
      </c>
      <c r="N419" s="25">
        <v>23388</v>
      </c>
      <c r="O419" s="20">
        <v>51</v>
      </c>
      <c r="P419" s="1">
        <f>Tabla1[[#This Row],[Noche]]-Tabla1[[#This Row],[Mañana ]]</f>
        <v>2464</v>
      </c>
      <c r="Q419" s="58">
        <v>15</v>
      </c>
      <c r="R419" s="21">
        <f t="shared" si="9"/>
        <v>15</v>
      </c>
      <c r="S419" s="22">
        <f>Tabla1[[#This Row],[Merma Salas A &amp; B2]]*1000/Tabla1[[#This Row],[Peso gr.]]</f>
        <v>290.36004645760744</v>
      </c>
      <c r="T419" s="52"/>
      <c r="U419" s="24">
        <f>Tabla1[[#This Row],[Total piezas NOK]]/Tabla1[[#This Row],[Cant. Fabricada (uds)]]</f>
        <v>0.11784092794545756</v>
      </c>
    </row>
    <row r="420" spans="1:22" x14ac:dyDescent="0.3">
      <c r="A420" s="43">
        <v>44546</v>
      </c>
      <c r="B420" s="20" t="s">
        <v>880</v>
      </c>
      <c r="C420" s="20">
        <v>1897</v>
      </c>
      <c r="D420" s="13" t="str">
        <f>VLOOKUP(C:C,'LListat referències'!A:B,2,FALSE)</f>
        <v>Tapa 50 cc mar mar (6 unit)</v>
      </c>
      <c r="E420" s="18" t="str">
        <f>VLOOKUP(C:C,'LListat referències'!A:D,4,FALSE)</f>
        <v>#6(50 ml)</v>
      </c>
      <c r="F420" s="49">
        <f>VLOOKUP(C:C,'LListat referències'!A:E,5,FALSE)</f>
        <v>32</v>
      </c>
      <c r="G420" s="49">
        <v>81.709999999999994</v>
      </c>
      <c r="H420" s="49">
        <v>6</v>
      </c>
      <c r="I420" s="75">
        <f>Tabla1[[#This Row],[Cant. Fabricada (uds)]]/Tabla1[[#This Row],[Cavidades]]*Tabla1[[#This Row],[Tiempo Ciclo]]/60/60</f>
        <v>15.797266666666665</v>
      </c>
      <c r="J420" s="1" t="s">
        <v>8</v>
      </c>
      <c r="K420" s="25"/>
      <c r="L420" s="25">
        <v>5664</v>
      </c>
      <c r="M420" s="25">
        <v>7650</v>
      </c>
      <c r="N420" s="25">
        <v>9840</v>
      </c>
      <c r="O420" s="20">
        <v>52</v>
      </c>
      <c r="P420" s="1">
        <f>Tabla1[[#This Row],[Noche]]-Tabla1[[#This Row],[Mañana ]]</f>
        <v>4176</v>
      </c>
      <c r="Q420" s="58"/>
      <c r="R420" s="21">
        <f t="shared" si="9"/>
        <v>0</v>
      </c>
      <c r="S420" s="22">
        <f>Tabla1[[#This Row],[Merma Salas A &amp; B2]]*1000/Tabla1[[#This Row],[Peso gr.]]</f>
        <v>0</v>
      </c>
      <c r="T420" s="52"/>
      <c r="U420" s="24">
        <f>Tabla1[[#This Row],[Total piezas NOK]]/Tabla1[[#This Row],[Cant. Fabricada (uds)]]</f>
        <v>0</v>
      </c>
    </row>
    <row r="421" spans="1:22" x14ac:dyDescent="0.3">
      <c r="A421" s="43">
        <v>44547</v>
      </c>
      <c r="B421" s="20" t="s">
        <v>880</v>
      </c>
      <c r="C421" s="20">
        <v>1897</v>
      </c>
      <c r="D421" s="13" t="str">
        <f>VLOOKUP(C:C,'LListat referències'!A:B,2,FALSE)</f>
        <v>Tapa 50 cc mar mar (6 unit)</v>
      </c>
      <c r="E421" s="18" t="str">
        <f>VLOOKUP(C:C,'LListat referències'!A:D,4,FALSE)</f>
        <v>#6(50 ml)</v>
      </c>
      <c r="F421" s="49">
        <f>VLOOKUP(C:C,'LListat referències'!A:E,5,FALSE)</f>
        <v>32</v>
      </c>
      <c r="G421" s="49">
        <v>81.709999999999994</v>
      </c>
      <c r="H421" s="49">
        <v>6</v>
      </c>
      <c r="I421" s="75">
        <f>Tabla1[[#This Row],[Cant. Fabricada (uds)]]/Tabla1[[#This Row],[Cavidades]]*Tabla1[[#This Row],[Tiempo Ciclo]]/60/60</f>
        <v>9.7144111111111098</v>
      </c>
      <c r="J421" s="1" t="s">
        <v>8</v>
      </c>
      <c r="K421" s="25"/>
      <c r="L421" s="25">
        <v>9840</v>
      </c>
      <c r="M421" s="25"/>
      <c r="N421" s="25">
        <v>12408</v>
      </c>
      <c r="O421" s="20">
        <v>52</v>
      </c>
      <c r="P421" s="1">
        <f>Tabla1[[#This Row],[Noche]]-Tabla1[[#This Row],[Mañana ]]</f>
        <v>2568</v>
      </c>
      <c r="Q421" s="58"/>
      <c r="R421" s="21">
        <f t="shared" si="9"/>
        <v>0</v>
      </c>
      <c r="S421" s="22">
        <f>Tabla1[[#This Row],[Merma Salas A &amp; B2]]*1000/Tabla1[[#This Row],[Peso gr.]]</f>
        <v>0</v>
      </c>
      <c r="T421" s="52"/>
      <c r="U421" s="24">
        <f>Tabla1[[#This Row],[Total piezas NOK]]/Tabla1[[#This Row],[Cant. Fabricada (uds)]]</f>
        <v>0</v>
      </c>
    </row>
    <row r="422" spans="1:22" x14ac:dyDescent="0.3">
      <c r="A422" s="43">
        <v>44547</v>
      </c>
      <c r="B422" s="20" t="s">
        <v>957</v>
      </c>
      <c r="C422" s="20">
        <v>1897</v>
      </c>
      <c r="D422" s="13" t="str">
        <f>VLOOKUP(C:C,'LListat referències'!A:B,2,FALSE)</f>
        <v>Tapa 50 cc mar mar (6 unit)</v>
      </c>
      <c r="E422" s="18" t="str">
        <f>VLOOKUP(C:C,'LListat referències'!A:D,4,FALSE)</f>
        <v>#6(50 ml)</v>
      </c>
      <c r="F422" s="49">
        <f>VLOOKUP(C:C,'LListat referències'!A:E,5,FALSE)</f>
        <v>32</v>
      </c>
      <c r="G422" s="49">
        <v>81.709999999999994</v>
      </c>
      <c r="H422" s="49">
        <v>6</v>
      </c>
      <c r="I422" s="75">
        <f>Tabla1[[#This Row],[Cant. Fabricada (uds)]]/Tabla1[[#This Row],[Cavidades]]*Tabla1[[#This Row],[Tiempo Ciclo]]/60/60</f>
        <v>9.4193472222222212</v>
      </c>
      <c r="J422" s="1" t="s">
        <v>8</v>
      </c>
      <c r="K422" s="25"/>
      <c r="L422" s="25">
        <v>0</v>
      </c>
      <c r="M422" s="25">
        <v>846</v>
      </c>
      <c r="N422" s="25">
        <v>2490</v>
      </c>
      <c r="O422" s="20">
        <v>52</v>
      </c>
      <c r="P422" s="1">
        <f>Tabla1[[#This Row],[Noche]]-Tabla1[[#This Row],[Mañana ]]</f>
        <v>2490</v>
      </c>
      <c r="Q422" s="58"/>
      <c r="R422" s="21">
        <f t="shared" si="9"/>
        <v>0</v>
      </c>
      <c r="S422" s="22">
        <f>Tabla1[[#This Row],[Merma Salas A &amp; B2]]*1000/Tabla1[[#This Row],[Peso gr.]]</f>
        <v>0</v>
      </c>
      <c r="T422" s="52"/>
      <c r="U422" s="24">
        <f>Tabla1[[#This Row],[Total piezas NOK]]/Tabla1[[#This Row],[Cant. Fabricada (uds)]]</f>
        <v>0</v>
      </c>
    </row>
    <row r="423" spans="1:22" x14ac:dyDescent="0.3">
      <c r="A423" s="43">
        <v>44572</v>
      </c>
      <c r="B423" s="20" t="s">
        <v>958</v>
      </c>
      <c r="C423" s="20">
        <v>1790</v>
      </c>
      <c r="D423" s="13" t="str">
        <f>VLOOKUP(C:C,'LListat referències'!A:B,2,FALSE)</f>
        <v>Tarro 100ml</v>
      </c>
      <c r="E423" s="18" t="str">
        <f>VLOOKUP(C:C,'LListat referències'!A:D,4,FALSE)</f>
        <v>T029</v>
      </c>
      <c r="F423" s="49">
        <f>VLOOKUP(C:C,'LListat referències'!A:E,5,FALSE)</f>
        <v>151</v>
      </c>
      <c r="G423" s="49">
        <v>145.80000000000001</v>
      </c>
      <c r="H423" s="49">
        <v>2</v>
      </c>
      <c r="I423" s="75">
        <f>Tabla1[[#This Row],[Cant. Fabricada (uds)]]/Tabla1[[#This Row],[Cavidades]]*Tabla1[[#This Row],[Tiempo Ciclo]]/60/60</f>
        <v>111.9015</v>
      </c>
      <c r="J423" s="1" t="s">
        <v>7</v>
      </c>
      <c r="K423" s="25"/>
      <c r="L423" s="25">
        <v>2490</v>
      </c>
      <c r="M423" s="25">
        <v>6078</v>
      </c>
      <c r="N423" s="25">
        <v>8016</v>
      </c>
      <c r="O423" s="20">
        <v>52</v>
      </c>
      <c r="P423" s="1">
        <f>Tabla1[[#This Row],[Noche]]-Tabla1[[#This Row],[Mañana ]]</f>
        <v>5526</v>
      </c>
      <c r="Q423" s="58"/>
      <c r="R423" s="21">
        <f t="shared" si="9"/>
        <v>0</v>
      </c>
      <c r="S423" s="22">
        <f>Tabla1[[#This Row],[Merma Salas A &amp; B2]]*1000/Tabla1[[#This Row],[Peso gr.]]</f>
        <v>0</v>
      </c>
      <c r="T423" s="52"/>
      <c r="U423" s="24">
        <f>Tabla1[[#This Row],[Total piezas NOK]]/Tabla1[[#This Row],[Cant. Fabricada (uds)]]</f>
        <v>0</v>
      </c>
    </row>
    <row r="424" spans="1:22" x14ac:dyDescent="0.3">
      <c r="A424" s="43">
        <v>44546</v>
      </c>
      <c r="B424" s="20" t="s">
        <v>839</v>
      </c>
      <c r="C424" s="20" t="s">
        <v>10</v>
      </c>
      <c r="D424" s="13" t="str">
        <f>VLOOKUP(C:C,'LListat referències'!A:B,2,FALSE)</f>
        <v xml:space="preserve">Tapa 100 ml prima </v>
      </c>
      <c r="E424" s="18" t="str">
        <f>VLOOKUP(C:C,'LListat referències'!A:D,4,FALSE)</f>
        <v>#26(100 ml)</v>
      </c>
      <c r="F424" s="49">
        <f>VLOOKUP(C:C,'LListat referències'!A:E,5,FALSE)</f>
        <v>30.3</v>
      </c>
      <c r="G424" s="49">
        <v>76.599999999999994</v>
      </c>
      <c r="H424" s="49">
        <v>4</v>
      </c>
      <c r="I424" s="75">
        <f>Tabla1[[#This Row],[Cant. Fabricada (uds)]]/Tabla1[[#This Row],[Cavidades]]*Tabla1[[#This Row],[Tiempo Ciclo]]/60/60</f>
        <v>4.452375</v>
      </c>
      <c r="J424" s="1" t="s">
        <v>15</v>
      </c>
      <c r="K424" s="25"/>
      <c r="L424" s="25">
        <v>39473</v>
      </c>
      <c r="M424" s="25"/>
      <c r="N424" s="25">
        <v>40310</v>
      </c>
      <c r="O424" s="20">
        <v>38</v>
      </c>
      <c r="P424" s="1">
        <f>Tabla1[[#This Row],[Noche]]-Tabla1[[#This Row],[Mañana ]]</f>
        <v>837</v>
      </c>
      <c r="Q424" s="58"/>
      <c r="R424" s="21">
        <f t="shared" si="9"/>
        <v>0</v>
      </c>
      <c r="S424" s="22">
        <f>Tabla1[[#This Row],[Merma Salas A &amp; B2]]*1000/Tabla1[[#This Row],[Peso gr.]]</f>
        <v>0</v>
      </c>
      <c r="T424" s="52"/>
      <c r="U424" s="24">
        <f>Tabla1[[#This Row],[Total piezas NOK]]/Tabla1[[#This Row],[Cant. Fabricada (uds)]]</f>
        <v>0</v>
      </c>
    </row>
    <row r="425" spans="1:22" x14ac:dyDescent="0.3">
      <c r="A425" s="43">
        <v>44547</v>
      </c>
      <c r="B425" s="20" t="s">
        <v>959</v>
      </c>
      <c r="C425" s="20" t="s">
        <v>10</v>
      </c>
      <c r="D425" s="13" t="str">
        <f>VLOOKUP(C:C,'LListat referències'!A:B,2,FALSE)</f>
        <v xml:space="preserve">Tapa 100 ml prima </v>
      </c>
      <c r="E425" s="18" t="str">
        <f>VLOOKUP(C:C,'LListat referències'!A:D,4,FALSE)</f>
        <v>#26(100 ml)</v>
      </c>
      <c r="F425" s="49">
        <f>VLOOKUP(C:C,'LListat referències'!A:E,5,FALSE)</f>
        <v>30.3</v>
      </c>
      <c r="G425" s="49">
        <v>76.599999999999994</v>
      </c>
      <c r="H425" s="49">
        <v>4</v>
      </c>
      <c r="I425" s="75">
        <f>Tabla1[[#This Row],[Cant. Fabricada (uds)]]/Tabla1[[#This Row],[Cavidades]]*Tabla1[[#This Row],[Tiempo Ciclo]]/60/60</f>
        <v>4.8087777777777774</v>
      </c>
      <c r="J425" s="1" t="s">
        <v>15</v>
      </c>
      <c r="K425" s="25"/>
      <c r="L425" s="25">
        <v>0</v>
      </c>
      <c r="M425" s="25">
        <v>576</v>
      </c>
      <c r="N425" s="25">
        <v>904</v>
      </c>
      <c r="O425" s="20">
        <v>38</v>
      </c>
      <c r="P425" s="1">
        <f>Tabla1[[#This Row],[Noche]]-Tabla1[[#This Row],[Mañana ]]</f>
        <v>904</v>
      </c>
      <c r="Q425" s="58"/>
      <c r="R425" s="21">
        <f t="shared" si="9"/>
        <v>0</v>
      </c>
      <c r="S425" s="22">
        <f>Tabla1[[#This Row],[Merma Salas A &amp; B2]]*1000/Tabla1[[#This Row],[Peso gr.]]</f>
        <v>0</v>
      </c>
      <c r="T425" s="52">
        <v>45</v>
      </c>
      <c r="U425" s="24">
        <f>Tabla1[[#This Row],[Total piezas NOK]]/Tabla1[[#This Row],[Cant. Fabricada (uds)]]</f>
        <v>0</v>
      </c>
    </row>
    <row r="426" spans="1:22" x14ac:dyDescent="0.3">
      <c r="A426" s="43">
        <v>44550</v>
      </c>
      <c r="B426" s="20" t="s">
        <v>959</v>
      </c>
      <c r="C426" s="20" t="s">
        <v>10</v>
      </c>
      <c r="D426" s="13" t="str">
        <f>VLOOKUP(C:C,'LListat referències'!A:B,2,FALSE)</f>
        <v xml:space="preserve">Tapa 100 ml prima </v>
      </c>
      <c r="E426" s="18" t="str">
        <f>VLOOKUP(C:C,'LListat referències'!A:D,4,FALSE)</f>
        <v>#26(100 ml)</v>
      </c>
      <c r="F426" s="49">
        <f>VLOOKUP(C:C,'LListat referències'!A:E,5,FALSE)</f>
        <v>30.3</v>
      </c>
      <c r="G426" s="49">
        <v>76.599999999999994</v>
      </c>
      <c r="H426" s="49">
        <v>4</v>
      </c>
      <c r="I426" s="75">
        <f>Tabla1[[#This Row],[Cant. Fabricada (uds)]]/Tabla1[[#This Row],[Cavidades]]*Tabla1[[#This Row],[Tiempo Ciclo]]/60/60</f>
        <v>8.2025833333333331</v>
      </c>
      <c r="J426" s="1" t="s">
        <v>15</v>
      </c>
      <c r="K426" s="25"/>
      <c r="L426" s="25">
        <v>1376</v>
      </c>
      <c r="M426" s="25">
        <v>2122</v>
      </c>
      <c r="N426" s="25">
        <v>2918</v>
      </c>
      <c r="O426" s="20">
        <v>38</v>
      </c>
      <c r="P426" s="1">
        <f>Tabla1[[#This Row],[Noche]]-Tabla1[[#This Row],[Mañana ]]</f>
        <v>1542</v>
      </c>
      <c r="Q426" s="58">
        <v>10</v>
      </c>
      <c r="R426" s="21">
        <f t="shared" si="9"/>
        <v>10</v>
      </c>
      <c r="S426" s="22">
        <f>Tabla1[[#This Row],[Merma Salas A &amp; B2]]*1000/Tabla1[[#This Row],[Peso gr.]]</f>
        <v>330.03300330033005</v>
      </c>
      <c r="T426" s="52"/>
      <c r="U426" s="24">
        <f>Tabla1[[#This Row],[Total piezas NOK]]/Tabla1[[#This Row],[Cant. Fabricada (uds)]]</f>
        <v>0.2140291850196693</v>
      </c>
      <c r="V426" s="19" t="s">
        <v>865</v>
      </c>
    </row>
    <row r="427" spans="1:22" x14ac:dyDescent="0.3">
      <c r="A427" s="43">
        <v>44551</v>
      </c>
      <c r="B427" s="20" t="s">
        <v>959</v>
      </c>
      <c r="C427" s="20" t="s">
        <v>10</v>
      </c>
      <c r="D427" s="13" t="str">
        <f>VLOOKUP(C:C,'LListat referències'!A:B,2,FALSE)</f>
        <v xml:space="preserve">Tapa 100 ml prima </v>
      </c>
      <c r="E427" s="18" t="str">
        <f>VLOOKUP(C:C,'LListat referències'!A:D,4,FALSE)</f>
        <v>#26(100 ml)</v>
      </c>
      <c r="F427" s="49">
        <f>VLOOKUP(C:C,'LListat referències'!A:E,5,FALSE)</f>
        <v>30.3</v>
      </c>
      <c r="G427" s="49">
        <v>76.599999999999994</v>
      </c>
      <c r="H427" s="49">
        <v>4</v>
      </c>
      <c r="I427" s="75">
        <f>Tabla1[[#This Row],[Cant. Fabricada (uds)]]/Tabla1[[#This Row],[Cavidades]]*Tabla1[[#This Row],[Tiempo Ciclo]]/60/60</f>
        <v>8.2770555555555543</v>
      </c>
      <c r="J427" s="1" t="s">
        <v>15</v>
      </c>
      <c r="K427" s="25"/>
      <c r="L427" s="25">
        <v>3292</v>
      </c>
      <c r="M427" s="25">
        <v>4024</v>
      </c>
      <c r="N427" s="25">
        <v>4848</v>
      </c>
      <c r="O427" s="20">
        <v>38</v>
      </c>
      <c r="P427" s="1">
        <f>Tabla1[[#This Row],[Noche]]-Tabla1[[#This Row],[Mañana ]]</f>
        <v>1556</v>
      </c>
      <c r="Q427" s="58">
        <v>5</v>
      </c>
      <c r="R427" s="21">
        <f t="shared" si="9"/>
        <v>5</v>
      </c>
      <c r="S427" s="22">
        <f>Tabla1[[#This Row],[Merma Salas A &amp; B2]]*1000/Tabla1[[#This Row],[Peso gr.]]</f>
        <v>165.01650165016503</v>
      </c>
      <c r="T427" s="52">
        <v>10</v>
      </c>
      <c r="U427" s="24">
        <f>Tabla1[[#This Row],[Total piezas NOK]]/Tabla1[[#This Row],[Cant. Fabricada (uds)]]</f>
        <v>0.10605173627902637</v>
      </c>
    </row>
    <row r="428" spans="1:22" x14ac:dyDescent="0.3">
      <c r="A428" s="43">
        <v>44552</v>
      </c>
      <c r="B428" s="20" t="s">
        <v>959</v>
      </c>
      <c r="C428" s="20" t="s">
        <v>10</v>
      </c>
      <c r="D428" s="13" t="str">
        <f>VLOOKUP(C:C,'LListat referències'!A:B,2,FALSE)</f>
        <v xml:space="preserve">Tapa 100 ml prima </v>
      </c>
      <c r="E428" s="18" t="str">
        <f>VLOOKUP(C:C,'LListat referències'!A:D,4,FALSE)</f>
        <v>#26(100 ml)</v>
      </c>
      <c r="F428" s="49">
        <f>VLOOKUP(C:C,'LListat referències'!A:E,5,FALSE)</f>
        <v>30.3</v>
      </c>
      <c r="G428" s="49">
        <v>76.599999999999994</v>
      </c>
      <c r="H428" s="49">
        <v>4</v>
      </c>
      <c r="I428" s="75">
        <f>Tabla1[[#This Row],[Cant. Fabricada (uds)]]/Tabla1[[#This Row],[Cavidades]]*Tabla1[[#This Row],[Tiempo Ciclo]]/60/60</f>
        <v>7.1493333333333329</v>
      </c>
      <c r="J428" s="1" t="s">
        <v>15</v>
      </c>
      <c r="K428" s="25"/>
      <c r="L428" s="25">
        <v>5578</v>
      </c>
      <c r="M428" s="25">
        <v>6288</v>
      </c>
      <c r="N428" s="25">
        <v>6922</v>
      </c>
      <c r="O428" s="20">
        <v>38</v>
      </c>
      <c r="P428" s="1">
        <f>Tabla1[[#This Row],[Noche]]-Tabla1[[#This Row],[Mañana ]]</f>
        <v>1344</v>
      </c>
      <c r="Q428" s="58">
        <v>3</v>
      </c>
      <c r="R428" s="21">
        <f t="shared" si="9"/>
        <v>3</v>
      </c>
      <c r="S428" s="22">
        <f>Tabla1[[#This Row],[Merma Salas A &amp; B2]]*1000/Tabla1[[#This Row],[Peso gr.]]</f>
        <v>99.009900990099013</v>
      </c>
      <c r="T428" s="52">
        <v>5</v>
      </c>
      <c r="U428" s="24">
        <f>Tabla1[[#This Row],[Total piezas NOK]]/Tabla1[[#This Row],[Cant. Fabricada (uds)]]</f>
        <v>7.3668081093823667E-2</v>
      </c>
    </row>
    <row r="429" spans="1:22" x14ac:dyDescent="0.3">
      <c r="A429" s="43">
        <v>44565</v>
      </c>
      <c r="B429" s="20" t="s">
        <v>959</v>
      </c>
      <c r="C429" s="20" t="s">
        <v>10</v>
      </c>
      <c r="D429" s="13" t="str">
        <f>VLOOKUP(C:C,'LListat referències'!A:B,2,FALSE)</f>
        <v xml:space="preserve">Tapa 100 ml prima </v>
      </c>
      <c r="E429" s="18" t="str">
        <f>VLOOKUP(C:C,'LListat referències'!A:D,4,FALSE)</f>
        <v>#26(100 ml)</v>
      </c>
      <c r="F429" s="49">
        <f>VLOOKUP(C:C,'LListat referències'!A:E,5,FALSE)</f>
        <v>30.3</v>
      </c>
      <c r="G429" s="49">
        <v>76.599999999999994</v>
      </c>
      <c r="H429" s="49">
        <v>4</v>
      </c>
      <c r="I429" s="75">
        <f>Tabla1[[#This Row],[Cant. Fabricada (uds)]]/Tabla1[[#This Row],[Cavidades]]*Tabla1[[#This Row],[Tiempo Ciclo]]/60/60</f>
        <v>1.9203194444444445</v>
      </c>
      <c r="J429" s="1" t="s">
        <v>15</v>
      </c>
      <c r="K429" s="25"/>
      <c r="L429" s="25">
        <v>0</v>
      </c>
      <c r="M429" s="25">
        <v>221</v>
      </c>
      <c r="N429" s="25">
        <v>361</v>
      </c>
      <c r="O429" s="20">
        <v>38</v>
      </c>
      <c r="P429" s="1">
        <f>Tabla1[[#This Row],[Noche]]-Tabla1[[#This Row],[Mañana ]]</f>
        <v>361</v>
      </c>
      <c r="Q429" s="58">
        <v>2</v>
      </c>
      <c r="R429" s="21">
        <f t="shared" si="9"/>
        <v>2</v>
      </c>
      <c r="S429" s="22">
        <f>Tabla1[[#This Row],[Merma Salas A &amp; B2]]*1000/Tabla1[[#This Row],[Peso gr.]]</f>
        <v>66.006600660065999</v>
      </c>
      <c r="T429" s="52">
        <v>13</v>
      </c>
      <c r="U429" s="24">
        <f>Tabla1[[#This Row],[Total piezas NOK]]/Tabla1[[#This Row],[Cant. Fabricada (uds)]]</f>
        <v>0.18284376914145706</v>
      </c>
    </row>
    <row r="430" spans="1:22" x14ac:dyDescent="0.3">
      <c r="A430" s="43">
        <v>44566</v>
      </c>
      <c r="B430" s="20" t="s">
        <v>959</v>
      </c>
      <c r="C430" s="20" t="s">
        <v>10</v>
      </c>
      <c r="D430" s="13" t="str">
        <f>VLOOKUP(C:C,'LListat referències'!A:B,2,FALSE)</f>
        <v xml:space="preserve">Tapa 100 ml prima </v>
      </c>
      <c r="E430" s="18" t="str">
        <f>VLOOKUP(C:C,'LListat referències'!A:D,4,FALSE)</f>
        <v>#26(100 ml)</v>
      </c>
      <c r="F430" s="49">
        <f>VLOOKUP(C:C,'LListat referències'!A:E,5,FALSE)</f>
        <v>30.3</v>
      </c>
      <c r="G430" s="49">
        <v>76.599999999999994</v>
      </c>
      <c r="H430" s="49">
        <v>4</v>
      </c>
      <c r="I430" s="75">
        <f>Tabla1[[#This Row],[Cant. Fabricada (uds)]]/Tabla1[[#This Row],[Cavidades]]*Tabla1[[#This Row],[Tiempo Ciclo]]/60/60</f>
        <v>1.4628472222222222</v>
      </c>
      <c r="J430" s="1" t="s">
        <v>15</v>
      </c>
      <c r="K430" s="25"/>
      <c r="L430" s="25">
        <v>810</v>
      </c>
      <c r="M430" s="25">
        <v>961</v>
      </c>
      <c r="N430" s="25">
        <v>1085</v>
      </c>
      <c r="O430" s="20">
        <v>38</v>
      </c>
      <c r="P430" s="1">
        <f>Tabla1[[#This Row],[Noche]]-Tabla1[[#This Row],[Mañana ]]</f>
        <v>275</v>
      </c>
      <c r="Q430" s="58"/>
      <c r="R430" s="21">
        <f t="shared" si="9"/>
        <v>0</v>
      </c>
      <c r="S430" s="22">
        <f>Tabla1[[#This Row],[Merma Salas A &amp; B2]]*1000/Tabla1[[#This Row],[Peso gr.]]</f>
        <v>0</v>
      </c>
      <c r="T430" s="52">
        <v>20</v>
      </c>
      <c r="U430" s="24">
        <f>Tabla1[[#This Row],[Total piezas NOK]]/Tabla1[[#This Row],[Cant. Fabricada (uds)]]</f>
        <v>0</v>
      </c>
    </row>
    <row r="431" spans="1:22" x14ac:dyDescent="0.3">
      <c r="A431" s="43">
        <v>44568</v>
      </c>
      <c r="B431" s="20" t="s">
        <v>959</v>
      </c>
      <c r="C431" s="20" t="s">
        <v>10</v>
      </c>
      <c r="D431" s="13" t="str">
        <f>VLOOKUP(C:C,'LListat referències'!A:B,2,FALSE)</f>
        <v xml:space="preserve">Tapa 100 ml prima </v>
      </c>
      <c r="E431" s="18" t="str">
        <f>VLOOKUP(C:C,'LListat referències'!A:D,4,FALSE)</f>
        <v>#26(100 ml)</v>
      </c>
      <c r="F431" s="49">
        <f>VLOOKUP(C:C,'LListat referències'!A:E,5,FALSE)</f>
        <v>30.3</v>
      </c>
      <c r="G431" s="49">
        <v>76.599999999999994</v>
      </c>
      <c r="H431" s="49">
        <v>4</v>
      </c>
      <c r="I431" s="75">
        <f>Tabla1[[#This Row],[Cant. Fabricada (uds)]]/Tabla1[[#This Row],[Cavidades]]*Tabla1[[#This Row],[Tiempo Ciclo]]/60/60</f>
        <v>3.5214722222222221</v>
      </c>
      <c r="J431" s="1" t="s">
        <v>15</v>
      </c>
      <c r="K431" s="25"/>
      <c r="L431" s="25">
        <v>1400</v>
      </c>
      <c r="M431" s="25">
        <v>1757</v>
      </c>
      <c r="N431" s="25">
        <v>2062</v>
      </c>
      <c r="O431" s="20">
        <v>38</v>
      </c>
      <c r="P431" s="1">
        <f>Tabla1[[#This Row],[Noche]]-Tabla1[[#This Row],[Mañana ]]</f>
        <v>662</v>
      </c>
      <c r="Q431" s="58">
        <v>2</v>
      </c>
      <c r="R431" s="21">
        <f t="shared" si="9"/>
        <v>2</v>
      </c>
      <c r="S431" s="22">
        <f>Tabla1[[#This Row],[Merma Salas A &amp; B2]]*1000/Tabla1[[#This Row],[Peso gr.]]</f>
        <v>66.006600660065999</v>
      </c>
      <c r="T431" s="52">
        <v>38</v>
      </c>
      <c r="U431" s="24">
        <f>Tabla1[[#This Row],[Total piezas NOK]]/Tabla1[[#This Row],[Cant. Fabricada (uds)]]</f>
        <v>9.9707855981972807E-2</v>
      </c>
    </row>
    <row r="432" spans="1:22" x14ac:dyDescent="0.3">
      <c r="A432" s="43">
        <v>44571</v>
      </c>
      <c r="B432" s="20" t="s">
        <v>959</v>
      </c>
      <c r="C432" s="20" t="s">
        <v>10</v>
      </c>
      <c r="D432" s="13" t="str">
        <f>VLOOKUP(C:C,'LListat referències'!A:B,2,FALSE)</f>
        <v xml:space="preserve">Tapa 100 ml prima </v>
      </c>
      <c r="E432" s="18" t="str">
        <f>VLOOKUP(C:C,'LListat referències'!A:D,4,FALSE)</f>
        <v>#26(100 ml)</v>
      </c>
      <c r="F432" s="49">
        <f>VLOOKUP(C:C,'LListat referències'!A:E,5,FALSE)</f>
        <v>30.3</v>
      </c>
      <c r="G432" s="49">
        <v>76.599999999999994</v>
      </c>
      <c r="H432" s="49">
        <v>4</v>
      </c>
      <c r="I432" s="75">
        <f>Tabla1[[#This Row],[Cant. Fabricada (uds)]]/Tabla1[[#This Row],[Cavidades]]*Tabla1[[#This Row],[Tiempo Ciclo]]/60/60</f>
        <v>5.377958333333333</v>
      </c>
      <c r="J432" s="1" t="s">
        <v>15</v>
      </c>
      <c r="K432" s="25"/>
      <c r="L432" s="25">
        <v>2431</v>
      </c>
      <c r="M432" s="25">
        <v>2731</v>
      </c>
      <c r="N432" s="25">
        <v>3442</v>
      </c>
      <c r="O432" s="20">
        <v>38</v>
      </c>
      <c r="P432" s="1">
        <f>Tabla1[[#This Row],[Noche]]-Tabla1[[#This Row],[Mañana ]]</f>
        <v>1011</v>
      </c>
      <c r="Q432" s="58"/>
      <c r="R432" s="21">
        <f t="shared" si="9"/>
        <v>0</v>
      </c>
      <c r="S432" s="22">
        <f>Tabla1[[#This Row],[Merma Salas A &amp; B2]]*1000/Tabla1[[#This Row],[Peso gr.]]</f>
        <v>0</v>
      </c>
      <c r="T432" s="52"/>
      <c r="U432" s="24">
        <f>Tabla1[[#This Row],[Total piezas NOK]]/Tabla1[[#This Row],[Cant. Fabricada (uds)]]</f>
        <v>0</v>
      </c>
    </row>
    <row r="433" spans="1:22" x14ac:dyDescent="0.3">
      <c r="A433" s="43">
        <v>44572</v>
      </c>
      <c r="B433" s="20" t="s">
        <v>959</v>
      </c>
      <c r="C433" s="20" t="s">
        <v>10</v>
      </c>
      <c r="D433" s="13" t="str">
        <f>VLOOKUP(C:C,'LListat referències'!A:B,2,FALSE)</f>
        <v xml:space="preserve">Tapa 100 ml prima </v>
      </c>
      <c r="E433" s="18" t="str">
        <f>VLOOKUP(C:C,'LListat referències'!A:D,4,FALSE)</f>
        <v>#26(100 ml)</v>
      </c>
      <c r="F433" s="49">
        <f>VLOOKUP(C:C,'LListat referències'!A:E,5,FALSE)</f>
        <v>30.3</v>
      </c>
      <c r="G433" s="49">
        <v>76.599999999999994</v>
      </c>
      <c r="H433" s="49">
        <v>4</v>
      </c>
      <c r="I433" s="75">
        <f>Tabla1[[#This Row],[Cant. Fabricada (uds)]]/Tabla1[[#This Row],[Cavidades]]*Tabla1[[#This Row],[Tiempo Ciclo]]/60/60</f>
        <v>11.500638888888888</v>
      </c>
      <c r="J433" s="1" t="s">
        <v>15</v>
      </c>
      <c r="K433" s="25"/>
      <c r="L433" s="25">
        <v>3442</v>
      </c>
      <c r="M433" s="25">
        <v>4854</v>
      </c>
      <c r="N433" s="25">
        <v>5604</v>
      </c>
      <c r="O433" s="20">
        <v>38</v>
      </c>
      <c r="P433" s="1">
        <f>Tabla1[[#This Row],[Noche]]-Tabla1[[#This Row],[Mañana ]]</f>
        <v>2162</v>
      </c>
      <c r="Q433" s="58"/>
      <c r="R433" s="21">
        <f t="shared" si="9"/>
        <v>0</v>
      </c>
      <c r="S433" s="22">
        <f>Tabla1[[#This Row],[Merma Salas A &amp; B2]]*1000/Tabla1[[#This Row],[Peso gr.]]</f>
        <v>0</v>
      </c>
      <c r="T433" s="52"/>
      <c r="U433" s="24">
        <f>Tabla1[[#This Row],[Total piezas NOK]]/Tabla1[[#This Row],[Cant. Fabricada (uds)]]</f>
        <v>0</v>
      </c>
    </row>
    <row r="434" spans="1:22" x14ac:dyDescent="0.3">
      <c r="A434" s="43">
        <v>44573</v>
      </c>
      <c r="B434" s="20" t="s">
        <v>959</v>
      </c>
      <c r="C434" s="20" t="s">
        <v>10</v>
      </c>
      <c r="D434" s="13" t="str">
        <f>VLOOKUP(C:C,'LListat referències'!A:B,2,FALSE)</f>
        <v xml:space="preserve">Tapa 100 ml prima </v>
      </c>
      <c r="E434" s="18" t="str">
        <f>VLOOKUP(C:C,'LListat referències'!A:D,4,FALSE)</f>
        <v>#26(100 ml)</v>
      </c>
      <c r="F434" s="49">
        <f>VLOOKUP(C:C,'LListat referències'!A:E,5,FALSE)</f>
        <v>30.3</v>
      </c>
      <c r="G434" s="49">
        <v>76.599999999999994</v>
      </c>
      <c r="H434" s="49">
        <v>4</v>
      </c>
      <c r="I434" s="75">
        <f>Tabla1[[#This Row],[Cant. Fabricada (uds)]]/Tabla1[[#This Row],[Cavidades]]*Tabla1[[#This Row],[Tiempo Ciclo]]/60/60</f>
        <v>10.404833333333331</v>
      </c>
      <c r="J434" s="1" t="s">
        <v>15</v>
      </c>
      <c r="K434" s="25"/>
      <c r="L434" s="25">
        <v>5604</v>
      </c>
      <c r="M434" s="25">
        <v>7010</v>
      </c>
      <c r="N434" s="25">
        <v>7560</v>
      </c>
      <c r="O434" s="20">
        <v>38</v>
      </c>
      <c r="P434" s="1">
        <f>Tabla1[[#This Row],[Noche]]-Tabla1[[#This Row],[Mañana ]]</f>
        <v>1956</v>
      </c>
      <c r="Q434" s="58"/>
      <c r="R434" s="21">
        <f t="shared" si="9"/>
        <v>0</v>
      </c>
      <c r="S434" s="22">
        <f>Tabla1[[#This Row],[Merma Salas A &amp; B2]]*1000/Tabla1[[#This Row],[Peso gr.]]</f>
        <v>0</v>
      </c>
      <c r="T434" s="52"/>
      <c r="U434" s="24">
        <f>Tabla1[[#This Row],[Total piezas NOK]]/Tabla1[[#This Row],[Cant. Fabricada (uds)]]</f>
        <v>0</v>
      </c>
    </row>
    <row r="435" spans="1:22" x14ac:dyDescent="0.3">
      <c r="A435" s="43">
        <v>44574</v>
      </c>
      <c r="B435" s="20" t="s">
        <v>904</v>
      </c>
      <c r="C435" s="20" t="s">
        <v>10</v>
      </c>
      <c r="D435" s="13" t="str">
        <f>VLOOKUP(C:C,'LListat referències'!A:B,2,FALSE)</f>
        <v xml:space="preserve">Tapa 100 ml prima </v>
      </c>
      <c r="E435" s="18" t="str">
        <f>VLOOKUP(C:C,'LListat referències'!A:D,4,FALSE)</f>
        <v>#26(100 ml)</v>
      </c>
      <c r="F435" s="49">
        <f>VLOOKUP(C:C,'LListat referències'!A:E,5,FALSE)</f>
        <v>30.3</v>
      </c>
      <c r="G435" s="49">
        <v>76.599999999999994</v>
      </c>
      <c r="H435" s="49">
        <v>4</v>
      </c>
      <c r="I435" s="75">
        <f>Tabla1[[#This Row],[Cant. Fabricada (uds)]]/Tabla1[[#This Row],[Cavidades]]*Tabla1[[#This Row],[Tiempo Ciclo]]/60/60</f>
        <v>7.0323055555555554</v>
      </c>
      <c r="J435" s="1" t="s">
        <v>15</v>
      </c>
      <c r="K435" s="25"/>
      <c r="L435" s="25">
        <v>0</v>
      </c>
      <c r="M435" s="25">
        <v>628</v>
      </c>
      <c r="N435" s="25">
        <v>1322</v>
      </c>
      <c r="O435" s="20">
        <v>38</v>
      </c>
      <c r="P435" s="1">
        <f>Tabla1[[#This Row],[Noche]]-Tabla1[[#This Row],[Mañana ]]</f>
        <v>1322</v>
      </c>
      <c r="Q435" s="58"/>
      <c r="R435" s="21">
        <f t="shared" si="9"/>
        <v>0</v>
      </c>
      <c r="S435" s="22">
        <f>Tabla1[[#This Row],[Merma Salas A &amp; B2]]*1000/Tabla1[[#This Row],[Peso gr.]]</f>
        <v>0</v>
      </c>
      <c r="T435" s="52"/>
      <c r="U435" s="24">
        <f>Tabla1[[#This Row],[Total piezas NOK]]/Tabla1[[#This Row],[Cant. Fabricada (uds)]]</f>
        <v>0</v>
      </c>
    </row>
    <row r="436" spans="1:22" x14ac:dyDescent="0.3">
      <c r="A436" s="43">
        <v>44575</v>
      </c>
      <c r="B436" s="20" t="s">
        <v>904</v>
      </c>
      <c r="C436" s="20" t="s">
        <v>10</v>
      </c>
      <c r="D436" s="13" t="str">
        <f>VLOOKUP(C:C,'LListat referències'!A:B,2,FALSE)</f>
        <v xml:space="preserve">Tapa 100 ml prima </v>
      </c>
      <c r="E436" s="18" t="str">
        <f>VLOOKUP(C:C,'LListat referències'!A:D,4,FALSE)</f>
        <v>#26(100 ml)</v>
      </c>
      <c r="F436" s="49">
        <f>VLOOKUP(C:C,'LListat referències'!A:E,5,FALSE)</f>
        <v>30.3</v>
      </c>
      <c r="G436" s="49">
        <v>76.599999999999994</v>
      </c>
      <c r="H436" s="49">
        <v>4</v>
      </c>
      <c r="I436" s="75">
        <f>Tabla1[[#This Row],[Cant. Fabricada (uds)]]/Tabla1[[#This Row],[Cavidades]]*Tabla1[[#This Row],[Tiempo Ciclo]]/60/60</f>
        <v>6.3939722222222217</v>
      </c>
      <c r="J436" s="1" t="s">
        <v>15</v>
      </c>
      <c r="K436" s="25"/>
      <c r="L436" s="25">
        <v>2022</v>
      </c>
      <c r="M436" s="25">
        <v>2660</v>
      </c>
      <c r="N436" s="25">
        <v>3224</v>
      </c>
      <c r="O436" s="20">
        <v>38</v>
      </c>
      <c r="P436" s="1">
        <f>Tabla1[[#This Row],[Noche]]-Tabla1[[#This Row],[Mañana ]]</f>
        <v>1202</v>
      </c>
      <c r="Q436" s="58"/>
      <c r="R436" s="21">
        <f t="shared" si="9"/>
        <v>0</v>
      </c>
      <c r="S436" s="22">
        <f>Tabla1[[#This Row],[Merma Salas A &amp; B2]]*1000/Tabla1[[#This Row],[Peso gr.]]</f>
        <v>0</v>
      </c>
      <c r="T436" s="52"/>
      <c r="U436" s="24">
        <f>Tabla1[[#This Row],[Total piezas NOK]]/Tabla1[[#This Row],[Cant. Fabricada (uds)]]</f>
        <v>0</v>
      </c>
    </row>
    <row r="437" spans="1:22" x14ac:dyDescent="0.3">
      <c r="A437" s="43">
        <v>44578</v>
      </c>
      <c r="B437" s="20" t="s">
        <v>904</v>
      </c>
      <c r="C437" s="20" t="s">
        <v>10</v>
      </c>
      <c r="D437" s="13" t="str">
        <f>VLOOKUP(C:C,'LListat referències'!A:B,2,FALSE)</f>
        <v xml:space="preserve">Tapa 100 ml prima </v>
      </c>
      <c r="E437" s="18" t="str">
        <f>VLOOKUP(C:C,'LListat referències'!A:D,4,FALSE)</f>
        <v>#26(100 ml)</v>
      </c>
      <c r="F437" s="49">
        <f>VLOOKUP(C:C,'LListat referències'!A:E,5,FALSE)</f>
        <v>30.3</v>
      </c>
      <c r="G437" s="49">
        <v>76.599999999999994</v>
      </c>
      <c r="H437" s="49">
        <v>4</v>
      </c>
      <c r="I437" s="75">
        <f>Tabla1[[#This Row],[Cant. Fabricada (uds)]]/Tabla1[[#This Row],[Cavidades]]*Tabla1[[#This Row],[Tiempo Ciclo]]/60/60</f>
        <v>10.692083333333333</v>
      </c>
      <c r="J437" s="1" t="s">
        <v>15</v>
      </c>
      <c r="K437" s="25"/>
      <c r="L437" s="25">
        <v>3224</v>
      </c>
      <c r="M437" s="25">
        <v>4516</v>
      </c>
      <c r="N437" s="25">
        <v>5234</v>
      </c>
      <c r="O437" s="20">
        <v>38</v>
      </c>
      <c r="P437" s="1">
        <f>Tabla1[[#This Row],[Noche]]-Tabla1[[#This Row],[Mañana ]]</f>
        <v>2010</v>
      </c>
      <c r="Q437" s="58"/>
      <c r="R437" s="21">
        <f t="shared" si="9"/>
        <v>0</v>
      </c>
      <c r="S437" s="22">
        <f>Tabla1[[#This Row],[Merma Salas A &amp; B2]]*1000/Tabla1[[#This Row],[Peso gr.]]</f>
        <v>0</v>
      </c>
      <c r="T437" s="52"/>
      <c r="U437" s="24">
        <f>Tabla1[[#This Row],[Total piezas NOK]]/Tabla1[[#This Row],[Cant. Fabricada (uds)]]</f>
        <v>0</v>
      </c>
    </row>
    <row r="438" spans="1:22" x14ac:dyDescent="0.3">
      <c r="A438" s="43">
        <v>44526</v>
      </c>
      <c r="B438" s="20" t="s">
        <v>960</v>
      </c>
      <c r="C438" s="20">
        <v>1853</v>
      </c>
      <c r="D438" s="13" t="str">
        <f>VLOOKUP(C:C,'LListat referències'!A:B,2,FALSE)</f>
        <v>Tarro bola 50ml</v>
      </c>
      <c r="E438" s="18" t="str">
        <f>VLOOKUP(C:C,'LListat referències'!A:D,4,FALSE)</f>
        <v>T085</v>
      </c>
      <c r="F438" s="49">
        <f>VLOOKUP(C:C,'LListat referències'!A:E,5,FALSE)</f>
        <v>44.6</v>
      </c>
      <c r="G438" s="49">
        <v>89</v>
      </c>
      <c r="H438" s="49">
        <v>2</v>
      </c>
      <c r="I438" s="75">
        <f>Tabla1[[#This Row],[Cant. Fabricada (uds)]]/Tabla1[[#This Row],[Cavidades]]*Tabla1[[#This Row],[Tiempo Ciclo]]/60/60</f>
        <v>2.546388888888889</v>
      </c>
      <c r="J438" s="1" t="s">
        <v>7</v>
      </c>
      <c r="K438" s="25"/>
      <c r="L438" s="25">
        <v>0</v>
      </c>
      <c r="M438" s="25"/>
      <c r="N438" s="25">
        <v>206</v>
      </c>
      <c r="O438" s="20">
        <v>28</v>
      </c>
      <c r="P438" s="1">
        <f>Tabla1[[#This Row],[Noche]]-Tabla1[[#This Row],[Mañana ]]</f>
        <v>206</v>
      </c>
      <c r="Q438" s="58"/>
      <c r="R438" s="21">
        <f t="shared" si="9"/>
        <v>0</v>
      </c>
      <c r="S438" s="22">
        <f>Tabla1[[#This Row],[Merma Salas A &amp; B2]]*1000/Tabla1[[#This Row],[Peso gr.]]</f>
        <v>0</v>
      </c>
      <c r="T438" s="52">
        <v>45</v>
      </c>
      <c r="U438" s="24">
        <f>Tabla1[[#This Row],[Total piezas NOK]]/Tabla1[[#This Row],[Cant. Fabricada (uds)]]</f>
        <v>0</v>
      </c>
      <c r="V438" s="19" t="s">
        <v>965</v>
      </c>
    </row>
    <row r="439" spans="1:22" x14ac:dyDescent="0.3">
      <c r="A439" s="43">
        <v>44529</v>
      </c>
      <c r="B439" s="20" t="s">
        <v>960</v>
      </c>
      <c r="C439" s="20">
        <v>1854</v>
      </c>
      <c r="D439" s="13" t="str">
        <f>VLOOKUP(C:C,'LListat referències'!A:B,2,FALSE)</f>
        <v>Tapa bola 50ml</v>
      </c>
      <c r="E439" s="18" t="str">
        <f>VLOOKUP(C:C,'LListat referències'!A:D,4,FALSE)</f>
        <v>#13</v>
      </c>
      <c r="F439" s="49">
        <f>VLOOKUP(C:C,'LListat referències'!A:E,5,FALSE)</f>
        <v>22</v>
      </c>
      <c r="G439" s="49">
        <v>36.6</v>
      </c>
      <c r="H439" s="49">
        <v>2</v>
      </c>
      <c r="I439" s="75">
        <f>Tabla1[[#This Row],[Cant. Fabricada (uds)]]/Tabla1[[#This Row],[Cavidades]]*Tabla1[[#This Row],[Tiempo Ciclo]]/60/60</f>
        <v>1.2708333333333333</v>
      </c>
      <c r="J439" s="1" t="s">
        <v>7</v>
      </c>
      <c r="K439" s="25"/>
      <c r="L439" s="25">
        <v>0</v>
      </c>
      <c r="M439" s="25">
        <v>250</v>
      </c>
      <c r="N439" s="25">
        <v>250</v>
      </c>
      <c r="O439" s="20">
        <v>28</v>
      </c>
      <c r="P439" s="1">
        <f>Tabla1[[#This Row],[Noche]]-Tabla1[[#This Row],[Mañana ]]</f>
        <v>250</v>
      </c>
      <c r="Q439" s="58"/>
      <c r="R439" s="21">
        <f t="shared" si="9"/>
        <v>0</v>
      </c>
      <c r="S439" s="22">
        <f>Tabla1[[#This Row],[Merma Salas A &amp; B2]]*1000/Tabla1[[#This Row],[Peso gr.]]</f>
        <v>0</v>
      </c>
      <c r="T439" s="52"/>
      <c r="U439" s="24">
        <f>Tabla1[[#This Row],[Total piezas NOK]]/Tabla1[[#This Row],[Cant. Fabricada (uds)]]</f>
        <v>0</v>
      </c>
    </row>
    <row r="440" spans="1:22" x14ac:dyDescent="0.3">
      <c r="A440" s="43">
        <v>44538</v>
      </c>
      <c r="B440" s="20" t="s">
        <v>960</v>
      </c>
      <c r="C440" s="20">
        <v>1853</v>
      </c>
      <c r="D440" s="13" t="str">
        <f>VLOOKUP(C:C,'LListat referències'!A:B,2,FALSE)</f>
        <v>Tarro bola 50ml</v>
      </c>
      <c r="E440" s="18" t="str">
        <f>VLOOKUP(C:C,'LListat referències'!A:D,4,FALSE)</f>
        <v>T085</v>
      </c>
      <c r="F440" s="49">
        <f>VLOOKUP(C:C,'LListat referències'!A:E,5,FALSE)</f>
        <v>44.6</v>
      </c>
      <c r="G440" s="49">
        <v>89</v>
      </c>
      <c r="H440" s="49">
        <v>2</v>
      </c>
      <c r="I440" s="75">
        <f>Tabla1[[#This Row],[Cant. Fabricada (uds)]]/Tabla1[[#This Row],[Cavidades]]*Tabla1[[#This Row],[Tiempo Ciclo]]/60/60</f>
        <v>1.4091666666666667</v>
      </c>
      <c r="J440" s="1" t="s">
        <v>962</v>
      </c>
      <c r="K440" s="25"/>
      <c r="L440" s="25">
        <v>0</v>
      </c>
      <c r="M440" s="25">
        <v>86</v>
      </c>
      <c r="N440" s="25">
        <v>114</v>
      </c>
      <c r="O440" s="20">
        <v>28</v>
      </c>
      <c r="P440" s="1">
        <f>Tabla1[[#This Row],[Noche]]-Tabla1[[#This Row],[Mañana ]]</f>
        <v>114</v>
      </c>
      <c r="Q440" s="58"/>
      <c r="R440" s="21">
        <f t="shared" si="9"/>
        <v>0</v>
      </c>
      <c r="S440" s="22">
        <f>Tabla1[[#This Row],[Merma Salas A &amp; B2]]*1000/Tabla1[[#This Row],[Peso gr.]]</f>
        <v>0</v>
      </c>
      <c r="T440" s="52"/>
      <c r="U440" s="24">
        <f>Tabla1[[#This Row],[Total piezas NOK]]/Tabla1[[#This Row],[Cant. Fabricada (uds)]]</f>
        <v>0</v>
      </c>
    </row>
    <row r="441" spans="1:22" x14ac:dyDescent="0.3">
      <c r="A441" s="43">
        <v>44547</v>
      </c>
      <c r="B441" s="20" t="s">
        <v>961</v>
      </c>
      <c r="C441" s="20">
        <v>1853</v>
      </c>
      <c r="D441" s="13" t="str">
        <f>VLOOKUP(C:C,'LListat referències'!A:B,2,FALSE)</f>
        <v>Tarro bola 50ml</v>
      </c>
      <c r="E441" s="18" t="str">
        <f>VLOOKUP(C:C,'LListat referències'!A:D,4,FALSE)</f>
        <v>T085</v>
      </c>
      <c r="F441" s="49">
        <f>VLOOKUP(C:C,'LListat referències'!A:E,5,FALSE)</f>
        <v>44.6</v>
      </c>
      <c r="G441" s="49">
        <v>89</v>
      </c>
      <c r="H441" s="49">
        <v>2</v>
      </c>
      <c r="I441" s="75">
        <f>Tabla1[[#This Row],[Cant. Fabricada (uds)]]/Tabla1[[#This Row],[Cavidades]]*Tabla1[[#This Row],[Tiempo Ciclo]]/60/60</f>
        <v>0</v>
      </c>
      <c r="J441" s="1" t="s">
        <v>963</v>
      </c>
      <c r="K441" s="25"/>
      <c r="L441" s="25"/>
      <c r="M441" s="25"/>
      <c r="N441" s="25"/>
      <c r="O441" s="20">
        <v>28</v>
      </c>
      <c r="P441" s="1">
        <f>Tabla1[[#This Row],[Noche]]-Tabla1[[#This Row],[Mañana ]]</f>
        <v>0</v>
      </c>
      <c r="Q441" s="58"/>
      <c r="R441" s="21">
        <f t="shared" si="9"/>
        <v>0</v>
      </c>
      <c r="S441" s="22">
        <f>Tabla1[[#This Row],[Merma Salas A &amp; B2]]*1000/Tabla1[[#This Row],[Peso gr.]]</f>
        <v>0</v>
      </c>
      <c r="T441" s="52">
        <v>40</v>
      </c>
      <c r="U441" s="24" t="s">
        <v>842</v>
      </c>
      <c r="V441" s="19" t="s">
        <v>964</v>
      </c>
    </row>
    <row r="442" spans="1:22" x14ac:dyDescent="0.3">
      <c r="A442" s="43">
        <v>44546</v>
      </c>
      <c r="B442" s="20" t="s">
        <v>926</v>
      </c>
      <c r="C442" s="20">
        <v>2006</v>
      </c>
      <c r="D442" s="13">
        <f>VLOOKUP(C:C,'LListat referències'!A:B,2,FALSE)</f>
        <v>0</v>
      </c>
      <c r="E442" s="18">
        <f>VLOOKUP(C:C,'LListat referències'!A:D,4,FALSE)</f>
        <v>0</v>
      </c>
      <c r="F442" s="49">
        <f>VLOOKUP(C:C,'LListat referències'!A:E,5,FALSE)</f>
        <v>17</v>
      </c>
      <c r="G442" s="49">
        <v>41.56</v>
      </c>
      <c r="H442" s="49">
        <v>4</v>
      </c>
      <c r="I442" s="75" t="s">
        <v>842</v>
      </c>
      <c r="J442" s="1"/>
      <c r="K442" s="25"/>
      <c r="L442" s="25"/>
      <c r="M442" s="25"/>
      <c r="N442" s="25"/>
      <c r="O442" s="20">
        <v>9</v>
      </c>
      <c r="P442" s="1">
        <f>Tabla1[[#This Row],[Noche]]-Tabla1[[#This Row],[Mañana ]]</f>
        <v>0</v>
      </c>
      <c r="Q442" s="58"/>
      <c r="R442" s="21">
        <f t="shared" si="9"/>
        <v>0</v>
      </c>
      <c r="S442" s="22">
        <f>Tabla1[[#This Row],[Merma Salas A &amp; B2]]*1000/Tabla1[[#This Row],[Peso gr.]]</f>
        <v>0</v>
      </c>
      <c r="T442" s="52"/>
      <c r="U442" s="24" t="s">
        <v>842</v>
      </c>
    </row>
    <row r="443" spans="1:22" x14ac:dyDescent="0.3">
      <c r="A443" s="43">
        <v>44547</v>
      </c>
      <c r="B443" s="20" t="s">
        <v>926</v>
      </c>
      <c r="C443" s="20">
        <v>1927</v>
      </c>
      <c r="D443" s="13" t="str">
        <f>VLOOKUP(C:C,'LListat referències'!A:B,2,FALSE)</f>
        <v>Tapa 200 ml estret</v>
      </c>
      <c r="E443" s="18" t="str">
        <f>VLOOKUP(C:C,'LListat referències'!A:D,4,FALSE)</f>
        <v>#44</v>
      </c>
      <c r="F443" s="49">
        <v>26.96</v>
      </c>
      <c r="G443" s="49">
        <v>41</v>
      </c>
      <c r="H443" s="49">
        <v>2</v>
      </c>
      <c r="I443" s="75">
        <f>Tabla1[[#This Row],[Cant. Fabricada (uds)]]/Tabla1[[#This Row],[Cavidades]]*Tabla1[[#This Row],[Tiempo Ciclo]]/60/60</f>
        <v>0</v>
      </c>
      <c r="J443" s="1" t="s">
        <v>763</v>
      </c>
      <c r="K443" s="25"/>
      <c r="L443" s="25"/>
      <c r="M443" s="25"/>
      <c r="N443" s="25"/>
      <c r="O443" s="20">
        <v>9</v>
      </c>
      <c r="P443" s="1">
        <f>Tabla1[[#This Row],[Noche]]-Tabla1[[#This Row],[Mañana ]]</f>
        <v>0</v>
      </c>
      <c r="Q443" s="58"/>
      <c r="R443" s="21">
        <f t="shared" si="9"/>
        <v>0</v>
      </c>
      <c r="S443" s="22">
        <f>Tabla1[[#This Row],[Merma Salas A &amp; B2]]*1000/Tabla1[[#This Row],[Peso gr.]]</f>
        <v>0</v>
      </c>
      <c r="T443" s="52"/>
      <c r="U443" s="24" t="s">
        <v>842</v>
      </c>
    </row>
    <row r="444" spans="1:22" x14ac:dyDescent="0.3">
      <c r="A444" s="43">
        <v>44571</v>
      </c>
      <c r="B444" s="20" t="s">
        <v>966</v>
      </c>
      <c r="C444" s="20">
        <v>1927</v>
      </c>
      <c r="D444" s="13" t="str">
        <f>VLOOKUP(C:C,'LListat referències'!A:B,2,FALSE)</f>
        <v>Tapa 200 ml estret</v>
      </c>
      <c r="E444" s="18" t="str">
        <f>VLOOKUP(C:C,'LListat referències'!A:D,4,FALSE)</f>
        <v>#44</v>
      </c>
      <c r="F444" s="49">
        <v>26.96</v>
      </c>
      <c r="G444" s="49">
        <v>41</v>
      </c>
      <c r="H444" s="49">
        <v>2</v>
      </c>
      <c r="I444" s="75">
        <f>Tabla1[[#This Row],[Cant. Fabricada (uds)]]/Tabla1[[#This Row],[Cavidades]]*Tabla1[[#This Row],[Tiempo Ciclo]]/60/60</f>
        <v>0</v>
      </c>
      <c r="J444" s="1" t="s">
        <v>763</v>
      </c>
      <c r="K444" s="25"/>
      <c r="L444" s="25"/>
      <c r="M444" s="25"/>
      <c r="N444" s="25"/>
      <c r="O444" s="20">
        <v>9</v>
      </c>
      <c r="P444" s="1">
        <f>Tabla1[[#This Row],[Noche]]-Tabla1[[#This Row],[Mañana ]]</f>
        <v>0</v>
      </c>
      <c r="Q444" s="58"/>
      <c r="R444" s="21">
        <f t="shared" si="9"/>
        <v>0</v>
      </c>
      <c r="S444" s="22">
        <f>Tabla1[[#This Row],[Merma Salas A &amp; B2]]*1000/Tabla1[[#This Row],[Peso gr.]]</f>
        <v>0</v>
      </c>
      <c r="T444" s="52"/>
      <c r="U444" s="24" t="s">
        <v>842</v>
      </c>
    </row>
    <row r="445" spans="1:22" x14ac:dyDescent="0.3">
      <c r="A445" s="43">
        <v>44572</v>
      </c>
      <c r="B445" s="20" t="s">
        <v>966</v>
      </c>
      <c r="C445" s="20">
        <v>1927</v>
      </c>
      <c r="D445" s="13" t="str">
        <f>VLOOKUP(C:C,'LListat referències'!A:B,2,FALSE)</f>
        <v>Tapa 200 ml estret</v>
      </c>
      <c r="E445" s="18" t="str">
        <f>VLOOKUP(C:C,'LListat referències'!A:D,4,FALSE)</f>
        <v>#44</v>
      </c>
      <c r="F445" s="49">
        <v>26.96</v>
      </c>
      <c r="G445" s="49">
        <v>41</v>
      </c>
      <c r="H445" s="49">
        <v>2</v>
      </c>
      <c r="I445" s="75">
        <f>Tabla1[[#This Row],[Cant. Fabricada (uds)]]/Tabla1[[#This Row],[Cavidades]]*Tabla1[[#This Row],[Tiempo Ciclo]]/60/60</f>
        <v>0</v>
      </c>
      <c r="J445" s="1" t="s">
        <v>763</v>
      </c>
      <c r="K445" s="25"/>
      <c r="L445" s="25"/>
      <c r="M445" s="25"/>
      <c r="N445" s="25"/>
      <c r="O445" s="20">
        <v>9</v>
      </c>
      <c r="P445" s="1">
        <f>Tabla1[[#This Row],[Noche]]-Tabla1[[#This Row],[Mañana ]]</f>
        <v>0</v>
      </c>
      <c r="Q445" s="58"/>
      <c r="R445" s="21">
        <f t="shared" si="9"/>
        <v>0</v>
      </c>
      <c r="S445" s="22">
        <f>Tabla1[[#This Row],[Merma Salas A &amp; B2]]*1000/Tabla1[[#This Row],[Peso gr.]]</f>
        <v>0</v>
      </c>
      <c r="T445" s="52"/>
      <c r="U445" s="24" t="s">
        <v>842</v>
      </c>
    </row>
    <row r="446" spans="1:22" x14ac:dyDescent="0.3">
      <c r="A446" s="43">
        <v>44573</v>
      </c>
      <c r="B446" s="20" t="s">
        <v>966</v>
      </c>
      <c r="C446" s="20">
        <v>1927</v>
      </c>
      <c r="D446" s="13" t="str">
        <f>VLOOKUP(C:C,'LListat referències'!A:B,2,FALSE)</f>
        <v>Tapa 200 ml estret</v>
      </c>
      <c r="E446" s="18" t="str">
        <f>VLOOKUP(C:C,'LListat referències'!A:D,4,FALSE)</f>
        <v>#44</v>
      </c>
      <c r="F446" s="49">
        <v>26.96</v>
      </c>
      <c r="G446" s="49">
        <v>41</v>
      </c>
      <c r="H446" s="49">
        <v>2</v>
      </c>
      <c r="I446" s="75">
        <f>Tabla1[[#This Row],[Cant. Fabricada (uds)]]/Tabla1[[#This Row],[Cavidades]]*Tabla1[[#This Row],[Tiempo Ciclo]]/60/60</f>
        <v>0</v>
      </c>
      <c r="J446" s="1" t="s">
        <v>763</v>
      </c>
      <c r="K446" s="25"/>
      <c r="L446" s="25"/>
      <c r="M446" s="25"/>
      <c r="N446" s="25"/>
      <c r="O446" s="20">
        <v>9</v>
      </c>
      <c r="P446" s="1">
        <f>Tabla1[[#This Row],[Noche]]-Tabla1[[#This Row],[Mañana ]]</f>
        <v>0</v>
      </c>
      <c r="Q446" s="58"/>
      <c r="R446" s="21">
        <f t="shared" si="9"/>
        <v>0</v>
      </c>
      <c r="S446" s="22">
        <f>Tabla1[[#This Row],[Merma Salas A &amp; B2]]*1000/Tabla1[[#This Row],[Peso gr.]]</f>
        <v>0</v>
      </c>
      <c r="T446" s="52">
        <v>60</v>
      </c>
      <c r="U446" s="24" t="s">
        <v>842</v>
      </c>
      <c r="V446" s="19" t="s">
        <v>968</v>
      </c>
    </row>
    <row r="447" spans="1:22" x14ac:dyDescent="0.3">
      <c r="A447" s="43">
        <v>44574</v>
      </c>
      <c r="B447" s="20" t="s">
        <v>966</v>
      </c>
      <c r="C447" s="20">
        <v>1927</v>
      </c>
      <c r="D447" s="13" t="str">
        <f>VLOOKUP(C:C,'LListat referències'!A:B,2,FALSE)</f>
        <v>Tapa 200 ml estret</v>
      </c>
      <c r="E447" s="18" t="str">
        <f>VLOOKUP(C:C,'LListat referències'!A:D,4,FALSE)</f>
        <v>#44</v>
      </c>
      <c r="F447" s="49">
        <v>26.96</v>
      </c>
      <c r="G447" s="49">
        <v>41</v>
      </c>
      <c r="H447" s="49">
        <v>2</v>
      </c>
      <c r="I447" s="75">
        <f>Tabla1[[#This Row],[Cant. Fabricada (uds)]]/Tabla1[[#This Row],[Cavidades]]*Tabla1[[#This Row],[Tiempo Ciclo]]/60/60</f>
        <v>15.534444444444444</v>
      </c>
      <c r="J447" s="1" t="s">
        <v>763</v>
      </c>
      <c r="K447" s="25"/>
      <c r="L447" s="25">
        <v>794</v>
      </c>
      <c r="M447" s="25">
        <v>2114</v>
      </c>
      <c r="N447" s="25">
        <v>3522</v>
      </c>
      <c r="O447" s="20">
        <v>9</v>
      </c>
      <c r="P447" s="1">
        <f>Tabla1[[#This Row],[Noche]]-Tabla1[[#This Row],[Mañana ]]</f>
        <v>2728</v>
      </c>
      <c r="Q447" s="58"/>
      <c r="R447" s="21">
        <f t="shared" si="9"/>
        <v>0</v>
      </c>
      <c r="S447" s="22">
        <f>Tabla1[[#This Row],[Merma Salas A &amp; B2]]*1000/Tabla1[[#This Row],[Peso gr.]]</f>
        <v>0</v>
      </c>
      <c r="T447" s="52"/>
      <c r="U447" s="24">
        <f>Tabla1[[#This Row],[Total piezas NOK]]/Tabla1[[#This Row],[Cant. Fabricada (uds)]]</f>
        <v>0</v>
      </c>
    </row>
    <row r="448" spans="1:22" x14ac:dyDescent="0.3">
      <c r="A448" s="43">
        <v>44575</v>
      </c>
      <c r="B448" s="20" t="s">
        <v>966</v>
      </c>
      <c r="C448" s="20">
        <v>1927</v>
      </c>
      <c r="D448" s="13" t="str">
        <f>VLOOKUP(C:C,'LListat referències'!A:B,2,FALSE)</f>
        <v>Tapa 200 ml estret</v>
      </c>
      <c r="E448" s="18" t="str">
        <f>VLOOKUP(C:C,'LListat referències'!A:D,4,FALSE)</f>
        <v>#44</v>
      </c>
      <c r="F448" s="49">
        <v>26.96</v>
      </c>
      <c r="G448" s="49">
        <v>41</v>
      </c>
      <c r="H448" s="49">
        <v>2</v>
      </c>
      <c r="I448" s="75">
        <f>Tabla1[[#This Row],[Cant. Fabricada (uds)]]/Tabla1[[#This Row],[Cavidades]]*Tabla1[[#This Row],[Tiempo Ciclo]]/60/60</f>
        <v>13.552777777777777</v>
      </c>
      <c r="J448" s="1" t="s">
        <v>763</v>
      </c>
      <c r="K448" s="25"/>
      <c r="L448" s="25">
        <v>4960</v>
      </c>
      <c r="M448" s="25">
        <v>6308</v>
      </c>
      <c r="N448" s="25">
        <v>7340</v>
      </c>
      <c r="O448" s="20">
        <v>9</v>
      </c>
      <c r="P448" s="1">
        <f>Tabla1[[#This Row],[Noche]]-Tabla1[[#This Row],[Mañana ]]</f>
        <v>2380</v>
      </c>
      <c r="Q448" s="58"/>
      <c r="R448" s="21">
        <f t="shared" si="9"/>
        <v>0</v>
      </c>
      <c r="S448" s="22">
        <f>Tabla1[[#This Row],[Merma Salas A &amp; B2]]*1000/Tabla1[[#This Row],[Peso gr.]]</f>
        <v>0</v>
      </c>
      <c r="T448" s="52"/>
      <c r="U448" s="24">
        <f>Tabla1[[#This Row],[Total piezas NOK]]/Tabla1[[#This Row],[Cant. Fabricada (uds)]]</f>
        <v>0</v>
      </c>
    </row>
    <row r="449" spans="1:22" x14ac:dyDescent="0.3">
      <c r="A449" s="43">
        <v>44578</v>
      </c>
      <c r="B449" s="20" t="s">
        <v>966</v>
      </c>
      <c r="C449" s="20">
        <v>1927</v>
      </c>
      <c r="D449" s="13" t="str">
        <f>VLOOKUP(C:C,'LListat referències'!A:B,2,FALSE)</f>
        <v>Tapa 200 ml estret</v>
      </c>
      <c r="E449" s="18" t="str">
        <f>VLOOKUP(C:C,'LListat referències'!A:D,4,FALSE)</f>
        <v>#44</v>
      </c>
      <c r="F449" s="49">
        <v>26.96</v>
      </c>
      <c r="G449" s="49">
        <v>41</v>
      </c>
      <c r="H449" s="49">
        <v>2</v>
      </c>
      <c r="I449" s="75">
        <f>Tabla1[[#This Row],[Cant. Fabricada (uds)]]/Tabla1[[#This Row],[Cavidades]]*Tabla1[[#This Row],[Tiempo Ciclo]]/60/60</f>
        <v>0</v>
      </c>
      <c r="J449" s="1" t="s">
        <v>763</v>
      </c>
      <c r="K449" s="25"/>
      <c r="L449" s="25"/>
      <c r="M449" s="25"/>
      <c r="N449" s="25"/>
      <c r="O449" s="20">
        <v>9</v>
      </c>
      <c r="P449" s="1">
        <f>Tabla1[[#This Row],[Noche]]-Tabla1[[#This Row],[Mañana ]]</f>
        <v>0</v>
      </c>
      <c r="Q449" s="58"/>
      <c r="R449" s="21">
        <f t="shared" si="9"/>
        <v>0</v>
      </c>
      <c r="S449" s="22">
        <f>Tabla1[[#This Row],[Merma Salas A &amp; B2]]*1000/Tabla1[[#This Row],[Peso gr.]]</f>
        <v>0</v>
      </c>
      <c r="T449" s="52"/>
      <c r="U449" s="24" t="s">
        <v>842</v>
      </c>
    </row>
    <row r="450" spans="1:22" x14ac:dyDescent="0.3">
      <c r="A450" s="43">
        <v>44578</v>
      </c>
      <c r="B450" s="20" t="s">
        <v>967</v>
      </c>
      <c r="C450" s="20">
        <v>1927</v>
      </c>
      <c r="D450" s="13" t="str">
        <f>VLOOKUP(C:C,'LListat referències'!A:B,2,FALSE)</f>
        <v>Tapa 200 ml estret</v>
      </c>
      <c r="E450" s="18" t="str">
        <f>VLOOKUP(C:C,'LListat referències'!A:D,4,FALSE)</f>
        <v>#44</v>
      </c>
      <c r="F450" s="49">
        <v>26.96</v>
      </c>
      <c r="G450" s="49">
        <v>41</v>
      </c>
      <c r="H450" s="49">
        <v>2</v>
      </c>
      <c r="I450" s="75">
        <f>Tabla1[[#This Row],[Cant. Fabricada (uds)]]/Tabla1[[#This Row],[Cavidades]]*Tabla1[[#This Row],[Tiempo Ciclo]]/60/60</f>
        <v>15.375</v>
      </c>
      <c r="J450" s="1" t="s">
        <v>763</v>
      </c>
      <c r="K450" s="25"/>
      <c r="L450" s="25">
        <v>794</v>
      </c>
      <c r="M450" s="25">
        <v>2118</v>
      </c>
      <c r="N450" s="25">
        <v>3494</v>
      </c>
      <c r="O450" s="20">
        <v>9</v>
      </c>
      <c r="P450" s="1">
        <f>Tabla1[[#This Row],[Noche]]-Tabla1[[#This Row],[Mañana ]]</f>
        <v>2700</v>
      </c>
      <c r="Q450" s="58"/>
      <c r="R450" s="21">
        <f t="shared" si="9"/>
        <v>0</v>
      </c>
      <c r="S450" s="22">
        <f>Tabla1[[#This Row],[Merma Salas A &amp; B2]]*1000/Tabla1[[#This Row],[Peso gr.]]</f>
        <v>0</v>
      </c>
      <c r="T450" s="52"/>
      <c r="U450" s="24">
        <f>Tabla1[[#This Row],[Total piezas NOK]]/Tabla1[[#This Row],[Cant. Fabricada (uds)]]</f>
        <v>0</v>
      </c>
    </row>
    <row r="451" spans="1:22" x14ac:dyDescent="0.3">
      <c r="A451" s="43">
        <v>44547</v>
      </c>
      <c r="B451" s="20" t="s">
        <v>969</v>
      </c>
      <c r="C451" s="20">
        <v>1877</v>
      </c>
      <c r="D451" s="13" t="str">
        <f>VLOOKUP(C:C,'LListat referències'!A:B,2,FALSE)</f>
        <v>Tarro 50ml Tinter Rectangular</v>
      </c>
      <c r="E451" s="18" t="str">
        <f>VLOOKUP(C:C,'LListat referències'!A:D,4,FALSE)</f>
        <v>T094</v>
      </c>
      <c r="F451" s="49">
        <f>VLOOKUP(C:C,'LListat referències'!A:E,5,FALSE)</f>
        <v>121.5</v>
      </c>
      <c r="G451" s="49">
        <v>132.30000000000001</v>
      </c>
      <c r="H451" s="49">
        <v>2</v>
      </c>
      <c r="I451" s="75">
        <f>Tabla1[[#This Row],[Cant. Fabricada (uds)]]/Tabla1[[#This Row],[Cavidades]]*Tabla1[[#This Row],[Tiempo Ciclo]]/60/60</f>
        <v>14.148750000000001</v>
      </c>
      <c r="J451" s="1" t="s">
        <v>8</v>
      </c>
      <c r="K451" s="25"/>
      <c r="L451" s="25">
        <v>1178</v>
      </c>
      <c r="M451" s="25">
        <v>1594</v>
      </c>
      <c r="N451" s="25">
        <v>1948</v>
      </c>
      <c r="O451" s="20">
        <v>30</v>
      </c>
      <c r="P451" s="1">
        <f>Tabla1[[#This Row],[Noche]]-Tabla1[[#This Row],[Mañana ]]</f>
        <v>770</v>
      </c>
      <c r="Q451" s="58"/>
      <c r="R451" s="21">
        <f t="shared" si="9"/>
        <v>0</v>
      </c>
      <c r="S451" s="22">
        <f>Tabla1[[#This Row],[Merma Salas A &amp; B2]]*1000/Tabla1[[#This Row],[Peso gr.]]</f>
        <v>0</v>
      </c>
      <c r="T451" s="52">
        <v>70</v>
      </c>
      <c r="U451" s="24">
        <f>Tabla1[[#This Row],[Total piezas NOK]]/Tabla1[[#This Row],[Cant. Fabricada (uds)]]</f>
        <v>0</v>
      </c>
      <c r="V451" s="19" t="s">
        <v>970</v>
      </c>
    </row>
    <row r="452" spans="1:22" x14ac:dyDescent="0.3">
      <c r="A452" s="43">
        <v>44550</v>
      </c>
      <c r="B452" s="20" t="s">
        <v>969</v>
      </c>
      <c r="C452" s="20">
        <v>1877</v>
      </c>
      <c r="D452" s="13" t="str">
        <f>VLOOKUP(C:C,'LListat referències'!A:B,2,FALSE)</f>
        <v>Tarro 50ml Tinter Rectangular</v>
      </c>
      <c r="E452" s="18" t="str">
        <f>VLOOKUP(C:C,'LListat referències'!A:D,4,FALSE)</f>
        <v>T094</v>
      </c>
      <c r="F452" s="49">
        <f>VLOOKUP(C:C,'LListat referències'!A:E,5,FALSE)</f>
        <v>121.5</v>
      </c>
      <c r="G452" s="49">
        <v>132.30000000000001</v>
      </c>
      <c r="H452" s="49">
        <v>2</v>
      </c>
      <c r="I452" s="75">
        <f>Tabla1[[#This Row],[Cant. Fabricada (uds)]]/Tabla1[[#This Row],[Cavidades]]*Tabla1[[#This Row],[Tiempo Ciclo]]/60/60</f>
        <v>15.986250000000002</v>
      </c>
      <c r="J452" s="1" t="s">
        <v>8</v>
      </c>
      <c r="K452" s="25"/>
      <c r="L452" s="25">
        <v>2288</v>
      </c>
      <c r="M452" s="25">
        <v>2708</v>
      </c>
      <c r="N452" s="25">
        <v>3158</v>
      </c>
      <c r="O452" s="20">
        <v>30</v>
      </c>
      <c r="P452" s="1">
        <f>Tabla1[[#This Row],[Noche]]-Tabla1[[#This Row],[Mañana ]]</f>
        <v>870</v>
      </c>
      <c r="Q452" s="58">
        <v>10</v>
      </c>
      <c r="R452" s="21">
        <f t="shared" si="9"/>
        <v>10</v>
      </c>
      <c r="S452" s="22">
        <f>Tabla1[[#This Row],[Merma Salas A &amp; B2]]*1000/Tabla1[[#This Row],[Peso gr.]]</f>
        <v>82.304526748971199</v>
      </c>
      <c r="T452" s="52">
        <v>30</v>
      </c>
      <c r="U452" s="24">
        <f>Tabla1[[#This Row],[Total piezas NOK]]/Tabla1[[#This Row],[Cant. Fabricada (uds)]]</f>
        <v>9.4602904309162295E-2</v>
      </c>
      <c r="V452" s="19" t="s">
        <v>971</v>
      </c>
    </row>
    <row r="453" spans="1:22" x14ac:dyDescent="0.3">
      <c r="A453" s="43">
        <v>44551</v>
      </c>
      <c r="B453" s="20" t="s">
        <v>969</v>
      </c>
      <c r="C453" s="20">
        <v>1877</v>
      </c>
      <c r="D453" s="13" t="str">
        <f>VLOOKUP(C:C,'LListat referències'!A:B,2,FALSE)</f>
        <v>Tarro 50ml Tinter Rectangular</v>
      </c>
      <c r="E453" s="18" t="str">
        <f>VLOOKUP(C:C,'LListat referències'!A:D,4,FALSE)</f>
        <v>T094</v>
      </c>
      <c r="F453" s="49">
        <f>VLOOKUP(C:C,'LListat referències'!A:E,5,FALSE)</f>
        <v>121.5</v>
      </c>
      <c r="G453" s="49">
        <v>132.30000000000001</v>
      </c>
      <c r="H453" s="49">
        <v>2</v>
      </c>
      <c r="I453" s="75">
        <f>Tabla1[[#This Row],[Cant. Fabricada (uds)]]/Tabla1[[#This Row],[Cavidades]]*Tabla1[[#This Row],[Tiempo Ciclo]]/60/60</f>
        <v>15.765750000000001</v>
      </c>
      <c r="J453" s="1" t="s">
        <v>8</v>
      </c>
      <c r="K453" s="25"/>
      <c r="L453" s="25">
        <v>3598</v>
      </c>
      <c r="M453" s="25">
        <v>4010</v>
      </c>
      <c r="N453" s="25">
        <v>4456</v>
      </c>
      <c r="O453" s="20">
        <v>30</v>
      </c>
      <c r="P453" s="1">
        <f>Tabla1[[#This Row],[Noche]]-Tabla1[[#This Row],[Mañana ]]</f>
        <v>858</v>
      </c>
      <c r="Q453" s="58">
        <v>10</v>
      </c>
      <c r="R453" s="21">
        <f t="shared" si="9"/>
        <v>10</v>
      </c>
      <c r="S453" s="22">
        <f>Tabla1[[#This Row],[Merma Salas A &amp; B2]]*1000/Tabla1[[#This Row],[Peso gr.]]</f>
        <v>82.304526748971199</v>
      </c>
      <c r="T453" s="52">
        <v>5</v>
      </c>
      <c r="U453" s="24">
        <f>Tabla1[[#This Row],[Total piezas NOK]]/Tabla1[[#This Row],[Cant. Fabricada (uds)]]</f>
        <v>9.592602185194779E-2</v>
      </c>
      <c r="V453" s="19" t="s">
        <v>971</v>
      </c>
    </row>
    <row r="454" spans="1:22" x14ac:dyDescent="0.3">
      <c r="A454" s="43">
        <v>44552</v>
      </c>
      <c r="B454" s="20" t="s">
        <v>969</v>
      </c>
      <c r="C454" s="20">
        <v>1877</v>
      </c>
      <c r="D454" s="13" t="str">
        <f>VLOOKUP(C:C,'LListat referències'!A:B,2,FALSE)</f>
        <v>Tarro 50ml Tinter Rectangular</v>
      </c>
      <c r="E454" s="18" t="str">
        <f>VLOOKUP(C:C,'LListat referències'!A:D,4,FALSE)</f>
        <v>T094</v>
      </c>
      <c r="F454" s="49">
        <f>VLOOKUP(C:C,'LListat referències'!A:E,5,FALSE)</f>
        <v>121.5</v>
      </c>
      <c r="G454" s="49">
        <v>132.30000000000001</v>
      </c>
      <c r="H454" s="49">
        <v>2</v>
      </c>
      <c r="I454" s="75">
        <f>Tabla1[[#This Row],[Cant. Fabricada (uds)]]/Tabla1[[#This Row],[Cavidades]]*Tabla1[[#This Row],[Tiempo Ciclo]]/60/60</f>
        <v>14.112</v>
      </c>
      <c r="J454" s="1" t="s">
        <v>8</v>
      </c>
      <c r="K454" s="25"/>
      <c r="L454" s="25">
        <v>4892</v>
      </c>
      <c r="M454" s="25">
        <v>5306</v>
      </c>
      <c r="N454" s="25">
        <v>5660</v>
      </c>
      <c r="O454" s="20">
        <v>30</v>
      </c>
      <c r="P454" s="1">
        <f>Tabla1[[#This Row],[Noche]]-Tabla1[[#This Row],[Mañana ]]</f>
        <v>768</v>
      </c>
      <c r="Q454" s="58">
        <v>5</v>
      </c>
      <c r="R454" s="21">
        <f t="shared" si="9"/>
        <v>5</v>
      </c>
      <c r="S454" s="22">
        <f>Tabla1[[#This Row],[Merma Salas A &amp; B2]]*1000/Tabla1[[#This Row],[Peso gr.]]</f>
        <v>41.152263374485599</v>
      </c>
      <c r="T454" s="52">
        <v>5</v>
      </c>
      <c r="U454" s="24">
        <f>Tabla1[[#This Row],[Total piezas NOK]]/Tabla1[[#This Row],[Cant. Fabricada (uds)]]</f>
        <v>5.3583676268861458E-2</v>
      </c>
      <c r="V454" s="19" t="s">
        <v>971</v>
      </c>
    </row>
    <row r="455" spans="1:22" x14ac:dyDescent="0.3">
      <c r="A455" s="43">
        <v>44199</v>
      </c>
      <c r="B455" s="20" t="s">
        <v>969</v>
      </c>
      <c r="C455" s="20">
        <v>1877</v>
      </c>
      <c r="D455" s="13" t="str">
        <f>VLOOKUP(C:C,'LListat referències'!A:B,2,FALSE)</f>
        <v>Tarro 50ml Tinter Rectangular</v>
      </c>
      <c r="E455" s="18" t="str">
        <f>VLOOKUP(C:C,'LListat referències'!A:D,4,FALSE)</f>
        <v>T094</v>
      </c>
      <c r="F455" s="49">
        <f>VLOOKUP(C:C,'LListat referències'!A:E,5,FALSE)</f>
        <v>121.5</v>
      </c>
      <c r="G455" s="49">
        <v>132.30000000000001</v>
      </c>
      <c r="H455" s="49">
        <v>2</v>
      </c>
      <c r="I455" s="75">
        <f>Tabla1[[#This Row],[Cant. Fabricada (uds)]]/Tabla1[[#This Row],[Cavidades]]*Tabla1[[#This Row],[Tiempo Ciclo]]/60/60</f>
        <v>15.251250000000002</v>
      </c>
      <c r="J455" s="1" t="s">
        <v>8</v>
      </c>
      <c r="K455" s="25"/>
      <c r="L455" s="25">
        <v>6020</v>
      </c>
      <c r="M455" s="25">
        <v>6408</v>
      </c>
      <c r="N455" s="25">
        <v>6850</v>
      </c>
      <c r="O455" s="20">
        <v>30</v>
      </c>
      <c r="P455" s="1">
        <f>Tabla1[[#This Row],[Noche]]-Tabla1[[#This Row],[Mañana ]]</f>
        <v>830</v>
      </c>
      <c r="Q455" s="58">
        <v>10</v>
      </c>
      <c r="R455" s="21">
        <f t="shared" si="9"/>
        <v>10</v>
      </c>
      <c r="S455" s="22">
        <f>Tabla1[[#This Row],[Merma Salas A &amp; B2]]*1000/Tabla1[[#This Row],[Peso gr.]]</f>
        <v>82.304526748971199</v>
      </c>
      <c r="T455" s="52">
        <v>10</v>
      </c>
      <c r="U455" s="24">
        <f>Tabla1[[#This Row],[Total piezas NOK]]/Tabla1[[#This Row],[Cant. Fabricada (uds)]]</f>
        <v>9.9162080420447232E-2</v>
      </c>
      <c r="V455" s="19" t="s">
        <v>971</v>
      </c>
    </row>
    <row r="456" spans="1:22" x14ac:dyDescent="0.3">
      <c r="A456" s="43">
        <v>44200</v>
      </c>
      <c r="B456" s="20" t="s">
        <v>969</v>
      </c>
      <c r="C456" s="20">
        <v>1877</v>
      </c>
      <c r="D456" s="13" t="str">
        <f>VLOOKUP(C:C,'LListat referències'!A:B,2,FALSE)</f>
        <v>Tarro 50ml Tinter Rectangular</v>
      </c>
      <c r="E456" s="18" t="str">
        <f>VLOOKUP(C:C,'LListat referències'!A:D,4,FALSE)</f>
        <v>T094</v>
      </c>
      <c r="F456" s="49">
        <f>VLOOKUP(C:C,'LListat referències'!A:E,5,FALSE)</f>
        <v>121.5</v>
      </c>
      <c r="G456" s="49">
        <v>132.30000000000001</v>
      </c>
      <c r="H456" s="49">
        <v>2</v>
      </c>
      <c r="I456" s="75">
        <f>Tabla1[[#This Row],[Cant. Fabricada (uds)]]/Tabla1[[#This Row],[Cavidades]]*Tabla1[[#This Row],[Tiempo Ciclo]]/60/60</f>
        <v>5.4390000000000009</v>
      </c>
      <c r="J456" s="1" t="s">
        <v>8</v>
      </c>
      <c r="K456" s="25"/>
      <c r="L456" s="25">
        <v>7328</v>
      </c>
      <c r="M456" s="25">
        <v>7624</v>
      </c>
      <c r="N456" s="25">
        <v>7624</v>
      </c>
      <c r="O456" s="20">
        <v>30</v>
      </c>
      <c r="P456" s="1">
        <f>Tabla1[[#This Row],[Noche]]-Tabla1[[#This Row],[Mañana ]]</f>
        <v>296</v>
      </c>
      <c r="Q456" s="58"/>
      <c r="R456" s="21">
        <f t="shared" si="9"/>
        <v>0</v>
      </c>
      <c r="S456" s="22">
        <f>Tabla1[[#This Row],[Merma Salas A &amp; B2]]*1000/Tabla1[[#This Row],[Peso gr.]]</f>
        <v>0</v>
      </c>
      <c r="T456" s="52"/>
      <c r="U456" s="24">
        <f>Tabla1[[#This Row],[Total piezas NOK]]/Tabla1[[#This Row],[Cant. Fabricada (uds)]]</f>
        <v>0</v>
      </c>
    </row>
    <row r="457" spans="1:22" x14ac:dyDescent="0.3">
      <c r="A457" s="43">
        <v>44550</v>
      </c>
      <c r="B457" s="20" t="s">
        <v>972</v>
      </c>
      <c r="C457" s="20" t="s">
        <v>542</v>
      </c>
      <c r="D457" s="13" t="str">
        <f>VLOOKUP(C:C,'LListat referències'!A:B,2,FALSE)</f>
        <v>Tapa 15ml per tarro Tintero</v>
      </c>
      <c r="E457" s="18" t="str">
        <f>VLOOKUP(C:C,'LListat referències'!A:D,4,FALSE)</f>
        <v>#23</v>
      </c>
      <c r="F457" s="49">
        <f>VLOOKUP(C:C,'LListat referències'!A:E,5,FALSE)</f>
        <v>10</v>
      </c>
      <c r="G457" s="49">
        <v>36.549999999999997</v>
      </c>
      <c r="H457" s="49">
        <v>2</v>
      </c>
      <c r="I457" s="75">
        <f>Tabla1[[#This Row],[Cant. Fabricada (uds)]]/Tabla1[[#This Row],[Cavidades]]*Tabla1[[#This Row],[Tiempo Ciclo]]/60/60</f>
        <v>7.6450416666666667</v>
      </c>
      <c r="J457" s="1" t="s">
        <v>15</v>
      </c>
      <c r="K457" s="25"/>
      <c r="L457" s="25">
        <v>0</v>
      </c>
      <c r="M457" s="25">
        <v>1400</v>
      </c>
      <c r="N457" s="25">
        <v>1506</v>
      </c>
      <c r="O457" s="20">
        <v>25</v>
      </c>
      <c r="P457" s="1">
        <f>Tabla1[[#This Row],[Noche]]-Tabla1[[#This Row],[Mañana ]]</f>
        <v>1506</v>
      </c>
      <c r="Q457" s="58">
        <v>0.5</v>
      </c>
      <c r="R457" s="21">
        <f t="shared" ref="R457:R520" si="10">SUM(Q457:Q457)</f>
        <v>0.5</v>
      </c>
      <c r="S457" s="22">
        <f>Tabla1[[#This Row],[Merma Salas A &amp; B2]]*1000/Tabla1[[#This Row],[Peso gr.]]</f>
        <v>50</v>
      </c>
      <c r="T457" s="52">
        <v>4</v>
      </c>
      <c r="U457" s="24">
        <f>Tabla1[[#This Row],[Total piezas NOK]]/Tabla1[[#This Row],[Cant. Fabricada (uds)]]</f>
        <v>3.3200531208499334E-2</v>
      </c>
      <c r="V457" s="19" t="s">
        <v>976</v>
      </c>
    </row>
    <row r="458" spans="1:22" x14ac:dyDescent="0.3">
      <c r="A458" s="43">
        <v>44530</v>
      </c>
      <c r="B458" s="20" t="s">
        <v>973</v>
      </c>
      <c r="C458" s="20">
        <v>1808</v>
      </c>
      <c r="D458" s="13" t="str">
        <f>VLOOKUP(C:C,'LListat referències'!A:B,2,FALSE)</f>
        <v>Tapa 200 mónaco</v>
      </c>
      <c r="E458" s="18" t="str">
        <f>VLOOKUP(C:C,'LListat referències'!A:D,4,FALSE)</f>
        <v>#29</v>
      </c>
      <c r="F458" s="49">
        <f>VLOOKUP(C:C,'LListat referències'!A:E,5,FALSE)</f>
        <v>39.72</v>
      </c>
      <c r="G458" s="49">
        <v>55.8</v>
      </c>
      <c r="H458" s="49">
        <v>4</v>
      </c>
      <c r="I458" s="75">
        <f>Tabla1[[#This Row],[Cant. Fabricada (uds)]]/Tabla1[[#This Row],[Cavidades]]*Tabla1[[#This Row],[Tiempo Ciclo]]/60/60</f>
        <v>0</v>
      </c>
      <c r="J458" s="1" t="s">
        <v>975</v>
      </c>
      <c r="K458" s="25"/>
      <c r="L458" s="25"/>
      <c r="M458" s="25"/>
      <c r="N458" s="25"/>
      <c r="O458" s="20">
        <v>29</v>
      </c>
      <c r="P458" s="1">
        <f>Tabla1[[#This Row],[Noche]]-Tabla1[[#This Row],[Mañana ]]</f>
        <v>0</v>
      </c>
      <c r="Q458" s="58"/>
      <c r="R458" s="21">
        <f t="shared" si="10"/>
        <v>0</v>
      </c>
      <c r="S458" s="22">
        <f>Tabla1[[#This Row],[Merma Salas A &amp; B2]]*1000/Tabla1[[#This Row],[Peso gr.]]</f>
        <v>0</v>
      </c>
      <c r="T458" s="52">
        <v>15</v>
      </c>
      <c r="U458" s="24" t="s">
        <v>842</v>
      </c>
      <c r="V458" s="19" t="s">
        <v>976</v>
      </c>
    </row>
    <row r="459" spans="1:22" x14ac:dyDescent="0.3">
      <c r="A459" s="43">
        <v>44565</v>
      </c>
      <c r="B459" s="20" t="s">
        <v>974</v>
      </c>
      <c r="C459" s="20">
        <v>1808</v>
      </c>
      <c r="D459" s="13" t="str">
        <f>VLOOKUP(C:C,'LListat referències'!A:B,2,FALSE)</f>
        <v>Tapa 200 mónaco</v>
      </c>
      <c r="E459" s="18" t="str">
        <f>VLOOKUP(C:C,'LListat referències'!A:D,4,FALSE)</f>
        <v>#29</v>
      </c>
      <c r="F459" s="49">
        <f>VLOOKUP(C:C,'LListat referències'!A:E,5,FALSE)</f>
        <v>39.72</v>
      </c>
      <c r="G459" s="49">
        <v>55.8</v>
      </c>
      <c r="H459" s="49">
        <v>4</v>
      </c>
      <c r="I459" s="75">
        <f>Tabla1[[#This Row],[Cant. Fabricada (uds)]]/Tabla1[[#This Row],[Cavidades]]*Tabla1[[#This Row],[Tiempo Ciclo]]/60/60</f>
        <v>0</v>
      </c>
      <c r="J459" s="1" t="s">
        <v>975</v>
      </c>
      <c r="K459" s="25"/>
      <c r="L459" s="25"/>
      <c r="M459" s="25"/>
      <c r="N459" s="25"/>
      <c r="O459" s="20">
        <v>29</v>
      </c>
      <c r="P459" s="1">
        <f>Tabla1[[#This Row],[Noche]]-Tabla1[[#This Row],[Mañana ]]</f>
        <v>0</v>
      </c>
      <c r="Q459" s="58"/>
      <c r="R459" s="21">
        <f t="shared" si="10"/>
        <v>0</v>
      </c>
      <c r="S459" s="22">
        <f>Tabla1[[#This Row],[Merma Salas A &amp; B2]]*1000/Tabla1[[#This Row],[Peso gr.]]</f>
        <v>0</v>
      </c>
      <c r="T459" s="52">
        <v>35</v>
      </c>
      <c r="U459" s="24" t="s">
        <v>842</v>
      </c>
    </row>
    <row r="460" spans="1:22" x14ac:dyDescent="0.3">
      <c r="A460" s="43">
        <v>44566</v>
      </c>
      <c r="B460" s="20" t="s">
        <v>974</v>
      </c>
      <c r="C460" s="20">
        <v>1808</v>
      </c>
      <c r="D460" s="13" t="str">
        <f>VLOOKUP(C:C,'LListat referències'!A:B,2,FALSE)</f>
        <v>Tapa 200 mónaco</v>
      </c>
      <c r="E460" s="18" t="str">
        <f>VLOOKUP(C:C,'LListat referències'!A:D,4,FALSE)</f>
        <v>#29</v>
      </c>
      <c r="F460" s="49">
        <f>VLOOKUP(C:C,'LListat referències'!A:E,5,FALSE)</f>
        <v>39.72</v>
      </c>
      <c r="G460" s="49">
        <v>55.8</v>
      </c>
      <c r="H460" s="49">
        <v>4</v>
      </c>
      <c r="I460" s="75">
        <f>Tabla1[[#This Row],[Cant. Fabricada (uds)]]/Tabla1[[#This Row],[Cavidades]]*Tabla1[[#This Row],[Tiempo Ciclo]]/60/60</f>
        <v>4.3361249999999991</v>
      </c>
      <c r="J460" s="1" t="s">
        <v>975</v>
      </c>
      <c r="K460" s="25"/>
      <c r="L460" s="25">
        <v>504</v>
      </c>
      <c r="M460" s="25">
        <v>1134</v>
      </c>
      <c r="N460" s="25">
        <v>1623</v>
      </c>
      <c r="O460" s="20">
        <v>29</v>
      </c>
      <c r="P460" s="1">
        <f>Tabla1[[#This Row],[Noche]]-Tabla1[[#This Row],[Mañana ]]</f>
        <v>1119</v>
      </c>
      <c r="Q460" s="58"/>
      <c r="R460" s="21">
        <f t="shared" si="10"/>
        <v>0</v>
      </c>
      <c r="S460" s="22">
        <f>Tabla1[[#This Row],[Merma Salas A &amp; B2]]*1000/Tabla1[[#This Row],[Peso gr.]]</f>
        <v>0</v>
      </c>
      <c r="T460" s="52">
        <v>50</v>
      </c>
      <c r="U460" s="24">
        <f>Tabla1[[#This Row],[Total piezas NOK]]/Tabla1[[#This Row],[Cant. Fabricada (uds)]]</f>
        <v>0</v>
      </c>
      <c r="V460" s="19" t="s">
        <v>977</v>
      </c>
    </row>
    <row r="461" spans="1:22" x14ac:dyDescent="0.3">
      <c r="A461" s="43">
        <v>44568</v>
      </c>
      <c r="B461" s="20" t="s">
        <v>974</v>
      </c>
      <c r="C461" s="20">
        <v>1808</v>
      </c>
      <c r="D461" s="13" t="str">
        <f>VLOOKUP(C:C,'LListat referències'!A:B,2,FALSE)</f>
        <v>Tapa 200 mónaco</v>
      </c>
      <c r="E461" s="18" t="str">
        <f>VLOOKUP(C:C,'LListat referències'!A:D,4,FALSE)</f>
        <v>#29</v>
      </c>
      <c r="F461" s="49">
        <f>VLOOKUP(C:C,'LListat referències'!A:E,5,FALSE)</f>
        <v>39.72</v>
      </c>
      <c r="G461" s="49">
        <v>55.8</v>
      </c>
      <c r="H461" s="49">
        <v>4</v>
      </c>
      <c r="I461" s="75">
        <f>Tabla1[[#This Row],[Cant. Fabricada (uds)]]/Tabla1[[#This Row],[Cavidades]]*Tabla1[[#This Row],[Tiempo Ciclo]]/60/60</f>
        <v>10.729874999999998</v>
      </c>
      <c r="J461" s="1" t="s">
        <v>975</v>
      </c>
      <c r="K461" s="25"/>
      <c r="L461" s="25">
        <v>2748</v>
      </c>
      <c r="M461" s="25">
        <v>4251</v>
      </c>
      <c r="N461" s="25">
        <v>5517</v>
      </c>
      <c r="O461" s="20">
        <v>29</v>
      </c>
      <c r="P461" s="1">
        <f>Tabla1[[#This Row],[Noche]]-Tabla1[[#This Row],[Mañana ]]</f>
        <v>2769</v>
      </c>
      <c r="Q461" s="58">
        <v>5</v>
      </c>
      <c r="R461" s="21">
        <f t="shared" si="10"/>
        <v>5</v>
      </c>
      <c r="S461" s="22">
        <f>Tabla1[[#This Row],[Merma Salas A &amp; B2]]*1000/Tabla1[[#This Row],[Peso gr.]]</f>
        <v>125.88116817724068</v>
      </c>
      <c r="T461" s="52">
        <v>10</v>
      </c>
      <c r="U461" s="24">
        <f>Tabla1[[#This Row],[Total piezas NOK]]/Tabla1[[#This Row],[Cant. Fabricada (uds)]]</f>
        <v>4.5460876914857597E-2</v>
      </c>
    </row>
    <row r="462" spans="1:22" x14ac:dyDescent="0.3">
      <c r="A462" s="43">
        <v>44571</v>
      </c>
      <c r="B462" s="20" t="s">
        <v>974</v>
      </c>
      <c r="C462" s="20">
        <v>1808</v>
      </c>
      <c r="D462" s="13" t="str">
        <f>VLOOKUP(C:C,'LListat referències'!A:B,2,FALSE)</f>
        <v>Tapa 200 mónaco</v>
      </c>
      <c r="E462" s="18" t="str">
        <f>VLOOKUP(C:C,'LListat referències'!A:D,4,FALSE)</f>
        <v>#29</v>
      </c>
      <c r="F462" s="49">
        <f>VLOOKUP(C:C,'LListat referències'!A:E,5,FALSE)</f>
        <v>39.72</v>
      </c>
      <c r="G462" s="49">
        <v>55.8</v>
      </c>
      <c r="H462" s="49">
        <v>4</v>
      </c>
      <c r="I462" s="75">
        <f>Tabla1[[#This Row],[Cant. Fabricada (uds)]]/Tabla1[[#This Row],[Cavidades]]*Tabla1[[#This Row],[Tiempo Ciclo]]/60/60</f>
        <v>10.16025</v>
      </c>
      <c r="J462" s="1" t="s">
        <v>975</v>
      </c>
      <c r="K462" s="25"/>
      <c r="L462" s="25">
        <v>6846</v>
      </c>
      <c r="M462" s="25">
        <v>8235</v>
      </c>
      <c r="N462" s="25">
        <v>9468</v>
      </c>
      <c r="O462" s="20">
        <v>29</v>
      </c>
      <c r="P462" s="1">
        <f>Tabla1[[#This Row],[Noche]]-Tabla1[[#This Row],[Mañana ]]</f>
        <v>2622</v>
      </c>
      <c r="Q462" s="58">
        <v>5</v>
      </c>
      <c r="R462" s="21">
        <f t="shared" si="10"/>
        <v>5</v>
      </c>
      <c r="S462" s="22">
        <f>Tabla1[[#This Row],[Merma Salas A &amp; B2]]*1000/Tabla1[[#This Row],[Peso gr.]]</f>
        <v>125.88116817724068</v>
      </c>
      <c r="T462" s="52">
        <v>15</v>
      </c>
      <c r="U462" s="24">
        <f>Tabla1[[#This Row],[Total piezas NOK]]/Tabla1[[#This Row],[Cant. Fabricada (uds)]]</f>
        <v>4.8009598847155104E-2</v>
      </c>
    </row>
    <row r="463" spans="1:22" x14ac:dyDescent="0.3">
      <c r="A463" s="43">
        <v>44546</v>
      </c>
      <c r="B463" s="20" t="s">
        <v>913</v>
      </c>
      <c r="C463" s="20">
        <v>1936</v>
      </c>
      <c r="D463" s="13" t="str">
        <f>VLOOKUP(C:C,'LListat referències'!A:B,2,FALSE)</f>
        <v>Cubilet 200 ml.</v>
      </c>
      <c r="E463" s="18" t="str">
        <f>VLOOKUP(C:C,'LListat referències'!A:D,4,FALSE)</f>
        <v/>
      </c>
      <c r="F463" s="49">
        <f>VLOOKUP(C:C,'LListat referències'!A:E,5,FALSE)</f>
        <v>14.18</v>
      </c>
      <c r="G463" s="49">
        <v>26.58</v>
      </c>
      <c r="H463" s="49">
        <v>2</v>
      </c>
      <c r="I463" s="75">
        <f>Tabla1[[#This Row],[Cant. Fabricada (uds)]]/Tabla1[[#This Row],[Cavidades]]*Tabla1[[#This Row],[Tiempo Ciclo]]/60/60</f>
        <v>15.852016666666664</v>
      </c>
      <c r="J463" s="1" t="s">
        <v>797</v>
      </c>
      <c r="K463" s="25"/>
      <c r="L463" s="25">
        <v>17882</v>
      </c>
      <c r="M463" s="25">
        <v>19938</v>
      </c>
      <c r="N463" s="25">
        <v>22176</v>
      </c>
      <c r="O463" s="20">
        <v>17</v>
      </c>
      <c r="P463" s="1">
        <f>Tabla1[[#This Row],[Noche]]-Tabla1[[#This Row],[Mañana ]]</f>
        <v>4294</v>
      </c>
      <c r="Q463" s="58"/>
      <c r="R463" s="21">
        <f t="shared" si="10"/>
        <v>0</v>
      </c>
      <c r="S463" s="22">
        <f>Tabla1[[#This Row],[Merma Salas A &amp; B2]]*1000/Tabla1[[#This Row],[Peso gr.]]</f>
        <v>0</v>
      </c>
      <c r="T463" s="52"/>
      <c r="U463" s="24">
        <f>Tabla1[[#This Row],[Total piezas NOK]]/Tabla1[[#This Row],[Cant. Fabricada (uds)]]</f>
        <v>0</v>
      </c>
    </row>
    <row r="464" spans="1:22" x14ac:dyDescent="0.3">
      <c r="A464" s="43">
        <v>44547</v>
      </c>
      <c r="B464" s="20" t="s">
        <v>913</v>
      </c>
      <c r="C464" s="20">
        <v>1936</v>
      </c>
      <c r="D464" s="13" t="str">
        <f>VLOOKUP(C:C,'LListat referències'!A:B,2,FALSE)</f>
        <v>Cubilet 200 ml.</v>
      </c>
      <c r="E464" s="18" t="str">
        <f>VLOOKUP(C:C,'LListat referències'!A:D,4,FALSE)</f>
        <v/>
      </c>
      <c r="F464" s="49">
        <f>VLOOKUP(C:C,'LListat referències'!A:E,5,FALSE)</f>
        <v>14.18</v>
      </c>
      <c r="G464" s="49">
        <v>26.58</v>
      </c>
      <c r="H464" s="49">
        <v>2</v>
      </c>
      <c r="I464" s="75">
        <f>Tabla1[[#This Row],[Cant. Fabricada (uds)]]/Tabla1[[#This Row],[Cavidades]]*Tabla1[[#This Row],[Tiempo Ciclo]]/60/60</f>
        <v>2.2297666666666669</v>
      </c>
      <c r="J464" s="1" t="s">
        <v>797</v>
      </c>
      <c r="K464" s="25"/>
      <c r="L464" s="25">
        <v>22176</v>
      </c>
      <c r="M464" s="25"/>
      <c r="N464" s="25">
        <v>22780</v>
      </c>
      <c r="O464" s="20">
        <v>17</v>
      </c>
      <c r="P464" s="1">
        <f>Tabla1[[#This Row],[Noche]]-Tabla1[[#This Row],[Mañana ]]</f>
        <v>604</v>
      </c>
      <c r="Q464" s="58"/>
      <c r="R464" s="21">
        <f t="shared" si="10"/>
        <v>0</v>
      </c>
      <c r="S464" s="22">
        <f>Tabla1[[#This Row],[Merma Salas A &amp; B2]]*1000/Tabla1[[#This Row],[Peso gr.]]</f>
        <v>0</v>
      </c>
      <c r="T464" s="52"/>
      <c r="U464" s="24">
        <f>Tabla1[[#This Row],[Total piezas NOK]]/Tabla1[[#This Row],[Cant. Fabricada (uds)]]</f>
        <v>0</v>
      </c>
    </row>
    <row r="465" spans="1:21" x14ac:dyDescent="0.3">
      <c r="A465" s="43">
        <v>44550</v>
      </c>
      <c r="B465" s="20" t="s">
        <v>935</v>
      </c>
      <c r="C465" s="20">
        <v>1715</v>
      </c>
      <c r="D465" s="13" t="str">
        <f>VLOOKUP(C:C,'LListat referències'!A:B,2,FALSE)</f>
        <v>Cubilet 150ml</v>
      </c>
      <c r="E465" s="18" t="str">
        <f>VLOOKUP(C:C,'LListat referències'!A:D,4,FALSE)</f>
        <v/>
      </c>
      <c r="F465" s="49">
        <f>VLOOKUP(C:C,'LListat referències'!A:E,5,FALSE)</f>
        <v>14.18</v>
      </c>
      <c r="G465" s="49">
        <v>24.28</v>
      </c>
      <c r="H465" s="49">
        <v>2</v>
      </c>
      <c r="I465" s="75">
        <f>Tabla1[[#This Row],[Cant. Fabricada (uds)]]/Tabla1[[#This Row],[Cavidades]]*Tabla1[[#This Row],[Tiempo Ciclo]]/60/60</f>
        <v>8.1944999999999997</v>
      </c>
      <c r="J465" s="1" t="s">
        <v>797</v>
      </c>
      <c r="K465" s="25"/>
      <c r="L465" s="25">
        <v>0</v>
      </c>
      <c r="M465" s="25"/>
      <c r="N465" s="25">
        <v>2430</v>
      </c>
      <c r="O465" s="20">
        <v>17</v>
      </c>
      <c r="P465" s="1">
        <f>Tabla1[[#This Row],[Noche]]-Tabla1[[#This Row],[Mañana ]]</f>
        <v>2430</v>
      </c>
      <c r="Q465" s="58"/>
      <c r="R465" s="21">
        <f t="shared" si="10"/>
        <v>0</v>
      </c>
      <c r="S465" s="22">
        <f>Tabla1[[#This Row],[Merma Salas A &amp; B2]]*1000/Tabla1[[#This Row],[Peso gr.]]</f>
        <v>0</v>
      </c>
      <c r="T465" s="52"/>
      <c r="U465" s="24">
        <f>Tabla1[[#This Row],[Total piezas NOK]]/Tabla1[[#This Row],[Cant. Fabricada (uds)]]</f>
        <v>0</v>
      </c>
    </row>
    <row r="466" spans="1:21" x14ac:dyDescent="0.3">
      <c r="A466" s="43">
        <v>44551</v>
      </c>
      <c r="B466" s="20" t="s">
        <v>935</v>
      </c>
      <c r="C466" s="20">
        <v>1715</v>
      </c>
      <c r="D466" s="13" t="str">
        <f>VLOOKUP(C:C,'LListat referències'!A:B,2,FALSE)</f>
        <v>Cubilet 150ml</v>
      </c>
      <c r="E466" s="18" t="str">
        <f>VLOOKUP(C:C,'LListat referències'!A:D,4,FALSE)</f>
        <v/>
      </c>
      <c r="F466" s="49">
        <f>VLOOKUP(C:C,'LListat referències'!A:E,5,FALSE)</f>
        <v>14.18</v>
      </c>
      <c r="G466" s="49">
        <v>24.28</v>
      </c>
      <c r="H466" s="49">
        <v>2</v>
      </c>
      <c r="I466" s="75">
        <f>Tabla1[[#This Row],[Cant. Fabricada (uds)]]/Tabla1[[#This Row],[Cavidades]]*Tabla1[[#This Row],[Tiempo Ciclo]]/60/60</f>
        <v>1.1330666666666667</v>
      </c>
      <c r="J466" s="1" t="s">
        <v>797</v>
      </c>
      <c r="K466" s="25"/>
      <c r="L466" s="25">
        <v>4682</v>
      </c>
      <c r="M466" s="25"/>
      <c r="N466" s="25">
        <v>5018</v>
      </c>
      <c r="O466" s="20">
        <v>17</v>
      </c>
      <c r="P466" s="1">
        <f>Tabla1[[#This Row],[Noche]]-Tabla1[[#This Row],[Mañana ]]</f>
        <v>336</v>
      </c>
      <c r="Q466" s="58"/>
      <c r="R466" s="21">
        <f t="shared" si="10"/>
        <v>0</v>
      </c>
      <c r="S466" s="22">
        <f>Tabla1[[#This Row],[Merma Salas A &amp; B2]]*1000/Tabla1[[#This Row],[Peso gr.]]</f>
        <v>0</v>
      </c>
      <c r="T466" s="52"/>
      <c r="U466" s="24">
        <f>Tabla1[[#This Row],[Total piezas NOK]]/Tabla1[[#This Row],[Cant. Fabricada (uds)]]</f>
        <v>0</v>
      </c>
    </row>
    <row r="467" spans="1:21" x14ac:dyDescent="0.3">
      <c r="A467" s="43">
        <v>44574</v>
      </c>
      <c r="B467" s="20" t="s">
        <v>877</v>
      </c>
      <c r="C467" s="20">
        <v>1810</v>
      </c>
      <c r="D467" s="13" t="str">
        <f>VLOOKUP(C:C,'LListat referències'!A:B,2,FALSE)</f>
        <v>Cubilet 200ml mónaco</v>
      </c>
      <c r="E467" s="18" t="str">
        <f>VLOOKUP(C:C,'LListat referències'!A:D,4,FALSE)</f>
        <v/>
      </c>
      <c r="F467" s="49">
        <f>VLOOKUP(C:C,'LListat referències'!A:E,5,FALSE)</f>
        <v>5.86</v>
      </c>
      <c r="G467" s="49">
        <v>24.3</v>
      </c>
      <c r="H467" s="49">
        <v>2</v>
      </c>
      <c r="I467" s="75">
        <f>Tabla1[[#This Row],[Cant. Fabricada (uds)]]/Tabla1[[#This Row],[Cavidades]]*Tabla1[[#This Row],[Tiempo Ciclo]]/60/60</f>
        <v>15.963750000000001</v>
      </c>
      <c r="J467" s="1" t="s">
        <v>797</v>
      </c>
      <c r="K467" s="25"/>
      <c r="L467" s="25">
        <v>2208</v>
      </c>
      <c r="M467" s="25">
        <v>4566</v>
      </c>
      <c r="N467" s="25">
        <v>6938</v>
      </c>
      <c r="O467" s="20">
        <v>17</v>
      </c>
      <c r="P467" s="1">
        <f>Tabla1[[#This Row],[Noche]]-Tabla1[[#This Row],[Mañana ]]</f>
        <v>4730</v>
      </c>
      <c r="Q467" s="58"/>
      <c r="R467" s="21">
        <f t="shared" si="10"/>
        <v>0</v>
      </c>
      <c r="S467" s="22">
        <f>Tabla1[[#This Row],[Merma Salas A &amp; B2]]*1000/Tabla1[[#This Row],[Peso gr.]]</f>
        <v>0</v>
      </c>
      <c r="T467" s="52"/>
      <c r="U467" s="24">
        <f>Tabla1[[#This Row],[Total piezas NOK]]/Tabla1[[#This Row],[Cant. Fabricada (uds)]]</f>
        <v>0</v>
      </c>
    </row>
    <row r="468" spans="1:21" x14ac:dyDescent="0.3">
      <c r="A468" s="43">
        <v>44575</v>
      </c>
      <c r="B468" s="20" t="s">
        <v>877</v>
      </c>
      <c r="C468" s="20">
        <v>1810</v>
      </c>
      <c r="D468" s="13" t="str">
        <f>VLOOKUP(C:C,'LListat referències'!A:B,2,FALSE)</f>
        <v>Cubilet 200ml mónaco</v>
      </c>
      <c r="E468" s="18" t="str">
        <f>VLOOKUP(C:C,'LListat referències'!A:D,4,FALSE)</f>
        <v/>
      </c>
      <c r="F468" s="49">
        <f>VLOOKUP(C:C,'LListat referències'!A:E,5,FALSE)</f>
        <v>5.86</v>
      </c>
      <c r="G468" s="49">
        <v>24.3</v>
      </c>
      <c r="H468" s="49">
        <v>2</v>
      </c>
      <c r="I468" s="75">
        <f>Tabla1[[#This Row],[Cant. Fabricada (uds)]]/Tabla1[[#This Row],[Cavidades]]*Tabla1[[#This Row],[Tiempo Ciclo]]/60/60</f>
        <v>14.829749999999999</v>
      </c>
      <c r="J468" s="1" t="s">
        <v>797</v>
      </c>
      <c r="K468" s="25"/>
      <c r="L468" s="25">
        <v>9366</v>
      </c>
      <c r="M468" s="25">
        <v>11632</v>
      </c>
      <c r="N468" s="25">
        <v>13760</v>
      </c>
      <c r="O468" s="20">
        <v>17</v>
      </c>
      <c r="P468" s="1">
        <f>Tabla1[[#This Row],[Noche]]-Tabla1[[#This Row],[Mañana ]]</f>
        <v>4394</v>
      </c>
      <c r="Q468" s="58"/>
      <c r="R468" s="21">
        <f t="shared" si="10"/>
        <v>0</v>
      </c>
      <c r="S468" s="22">
        <f>Tabla1[[#This Row],[Merma Salas A &amp; B2]]*1000/Tabla1[[#This Row],[Peso gr.]]</f>
        <v>0</v>
      </c>
      <c r="T468" s="52"/>
      <c r="U468" s="24">
        <f>Tabla1[[#This Row],[Total piezas NOK]]/Tabla1[[#This Row],[Cant. Fabricada (uds)]]</f>
        <v>0</v>
      </c>
    </row>
    <row r="469" spans="1:21" x14ac:dyDescent="0.3">
      <c r="A469" s="43">
        <v>44578</v>
      </c>
      <c r="B469" s="20" t="s">
        <v>877</v>
      </c>
      <c r="C469" s="20">
        <v>1810</v>
      </c>
      <c r="D469" s="13" t="str">
        <f>VLOOKUP(C:C,'LListat referències'!A:B,2,FALSE)</f>
        <v>Cubilet 200ml mónaco</v>
      </c>
      <c r="E469" s="18" t="str">
        <f>VLOOKUP(C:C,'LListat referències'!A:D,4,FALSE)</f>
        <v/>
      </c>
      <c r="F469" s="49">
        <f>VLOOKUP(C:C,'LListat referències'!A:E,5,FALSE)</f>
        <v>5.86</v>
      </c>
      <c r="G469" s="49">
        <v>24.3</v>
      </c>
      <c r="H469" s="49">
        <v>2</v>
      </c>
      <c r="I469" s="75">
        <f>Tabla1[[#This Row],[Cant. Fabricada (uds)]]/Tabla1[[#This Row],[Cavidades]]*Tabla1[[#This Row],[Tiempo Ciclo]]/60/60</f>
        <v>11.879999999999999</v>
      </c>
      <c r="J469" s="1" t="s">
        <v>797</v>
      </c>
      <c r="K469" s="25"/>
      <c r="L469" s="25">
        <v>15790</v>
      </c>
      <c r="M469" s="25">
        <v>18010</v>
      </c>
      <c r="N469" s="25">
        <v>19310</v>
      </c>
      <c r="O469" s="20">
        <v>17</v>
      </c>
      <c r="P469" s="1">
        <f>Tabla1[[#This Row],[Noche]]-Tabla1[[#This Row],[Mañana ]]</f>
        <v>3520</v>
      </c>
      <c r="Q469" s="58"/>
      <c r="R469" s="21">
        <f t="shared" si="10"/>
        <v>0</v>
      </c>
      <c r="S469" s="22">
        <f>Tabla1[[#This Row],[Merma Salas A &amp; B2]]*1000/Tabla1[[#This Row],[Peso gr.]]</f>
        <v>0</v>
      </c>
      <c r="T469" s="52"/>
      <c r="U469" s="24">
        <f>Tabla1[[#This Row],[Total piezas NOK]]/Tabla1[[#This Row],[Cant. Fabricada (uds)]]</f>
        <v>0</v>
      </c>
    </row>
    <row r="470" spans="1:21" x14ac:dyDescent="0.3">
      <c r="A470" s="43">
        <v>44550</v>
      </c>
      <c r="B470" s="20" t="s">
        <v>956</v>
      </c>
      <c r="C470" s="20">
        <v>1567</v>
      </c>
      <c r="D470" s="13" t="str">
        <f>VLOOKUP(C:C,'LListat referències'!A:B,2,FALSE)</f>
        <v>Interior tapa 50 ml Standard</v>
      </c>
      <c r="E470" s="18" t="str">
        <f>VLOOKUP(C:C,'LListat referències'!A:D,4,FALSE)</f>
        <v/>
      </c>
      <c r="F470" s="49">
        <f>VLOOKUP(C:C,'LListat referències'!A:E,5,FALSE)</f>
        <v>5.8</v>
      </c>
      <c r="G470" s="49">
        <v>29.64</v>
      </c>
      <c r="H470" s="49">
        <v>4</v>
      </c>
      <c r="I470" s="75">
        <f>Tabla1[[#This Row],[Cant. Fabricada (uds)]]/Tabla1[[#This Row],[Cavidades]]*Tabla1[[#This Row],[Tiempo Ciclo]]/60/60</f>
        <v>16.096166666666669</v>
      </c>
      <c r="J470" s="1" t="s">
        <v>797</v>
      </c>
      <c r="K470" s="25"/>
      <c r="L470" s="25">
        <v>2280</v>
      </c>
      <c r="M470" s="25">
        <v>6228</v>
      </c>
      <c r="N470" s="25">
        <v>10100</v>
      </c>
      <c r="O470" s="20">
        <v>24</v>
      </c>
      <c r="P470" s="1">
        <f>Tabla1[[#This Row],[Noche]]-Tabla1[[#This Row],[Mañana ]]</f>
        <v>7820</v>
      </c>
      <c r="Q470" s="58"/>
      <c r="R470" s="21">
        <f t="shared" si="10"/>
        <v>0</v>
      </c>
      <c r="S470" s="22">
        <f>Tabla1[[#This Row],[Merma Salas A &amp; B2]]*1000/Tabla1[[#This Row],[Peso gr.]]</f>
        <v>0</v>
      </c>
      <c r="T470" s="52"/>
      <c r="U470" s="24">
        <f>Tabla1[[#This Row],[Total piezas NOK]]/Tabla1[[#This Row],[Cant. Fabricada (uds)]]</f>
        <v>0</v>
      </c>
    </row>
    <row r="471" spans="1:21" x14ac:dyDescent="0.3">
      <c r="A471" s="43">
        <v>44551</v>
      </c>
      <c r="B471" s="20" t="s">
        <v>956</v>
      </c>
      <c r="C471" s="20">
        <v>1567</v>
      </c>
      <c r="D471" s="13" t="str">
        <f>VLOOKUP(C:C,'LListat referències'!A:B,2,FALSE)</f>
        <v>Interior tapa 50 ml Standard</v>
      </c>
      <c r="E471" s="18" t="str">
        <f>VLOOKUP(C:C,'LListat referències'!A:D,4,FALSE)</f>
        <v/>
      </c>
      <c r="F471" s="49">
        <f>VLOOKUP(C:C,'LListat referències'!A:E,5,FALSE)</f>
        <v>5.8</v>
      </c>
      <c r="G471" s="49">
        <v>29.64</v>
      </c>
      <c r="H471" s="49">
        <v>4</v>
      </c>
      <c r="I471" s="75">
        <f>Tabla1[[#This Row],[Cant. Fabricada (uds)]]/Tabla1[[#This Row],[Cavidades]]*Tabla1[[#This Row],[Tiempo Ciclo]]/60/60</f>
        <v>1.0044666666666666</v>
      </c>
      <c r="J471" s="1" t="s">
        <v>797</v>
      </c>
      <c r="K471" s="25"/>
      <c r="L471" s="25">
        <v>13664</v>
      </c>
      <c r="M471" s="25">
        <v>14152</v>
      </c>
      <c r="N471" s="25">
        <v>14152</v>
      </c>
      <c r="O471" s="20">
        <v>24</v>
      </c>
      <c r="P471" s="1">
        <f>Tabla1[[#This Row],[Noche]]-Tabla1[[#This Row],[Mañana ]]</f>
        <v>488</v>
      </c>
      <c r="Q471" s="58"/>
      <c r="R471" s="21">
        <f t="shared" si="10"/>
        <v>0</v>
      </c>
      <c r="S471" s="22">
        <f>Tabla1[[#This Row],[Merma Salas A &amp; B2]]*1000/Tabla1[[#This Row],[Peso gr.]]</f>
        <v>0</v>
      </c>
      <c r="T471" s="52"/>
      <c r="U471" s="24">
        <f>Tabla1[[#This Row],[Total piezas NOK]]/Tabla1[[#This Row],[Cant. Fabricada (uds)]]</f>
        <v>0</v>
      </c>
    </row>
    <row r="472" spans="1:21" x14ac:dyDescent="0.3">
      <c r="A472" s="43">
        <v>44551</v>
      </c>
      <c r="B472" s="20" t="s">
        <v>978</v>
      </c>
      <c r="C472" s="20">
        <v>1567</v>
      </c>
      <c r="D472" s="13" t="str">
        <f>VLOOKUP(C:C,'LListat referències'!A:B,2,FALSE)</f>
        <v>Interior tapa 50 ml Standard</v>
      </c>
      <c r="E472" s="18" t="str">
        <f>VLOOKUP(C:C,'LListat referències'!A:D,4,FALSE)</f>
        <v/>
      </c>
      <c r="F472" s="49">
        <f>VLOOKUP(C:C,'LListat referències'!A:E,5,FALSE)</f>
        <v>5.8</v>
      </c>
      <c r="G472" s="49">
        <v>29.64</v>
      </c>
      <c r="H472" s="49">
        <v>4</v>
      </c>
      <c r="I472" s="75">
        <f>Tabla1[[#This Row],[Cant. Fabricada (uds)]]/Tabla1[[#This Row],[Cavidades]]*Tabla1[[#This Row],[Tiempo Ciclo]]/60/60</f>
        <v>14.976433333333334</v>
      </c>
      <c r="J472" s="1" t="s">
        <v>797</v>
      </c>
      <c r="K472" s="25"/>
      <c r="L472" s="25">
        <v>0</v>
      </c>
      <c r="M472" s="25">
        <v>3096</v>
      </c>
      <c r="N472" s="25">
        <v>7276</v>
      </c>
      <c r="O472" s="20">
        <v>24</v>
      </c>
      <c r="P472" s="1">
        <f>Tabla1[[#This Row],[Noche]]-Tabla1[[#This Row],[Mañana ]]</f>
        <v>7276</v>
      </c>
      <c r="Q472" s="58"/>
      <c r="R472" s="21">
        <f t="shared" si="10"/>
        <v>0</v>
      </c>
      <c r="S472" s="22">
        <f>Tabla1[[#This Row],[Merma Salas A &amp; B2]]*1000/Tabla1[[#This Row],[Peso gr.]]</f>
        <v>0</v>
      </c>
      <c r="T472" s="52"/>
      <c r="U472" s="24">
        <f>Tabla1[[#This Row],[Total piezas NOK]]/Tabla1[[#This Row],[Cant. Fabricada (uds)]]</f>
        <v>0</v>
      </c>
    </row>
    <row r="473" spans="1:21" x14ac:dyDescent="0.3">
      <c r="A473" s="43">
        <v>44552</v>
      </c>
      <c r="B473" s="20" t="s">
        <v>978</v>
      </c>
      <c r="C473" s="20">
        <v>1567</v>
      </c>
      <c r="D473" s="13" t="str">
        <f>VLOOKUP(C:C,'LListat referències'!A:B,2,FALSE)</f>
        <v>Interior tapa 50 ml Standard</v>
      </c>
      <c r="E473" s="18" t="str">
        <f>VLOOKUP(C:C,'LListat referències'!A:D,4,FALSE)</f>
        <v/>
      </c>
      <c r="F473" s="49">
        <f>VLOOKUP(C:C,'LListat referències'!A:E,5,FALSE)</f>
        <v>5.8</v>
      </c>
      <c r="G473" s="49">
        <v>29.64</v>
      </c>
      <c r="H473" s="49">
        <v>4</v>
      </c>
      <c r="I473" s="75">
        <f>Tabla1[[#This Row],[Cant. Fabricada (uds)]]/Tabla1[[#This Row],[Cavidades]]*Tabla1[[#This Row],[Tiempo Ciclo]]/60/60</f>
        <v>2.7581666666666664</v>
      </c>
      <c r="J473" s="1" t="s">
        <v>797</v>
      </c>
      <c r="K473" s="25"/>
      <c r="L473" s="25">
        <v>11152</v>
      </c>
      <c r="M473" s="25">
        <v>12492</v>
      </c>
      <c r="N473" s="25">
        <v>12492</v>
      </c>
      <c r="O473" s="20">
        <v>24</v>
      </c>
      <c r="P473" s="1">
        <f>Tabla1[[#This Row],[Noche]]-Tabla1[[#This Row],[Mañana ]]</f>
        <v>1340</v>
      </c>
      <c r="Q473" s="58"/>
      <c r="R473" s="21">
        <f t="shared" si="10"/>
        <v>0</v>
      </c>
      <c r="S473" s="22">
        <f>Tabla1[[#This Row],[Merma Salas A &amp; B2]]*1000/Tabla1[[#This Row],[Peso gr.]]</f>
        <v>0</v>
      </c>
      <c r="T473" s="52"/>
      <c r="U473" s="24">
        <f>Tabla1[[#This Row],[Total piezas NOK]]/Tabla1[[#This Row],[Cant. Fabricada (uds)]]</f>
        <v>0</v>
      </c>
    </row>
    <row r="474" spans="1:21" x14ac:dyDescent="0.3">
      <c r="A474" s="43">
        <v>44564</v>
      </c>
      <c r="B474" s="20" t="s">
        <v>979</v>
      </c>
      <c r="C474" s="20">
        <v>1567</v>
      </c>
      <c r="D474" s="13" t="str">
        <f>VLOOKUP(C:C,'LListat referències'!A:B,2,FALSE)</f>
        <v>Interior tapa 50 ml Standard</v>
      </c>
      <c r="E474" s="18" t="str">
        <f>VLOOKUP(C:C,'LListat referències'!A:D,4,FALSE)</f>
        <v/>
      </c>
      <c r="F474" s="49">
        <f>VLOOKUP(C:C,'LListat referències'!A:E,5,FALSE)</f>
        <v>5.8</v>
      </c>
      <c r="G474" s="49">
        <v>29.64</v>
      </c>
      <c r="H474" s="49">
        <v>4</v>
      </c>
      <c r="I474" s="75">
        <f>Tabla1[[#This Row],[Cant. Fabricada (uds)]]/Tabla1[[#This Row],[Cavidades]]*Tabla1[[#This Row],[Tiempo Ciclo]]/60/60</f>
        <v>15.149333333333333</v>
      </c>
      <c r="J474" s="1" t="s">
        <v>797</v>
      </c>
      <c r="K474" s="25"/>
      <c r="L474" s="25">
        <v>2280</v>
      </c>
      <c r="M474" s="25">
        <v>5768</v>
      </c>
      <c r="N474" s="25">
        <v>9640</v>
      </c>
      <c r="O474" s="20">
        <v>24</v>
      </c>
      <c r="P474" s="1">
        <f>Tabla1[[#This Row],[Noche]]-Tabla1[[#This Row],[Mañana ]]</f>
        <v>7360</v>
      </c>
      <c r="Q474" s="58"/>
      <c r="R474" s="21">
        <f t="shared" si="10"/>
        <v>0</v>
      </c>
      <c r="S474" s="22">
        <f>Tabla1[[#This Row],[Merma Salas A &amp; B2]]*1000/Tabla1[[#This Row],[Peso gr.]]</f>
        <v>0</v>
      </c>
      <c r="T474" s="52"/>
      <c r="U474" s="24">
        <f>Tabla1[[#This Row],[Total piezas NOK]]/Tabla1[[#This Row],[Cant. Fabricada (uds)]]</f>
        <v>0</v>
      </c>
    </row>
    <row r="475" spans="1:21" x14ac:dyDescent="0.3">
      <c r="A475" s="43">
        <v>44565</v>
      </c>
      <c r="B475" s="20" t="s">
        <v>979</v>
      </c>
      <c r="C475" s="20">
        <v>1567</v>
      </c>
      <c r="D475" s="13" t="str">
        <f>VLOOKUP(C:C,'LListat referències'!A:B,2,FALSE)</f>
        <v>Interior tapa 50 ml Standard</v>
      </c>
      <c r="E475" s="18" t="str">
        <f>VLOOKUP(C:C,'LListat referències'!A:D,4,FALSE)</f>
        <v/>
      </c>
      <c r="F475" s="49">
        <f>VLOOKUP(C:C,'LListat referències'!A:E,5,FALSE)</f>
        <v>5.8</v>
      </c>
      <c r="G475" s="49">
        <v>29.64</v>
      </c>
      <c r="H475" s="49">
        <v>4</v>
      </c>
      <c r="I475" s="75">
        <f>Tabla1[[#This Row],[Cant. Fabricada (uds)]]/Tabla1[[#This Row],[Cavidades]]*Tabla1[[#This Row],[Tiempo Ciclo]]/60/60</f>
        <v>12.9428</v>
      </c>
      <c r="J475" s="1" t="s">
        <v>797</v>
      </c>
      <c r="K475" s="25"/>
      <c r="L475" s="25">
        <v>13992</v>
      </c>
      <c r="M475" s="25">
        <v>16548</v>
      </c>
      <c r="N475" s="25">
        <v>20280</v>
      </c>
      <c r="O475" s="20">
        <v>24</v>
      </c>
      <c r="P475" s="1">
        <f>Tabla1[[#This Row],[Noche]]-Tabla1[[#This Row],[Mañana ]]</f>
        <v>6288</v>
      </c>
      <c r="Q475" s="58"/>
      <c r="R475" s="21">
        <f t="shared" si="10"/>
        <v>0</v>
      </c>
      <c r="S475" s="22">
        <f>Tabla1[[#This Row],[Merma Salas A &amp; B2]]*1000/Tabla1[[#This Row],[Peso gr.]]</f>
        <v>0</v>
      </c>
      <c r="T475" s="52"/>
      <c r="U475" s="24">
        <f>Tabla1[[#This Row],[Total piezas NOK]]/Tabla1[[#This Row],[Cant. Fabricada (uds)]]</f>
        <v>0</v>
      </c>
    </row>
    <row r="476" spans="1:21" x14ac:dyDescent="0.3">
      <c r="A476" s="43">
        <v>44566</v>
      </c>
      <c r="B476" s="20" t="s">
        <v>979</v>
      </c>
      <c r="C476" s="20">
        <v>1567</v>
      </c>
      <c r="D476" s="13" t="str">
        <f>VLOOKUP(C:C,'LListat referències'!A:B,2,FALSE)</f>
        <v>Interior tapa 50 ml Standard</v>
      </c>
      <c r="E476" s="18" t="str">
        <f>VLOOKUP(C:C,'LListat referències'!A:D,4,FALSE)</f>
        <v/>
      </c>
      <c r="F476" s="49">
        <f>VLOOKUP(C:C,'LListat referències'!A:E,5,FALSE)</f>
        <v>5.8</v>
      </c>
      <c r="G476" s="49">
        <v>29.64</v>
      </c>
      <c r="H476" s="49">
        <v>4</v>
      </c>
      <c r="I476" s="75">
        <f>Tabla1[[#This Row],[Cant. Fabricada (uds)]]/Tabla1[[#This Row],[Cavidades]]*Tabla1[[#This Row],[Tiempo Ciclo]]/60/60</f>
        <v>6.2820333333333327</v>
      </c>
      <c r="J476" s="1" t="s">
        <v>797</v>
      </c>
      <c r="K476" s="25"/>
      <c r="L476" s="25">
        <v>22492</v>
      </c>
      <c r="M476" s="25">
        <v>24084</v>
      </c>
      <c r="N476" s="25">
        <v>25544</v>
      </c>
      <c r="O476" s="20">
        <v>24</v>
      </c>
      <c r="P476" s="1">
        <f>Tabla1[[#This Row],[Noche]]-Tabla1[[#This Row],[Mañana ]]</f>
        <v>3052</v>
      </c>
      <c r="Q476" s="58"/>
      <c r="R476" s="21">
        <f t="shared" si="10"/>
        <v>0</v>
      </c>
      <c r="S476" s="22">
        <f>Tabla1[[#This Row],[Merma Salas A &amp; B2]]*1000/Tabla1[[#This Row],[Peso gr.]]</f>
        <v>0</v>
      </c>
      <c r="T476" s="52"/>
      <c r="U476" s="24">
        <f>Tabla1[[#This Row],[Total piezas NOK]]/Tabla1[[#This Row],[Cant. Fabricada (uds)]]</f>
        <v>0</v>
      </c>
    </row>
    <row r="477" spans="1:21" x14ac:dyDescent="0.3">
      <c r="A477" s="43">
        <v>44568</v>
      </c>
      <c r="B477" s="20" t="s">
        <v>979</v>
      </c>
      <c r="C477" s="20">
        <v>1567</v>
      </c>
      <c r="D477" s="13" t="str">
        <f>VLOOKUP(C:C,'LListat referències'!A:B,2,FALSE)</f>
        <v>Interior tapa 50 ml Standard</v>
      </c>
      <c r="E477" s="18" t="str">
        <f>VLOOKUP(C:C,'LListat referències'!A:D,4,FALSE)</f>
        <v/>
      </c>
      <c r="F477" s="49">
        <f>VLOOKUP(C:C,'LListat referències'!A:E,5,FALSE)</f>
        <v>5.8</v>
      </c>
      <c r="G477" s="49">
        <v>29.64</v>
      </c>
      <c r="H477" s="49">
        <v>4</v>
      </c>
      <c r="I477" s="75">
        <f>Tabla1[[#This Row],[Cant. Fabricada (uds)]]/Tabla1[[#This Row],[Cavidades]]*Tabla1[[#This Row],[Tiempo Ciclo]]/60/60</f>
        <v>15.075233333333333</v>
      </c>
      <c r="J477" s="1" t="s">
        <v>797</v>
      </c>
      <c r="K477" s="25"/>
      <c r="L477" s="25">
        <v>2108</v>
      </c>
      <c r="M477" s="25">
        <v>5896</v>
      </c>
      <c r="N477" s="25">
        <v>9432</v>
      </c>
      <c r="O477" s="20">
        <v>24</v>
      </c>
      <c r="P477" s="1">
        <f>Tabla1[[#This Row],[Noche]]-Tabla1[[#This Row],[Mañana ]]</f>
        <v>7324</v>
      </c>
      <c r="Q477" s="58"/>
      <c r="R477" s="21">
        <f t="shared" si="10"/>
        <v>0</v>
      </c>
      <c r="S477" s="22">
        <f>Tabla1[[#This Row],[Merma Salas A &amp; B2]]*1000/Tabla1[[#This Row],[Peso gr.]]</f>
        <v>0</v>
      </c>
      <c r="T477" s="52"/>
      <c r="U477" s="24">
        <f>Tabla1[[#This Row],[Total piezas NOK]]/Tabla1[[#This Row],[Cant. Fabricada (uds)]]</f>
        <v>0</v>
      </c>
    </row>
    <row r="478" spans="1:21" x14ac:dyDescent="0.3">
      <c r="A478" s="43">
        <v>44571</v>
      </c>
      <c r="B478" s="20" t="s">
        <v>979</v>
      </c>
      <c r="C478" s="20">
        <v>1567</v>
      </c>
      <c r="D478" s="13" t="str">
        <f>VLOOKUP(C:C,'LListat referències'!A:B,2,FALSE)</f>
        <v>Interior tapa 50 ml Standard</v>
      </c>
      <c r="E478" s="18" t="str">
        <f>VLOOKUP(C:C,'LListat referències'!A:D,4,FALSE)</f>
        <v/>
      </c>
      <c r="F478" s="49">
        <f>VLOOKUP(C:C,'LListat referències'!A:E,5,FALSE)</f>
        <v>5.8</v>
      </c>
      <c r="G478" s="49">
        <v>29.64</v>
      </c>
      <c r="H478" s="49">
        <v>4</v>
      </c>
      <c r="I478" s="75">
        <f>Tabla1[[#This Row],[Cant. Fabricada (uds)]]/Tabla1[[#This Row],[Cavidades]]*Tabla1[[#This Row],[Tiempo Ciclo]]/60/60</f>
        <v>2.8158000000000003</v>
      </c>
      <c r="J478" s="1" t="s">
        <v>797</v>
      </c>
      <c r="K478" s="25"/>
      <c r="L478" s="25">
        <v>9432</v>
      </c>
      <c r="M478" s="25"/>
      <c r="N478" s="25">
        <v>10800</v>
      </c>
      <c r="O478" s="20">
        <v>24</v>
      </c>
      <c r="P478" s="1">
        <f>Tabla1[[#This Row],[Noche]]-Tabla1[[#This Row],[Mañana ]]</f>
        <v>1368</v>
      </c>
      <c r="Q478" s="58"/>
      <c r="R478" s="21">
        <f t="shared" si="10"/>
        <v>0</v>
      </c>
      <c r="S478" s="22">
        <f>Tabla1[[#This Row],[Merma Salas A &amp; B2]]*1000/Tabla1[[#This Row],[Peso gr.]]</f>
        <v>0</v>
      </c>
      <c r="T478" s="52"/>
      <c r="U478" s="24">
        <f>Tabla1[[#This Row],[Total piezas NOK]]/Tabla1[[#This Row],[Cant. Fabricada (uds)]]</f>
        <v>0</v>
      </c>
    </row>
    <row r="479" spans="1:21" x14ac:dyDescent="0.3">
      <c r="A479" s="43">
        <v>44571</v>
      </c>
      <c r="B479" s="20" t="s">
        <v>980</v>
      </c>
      <c r="C479" s="20">
        <v>1567</v>
      </c>
      <c r="D479" s="13" t="str">
        <f>VLOOKUP(C:C,'LListat referències'!A:B,2,FALSE)</f>
        <v>Interior tapa 50 ml Standard</v>
      </c>
      <c r="E479" s="18" t="str">
        <f>VLOOKUP(C:C,'LListat referències'!A:D,4,FALSE)</f>
        <v/>
      </c>
      <c r="F479" s="49">
        <f>VLOOKUP(C:C,'LListat referències'!A:E,5,FALSE)</f>
        <v>5.8</v>
      </c>
      <c r="G479" s="49">
        <v>29.64</v>
      </c>
      <c r="H479" s="49">
        <v>4</v>
      </c>
      <c r="I479" s="75">
        <f>Tabla1[[#This Row],[Cant. Fabricada (uds)]]/Tabla1[[#This Row],[Cavidades]]*Tabla1[[#This Row],[Tiempo Ciclo]]/60/60</f>
        <v>15.289300000000001</v>
      </c>
      <c r="J479" s="1" t="s">
        <v>797</v>
      </c>
      <c r="K479" s="25"/>
      <c r="L479" s="25">
        <v>2264</v>
      </c>
      <c r="M479" s="25">
        <v>5748</v>
      </c>
      <c r="N479" s="25">
        <v>9692</v>
      </c>
      <c r="O479" s="20">
        <v>24</v>
      </c>
      <c r="P479" s="1">
        <f>Tabla1[[#This Row],[Noche]]-Tabla1[[#This Row],[Mañana ]]</f>
        <v>7428</v>
      </c>
      <c r="Q479" s="58"/>
      <c r="R479" s="21">
        <f t="shared" si="10"/>
        <v>0</v>
      </c>
      <c r="S479" s="22">
        <f>Tabla1[[#This Row],[Merma Salas A &amp; B2]]*1000/Tabla1[[#This Row],[Peso gr.]]</f>
        <v>0</v>
      </c>
      <c r="T479" s="52"/>
      <c r="U479" s="24">
        <f>Tabla1[[#This Row],[Total piezas NOK]]/Tabla1[[#This Row],[Cant. Fabricada (uds)]]</f>
        <v>0</v>
      </c>
    </row>
    <row r="480" spans="1:21" x14ac:dyDescent="0.3">
      <c r="A480" s="43">
        <v>44572</v>
      </c>
      <c r="B480" s="20" t="s">
        <v>980</v>
      </c>
      <c r="C480" s="20">
        <v>1567</v>
      </c>
      <c r="D480" s="13" t="str">
        <f>VLOOKUP(C:C,'LListat referències'!A:B,2,FALSE)</f>
        <v>Interior tapa 50 ml Standard</v>
      </c>
      <c r="E480" s="18" t="str">
        <f>VLOOKUP(C:C,'LListat referències'!A:D,4,FALSE)</f>
        <v/>
      </c>
      <c r="F480" s="49">
        <f>VLOOKUP(C:C,'LListat referències'!A:E,5,FALSE)</f>
        <v>5.8</v>
      </c>
      <c r="G480" s="49">
        <v>29.64</v>
      </c>
      <c r="H480" s="49">
        <v>4</v>
      </c>
      <c r="I480" s="75">
        <f>Tabla1[[#This Row],[Cant. Fabricada (uds)]]/Tabla1[[#This Row],[Cavidades]]*Tabla1[[#This Row],[Tiempo Ciclo]]/60/60</f>
        <v>24.263633333333335</v>
      </c>
      <c r="J480" s="1" t="s">
        <v>797</v>
      </c>
      <c r="K480" s="25"/>
      <c r="L480" s="25">
        <v>9692</v>
      </c>
      <c r="M480" s="25">
        <v>17252</v>
      </c>
      <c r="N480" s="25">
        <v>21480</v>
      </c>
      <c r="O480" s="20">
        <v>24</v>
      </c>
      <c r="P480" s="1">
        <f>Tabla1[[#This Row],[Noche]]-Tabla1[[#This Row],[Mañana ]]</f>
        <v>11788</v>
      </c>
      <c r="Q480" s="58"/>
      <c r="R480" s="21">
        <f t="shared" si="10"/>
        <v>0</v>
      </c>
      <c r="S480" s="22">
        <f>Tabla1[[#This Row],[Merma Salas A &amp; B2]]*1000/Tabla1[[#This Row],[Peso gr.]]</f>
        <v>0</v>
      </c>
      <c r="T480" s="52"/>
      <c r="U480" s="24">
        <f>Tabla1[[#This Row],[Total piezas NOK]]/Tabla1[[#This Row],[Cant. Fabricada (uds)]]</f>
        <v>0</v>
      </c>
    </row>
    <row r="481" spans="1:22" x14ac:dyDescent="0.3">
      <c r="A481" s="43">
        <v>44578</v>
      </c>
      <c r="B481" s="20" t="s">
        <v>956</v>
      </c>
      <c r="C481" s="20">
        <v>1567</v>
      </c>
      <c r="D481" s="13" t="str">
        <f>VLOOKUP(C:C,'LListat referències'!A:B,2,FALSE)</f>
        <v>Interior tapa 50 ml Standard</v>
      </c>
      <c r="E481" s="18" t="str">
        <f>VLOOKUP(C:C,'LListat referències'!A:D,4,FALSE)</f>
        <v/>
      </c>
      <c r="F481" s="49">
        <f>VLOOKUP(C:C,'LListat referències'!A:E,5,FALSE)</f>
        <v>5.8</v>
      </c>
      <c r="G481" s="49">
        <v>29.64</v>
      </c>
      <c r="H481" s="49">
        <v>4</v>
      </c>
      <c r="I481" s="75">
        <f>Tabla1[[#This Row],[Cant. Fabricada (uds)]]/Tabla1[[#This Row],[Cavidades]]*Tabla1[[#This Row],[Tiempo Ciclo]]/60/60</f>
        <v>3.4497666666666666</v>
      </c>
      <c r="J481" s="1" t="s">
        <v>797</v>
      </c>
      <c r="K481" s="25"/>
      <c r="L481" s="25">
        <v>0</v>
      </c>
      <c r="M481" s="25"/>
      <c r="N481" s="25">
        <v>1676</v>
      </c>
      <c r="O481" s="20">
        <v>24</v>
      </c>
      <c r="P481" s="1">
        <f>Tabla1[[#This Row],[Noche]]-Tabla1[[#This Row],[Mañana ]]</f>
        <v>1676</v>
      </c>
      <c r="Q481" s="58"/>
      <c r="R481" s="21">
        <f t="shared" si="10"/>
        <v>0</v>
      </c>
      <c r="S481" s="22">
        <f>Tabla1[[#This Row],[Merma Salas A &amp; B2]]*1000/Tabla1[[#This Row],[Peso gr.]]</f>
        <v>0</v>
      </c>
      <c r="T481" s="52"/>
      <c r="U481" s="24">
        <f>Tabla1[[#This Row],[Total piezas NOK]]/Tabla1[[#This Row],[Cant. Fabricada (uds)]]</f>
        <v>0</v>
      </c>
    </row>
    <row r="482" spans="1:22" ht="15" thickBot="1" x14ac:dyDescent="0.35">
      <c r="A482" s="43">
        <v>44579</v>
      </c>
      <c r="B482" s="20" t="s">
        <v>956</v>
      </c>
      <c r="C482" s="20">
        <v>1567</v>
      </c>
      <c r="D482" s="13" t="str">
        <f>VLOOKUP(C:C,'LListat referències'!A:B,2,FALSE)</f>
        <v>Interior tapa 50 ml Standard</v>
      </c>
      <c r="E482" s="18" t="str">
        <f>VLOOKUP(C:C,'LListat referències'!A:D,4,FALSE)</f>
        <v/>
      </c>
      <c r="F482" s="49">
        <f>VLOOKUP(C:C,'LListat referències'!A:E,5,FALSE)</f>
        <v>5.8</v>
      </c>
      <c r="G482" s="49">
        <v>29.64</v>
      </c>
      <c r="H482" s="49">
        <v>4</v>
      </c>
      <c r="I482" s="75">
        <f>Tabla1[[#This Row],[Cant. Fabricada (uds)]]/Tabla1[[#This Row],[Cavidades]]*Tabla1[[#This Row],[Tiempo Ciclo]]/60/60</f>
        <v>14.811766666666667</v>
      </c>
      <c r="J482" s="1" t="s">
        <v>797</v>
      </c>
      <c r="K482" s="25"/>
      <c r="L482" s="25">
        <v>3564</v>
      </c>
      <c r="M482" s="25">
        <v>6812</v>
      </c>
      <c r="N482" s="25">
        <v>10760</v>
      </c>
      <c r="O482" s="20">
        <v>24</v>
      </c>
      <c r="P482" s="1">
        <f>Tabla1[[#This Row],[Noche]]-Tabla1[[#This Row],[Mañana ]]</f>
        <v>7196</v>
      </c>
      <c r="Q482" s="58"/>
      <c r="R482" s="21">
        <f t="shared" si="10"/>
        <v>0</v>
      </c>
      <c r="S482" s="22">
        <f>Tabla1[[#This Row],[Merma Salas A &amp; B2]]*1000/Tabla1[[#This Row],[Peso gr.]]</f>
        <v>0</v>
      </c>
      <c r="T482" s="52"/>
      <c r="U482" s="24">
        <f>Tabla1[[#This Row],[Total piezas NOK]]/Tabla1[[#This Row],[Cant. Fabricada (uds)]]</f>
        <v>0</v>
      </c>
    </row>
    <row r="483" spans="1:22" ht="15.6" thickTop="1" thickBot="1" x14ac:dyDescent="0.35">
      <c r="A483" s="26"/>
      <c r="B483" s="27"/>
      <c r="C483" s="27"/>
      <c r="D483" s="28"/>
      <c r="E483" s="29"/>
      <c r="F483" s="50"/>
      <c r="G483" s="50"/>
      <c r="H483" s="50"/>
      <c r="I483" s="77">
        <f>SUBTOTAL(109,Tabla1[Horas])</f>
        <v>5431.643090707671</v>
      </c>
      <c r="J483" s="29"/>
      <c r="K483" s="30"/>
      <c r="L483" s="30"/>
      <c r="M483" s="30"/>
      <c r="N483" s="30"/>
      <c r="O483" s="31"/>
      <c r="P483" s="71">
        <f>SUBTOTAL(109,Tabla1[Cant. Fabricada (uds)])</f>
        <v>1009151</v>
      </c>
      <c r="Q483" s="61">
        <f>SUBTOTAL(109,Tabla1[Merma Salas A &amp; B])</f>
        <v>2831.3510000000001</v>
      </c>
      <c r="R483" s="60">
        <f>SUBTOTAL(109,Tabla1[Merma Salas A &amp; B2])</f>
        <v>2831.3510000000001</v>
      </c>
      <c r="S483" s="45" t="e">
        <f>SUBTOTAL(109,Tabla1[Total piezas NOK])</f>
        <v>#DIV/0!</v>
      </c>
      <c r="T483" s="54">
        <f>SUBTOTAL(109,Tabla1[Merma arranques cambios materiales])</f>
        <v>7058.5</v>
      </c>
      <c r="U483" s="44">
        <f>SUBTOTAL(101,Tabla1[% Merma Producción Sala A y B])</f>
        <v>4.5080575447990281E-2</v>
      </c>
      <c r="V483" s="23"/>
    </row>
    <row r="484" spans="1:22" s="20" customFormat="1" ht="30" thickTop="1" thickBot="1" x14ac:dyDescent="0.35">
      <c r="B484" s="43"/>
      <c r="C484" s="43"/>
      <c r="D484" s="43"/>
      <c r="E484" s="43"/>
      <c r="F484" s="43"/>
      <c r="G484" s="43"/>
      <c r="H484" s="43"/>
      <c r="I484" s="78" t="s">
        <v>940</v>
      </c>
      <c r="J484" s="43"/>
      <c r="K484" s="43"/>
      <c r="L484" s="43"/>
      <c r="M484" s="43"/>
      <c r="N484" s="21"/>
      <c r="O484" s="21"/>
      <c r="P484" s="70" t="s">
        <v>784</v>
      </c>
      <c r="Q484" s="72" t="s">
        <v>851</v>
      </c>
      <c r="R484" s="56" t="s">
        <v>846</v>
      </c>
      <c r="S484" s="56" t="s">
        <v>754</v>
      </c>
      <c r="T484" s="68" t="s">
        <v>930</v>
      </c>
      <c r="U484" s="73" t="s">
        <v>850</v>
      </c>
      <c r="V484" s="69"/>
    </row>
    <row r="485" spans="1:22" x14ac:dyDescent="0.3">
      <c r="C485" s="12"/>
      <c r="D485" s="43"/>
      <c r="E485" s="43"/>
      <c r="F485" s="43"/>
      <c r="G485" s="43"/>
      <c r="H485" s="43"/>
      <c r="J485" s="43"/>
      <c r="K485" s="43"/>
      <c r="L485" s="43"/>
      <c r="M485" s="43"/>
      <c r="O485" s="20"/>
    </row>
    <row r="486" spans="1:22" x14ac:dyDescent="0.3">
      <c r="C486" s="12"/>
      <c r="D486" s="43"/>
      <c r="E486" s="43"/>
      <c r="F486" s="43"/>
      <c r="G486" s="43"/>
      <c r="H486" s="43"/>
      <c r="J486" s="43"/>
      <c r="K486" s="43"/>
      <c r="L486" s="43"/>
      <c r="M486" s="43"/>
      <c r="O486" s="20"/>
    </row>
    <row r="487" spans="1:22" x14ac:dyDescent="0.3">
      <c r="C487" s="12"/>
      <c r="D487" s="43"/>
      <c r="E487" s="43"/>
      <c r="F487" s="43"/>
      <c r="G487" s="43"/>
      <c r="H487" s="43"/>
      <c r="J487" s="43"/>
      <c r="K487" s="43"/>
      <c r="L487" s="43"/>
      <c r="M487" s="43"/>
      <c r="O487" s="20"/>
    </row>
    <row r="488" spans="1:22" x14ac:dyDescent="0.3">
      <c r="C488" s="12"/>
      <c r="D488" s="17"/>
      <c r="E488" s="2"/>
      <c r="H488" s="43"/>
      <c r="S488" s="62"/>
    </row>
    <row r="489" spans="1:22" x14ac:dyDescent="0.3">
      <c r="C489" s="12"/>
      <c r="D489" s="17"/>
      <c r="E489" s="2"/>
      <c r="H489" s="43"/>
      <c r="S489" s="62"/>
      <c r="U489" s="62"/>
    </row>
    <row r="490" spans="1:22" x14ac:dyDescent="0.3">
      <c r="C490" s="12"/>
      <c r="D490" s="17"/>
      <c r="E490" s="2"/>
    </row>
    <row r="491" spans="1:22" x14ac:dyDescent="0.3">
      <c r="C491" s="12"/>
    </row>
  </sheetData>
  <phoneticPr fontId="7" type="noConversion"/>
  <conditionalFormatting sqref="U1:U125 U128:U353 U355:U1048576">
    <cfRule type="colorScale" priority="9">
      <colorScale>
        <cfvo type="percent" val="5"/>
        <cfvo type="percent" val="5"/>
        <color rgb="FF92D050"/>
        <color rgb="FFFF0000"/>
      </colorScale>
    </cfRule>
    <cfRule type="colorScale" priority="10">
      <colorScale>
        <cfvo type="num" val="5"/>
        <cfvo type="num" val="5"/>
        <color rgb="FF92D050"/>
        <color rgb="FFFF0000"/>
      </colorScale>
    </cfRule>
    <cfRule type="colorScale" priority="12">
      <colorScale>
        <cfvo type="percent" val="0"/>
        <cfvo type="percent" val="5"/>
        <color rgb="FF92D050"/>
        <color rgb="FFFF0000"/>
      </colorScale>
    </cfRule>
    <cfRule type="aboveAverage" dxfId="90" priority="13"/>
  </conditionalFormatting>
  <conditionalFormatting sqref="U86:U87">
    <cfRule type="colorScale" priority="11">
      <colorScale>
        <cfvo type="num" val="5"/>
        <cfvo type="num" val="5"/>
        <color rgb="FF92D050"/>
        <color rgb="FFFF0000"/>
      </colorScale>
    </cfRule>
  </conditionalFormatting>
  <conditionalFormatting sqref="U126:U127">
    <cfRule type="colorScale" priority="5">
      <colorScale>
        <cfvo type="percent" val="5"/>
        <cfvo type="percent" val="5"/>
        <color rgb="FF92D050"/>
        <color rgb="FFFF0000"/>
      </colorScale>
    </cfRule>
    <cfRule type="colorScale" priority="6">
      <colorScale>
        <cfvo type="num" val="5"/>
        <cfvo type="num" val="5"/>
        <color rgb="FF92D050"/>
        <color rgb="FFFF0000"/>
      </colorScale>
    </cfRule>
    <cfRule type="colorScale" priority="7">
      <colorScale>
        <cfvo type="percent" val="0"/>
        <cfvo type="percent" val="5"/>
        <color rgb="FF92D050"/>
        <color rgb="FFFF0000"/>
      </colorScale>
    </cfRule>
    <cfRule type="aboveAverage" dxfId="89" priority="8"/>
  </conditionalFormatting>
  <conditionalFormatting sqref="U354">
    <cfRule type="colorScale" priority="1">
      <colorScale>
        <cfvo type="percent" val="5"/>
        <cfvo type="percent" val="5"/>
        <color rgb="FF92D050"/>
        <color rgb="FFFF0000"/>
      </colorScale>
    </cfRule>
    <cfRule type="colorScale" priority="2">
      <colorScale>
        <cfvo type="num" val="5"/>
        <cfvo type="num" val="5"/>
        <color rgb="FF92D050"/>
        <color rgb="FFFF0000"/>
      </colorScale>
    </cfRule>
    <cfRule type="colorScale" priority="3">
      <colorScale>
        <cfvo type="percent" val="0"/>
        <cfvo type="percent" val="5"/>
        <color rgb="FF92D050"/>
        <color rgb="FFFF0000"/>
      </colorScale>
    </cfRule>
    <cfRule type="aboveAverage" dxfId="88" priority="4"/>
  </conditionalFormatting>
  <pageMargins left="0.70866141732283472" right="0.70866141732283472" top="0.74803149606299213" bottom="0.74803149606299213" header="0.31496062992125984" footer="0.31496062992125984"/>
  <pageSetup paperSize="9" scale="26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7620-E041-45A0-BE8F-D8BDF13E51D0}">
  <dimension ref="A5:A47"/>
  <sheetViews>
    <sheetView showGridLines="0" zoomScale="115" zoomScaleNormal="115" workbookViewId="0">
      <selection activeCell="I36" sqref="I36"/>
    </sheetView>
  </sheetViews>
  <sheetFormatPr baseColWidth="10" defaultRowHeight="14.4" x14ac:dyDescent="0.3"/>
  <cols>
    <col min="1" max="1" width="16.6640625" bestFit="1" customWidth="1"/>
    <col min="2" max="2" width="23" bestFit="1" customWidth="1"/>
    <col min="3" max="3" width="22.88671875" bestFit="1" customWidth="1"/>
    <col min="4" max="4" width="6.77734375" bestFit="1" customWidth="1"/>
    <col min="5" max="5" width="4.33203125" bestFit="1" customWidth="1"/>
    <col min="6" max="6" width="12.21875" bestFit="1" customWidth="1"/>
    <col min="7" max="7" width="23.44140625" bestFit="1" customWidth="1"/>
    <col min="8" max="8" width="20" bestFit="1" customWidth="1"/>
    <col min="9" max="9" width="28.33203125" bestFit="1" customWidth="1"/>
    <col min="10" max="10" width="15.109375" bestFit="1" customWidth="1"/>
    <col min="11" max="11" width="23.44140625" bestFit="1" customWidth="1"/>
    <col min="12" max="12" width="15.109375" bestFit="1" customWidth="1"/>
    <col min="13" max="13" width="23.44140625" bestFit="1" customWidth="1"/>
    <col min="14" max="14" width="20" bestFit="1" customWidth="1"/>
    <col min="15" max="15" width="28.33203125" bestFit="1" customWidth="1"/>
    <col min="16" max="16" width="12.77734375" bestFit="1" customWidth="1"/>
    <col min="17" max="17" width="15.44140625" bestFit="1" customWidth="1"/>
    <col min="18" max="19" width="12.77734375" bestFit="1" customWidth="1"/>
    <col min="20" max="20" width="15.44140625" bestFit="1" customWidth="1"/>
    <col min="21" max="21" width="12.77734375" bestFit="1" customWidth="1"/>
    <col min="22" max="22" width="15.44140625" bestFit="1" customWidth="1"/>
    <col min="23" max="24" width="12.77734375" bestFit="1" customWidth="1"/>
    <col min="25" max="25" width="15.44140625" bestFit="1" customWidth="1"/>
    <col min="26" max="28" width="12.77734375" bestFit="1" customWidth="1"/>
    <col min="29" max="29" width="15.44140625" bestFit="1" customWidth="1"/>
    <col min="30" max="31" width="12.21875" bestFit="1" customWidth="1"/>
    <col min="32" max="32" width="6.88671875" bestFit="1" customWidth="1"/>
    <col min="33" max="33" width="8.77734375" bestFit="1" customWidth="1"/>
    <col min="34" max="34" width="5" bestFit="1" customWidth="1"/>
    <col min="35" max="35" width="15.44140625" bestFit="1" customWidth="1"/>
    <col min="36" max="36" width="12.77734375" bestFit="1" customWidth="1"/>
    <col min="37" max="37" width="5" bestFit="1" customWidth="1"/>
    <col min="38" max="39" width="8.77734375" bestFit="1" customWidth="1"/>
    <col min="40" max="40" width="15.44140625" bestFit="1" customWidth="1"/>
    <col min="41" max="41" width="12.21875" bestFit="1" customWidth="1"/>
    <col min="42" max="42" width="8.77734375" bestFit="1" customWidth="1"/>
    <col min="43" max="43" width="6.88671875" bestFit="1" customWidth="1"/>
    <col min="44" max="44" width="5" bestFit="1" customWidth="1"/>
    <col min="45" max="45" width="15.44140625" bestFit="1" customWidth="1"/>
    <col min="46" max="46" width="12.77734375" bestFit="1" customWidth="1"/>
    <col min="47" max="47" width="8.77734375" bestFit="1" customWidth="1"/>
    <col min="48" max="48" width="6.88671875" bestFit="1" customWidth="1"/>
    <col min="49" max="49" width="8.77734375" bestFit="1" customWidth="1"/>
    <col min="50" max="50" width="5" bestFit="1" customWidth="1"/>
    <col min="51" max="51" width="8.77734375" bestFit="1" customWidth="1"/>
    <col min="52" max="52" width="15.44140625" bestFit="1" customWidth="1"/>
    <col min="53" max="53" width="12.77734375" bestFit="1" customWidth="1"/>
    <col min="54" max="54" width="5" bestFit="1" customWidth="1"/>
    <col min="55" max="56" width="8.77734375" bestFit="1" customWidth="1"/>
    <col min="57" max="57" width="15.44140625" bestFit="1" customWidth="1"/>
    <col min="58" max="58" width="12.77734375" bestFit="1" customWidth="1"/>
    <col min="59" max="60" width="8.77734375" bestFit="1" customWidth="1"/>
    <col min="61" max="61" width="6.88671875" bestFit="1" customWidth="1"/>
    <col min="62" max="62" width="5" bestFit="1" customWidth="1"/>
    <col min="63" max="63" width="8.77734375" bestFit="1" customWidth="1"/>
    <col min="64" max="64" width="5" bestFit="1" customWidth="1"/>
    <col min="65" max="65" width="15.44140625" bestFit="1" customWidth="1"/>
    <col min="66" max="66" width="12.21875" bestFit="1" customWidth="1"/>
  </cols>
  <sheetData>
    <row r="5" spans="1:1" x14ac:dyDescent="0.3">
      <c r="A5" s="32" t="s">
        <v>757</v>
      </c>
    </row>
    <row r="6" spans="1:1" x14ac:dyDescent="0.3">
      <c r="A6" s="17">
        <v>44494</v>
      </c>
    </row>
    <row r="7" spans="1:1" x14ac:dyDescent="0.3">
      <c r="A7" s="33" t="s">
        <v>15</v>
      </c>
    </row>
    <row r="8" spans="1:1" x14ac:dyDescent="0.3">
      <c r="A8" s="33" t="s">
        <v>7</v>
      </c>
    </row>
    <row r="9" spans="1:1" x14ac:dyDescent="0.3">
      <c r="A9" s="33" t="s">
        <v>8</v>
      </c>
    </row>
    <row r="10" spans="1:1" x14ac:dyDescent="0.3">
      <c r="A10" s="17">
        <v>44495</v>
      </c>
    </row>
    <row r="11" spans="1:1" x14ac:dyDescent="0.3">
      <c r="A11" s="33" t="s">
        <v>15</v>
      </c>
    </row>
    <row r="12" spans="1:1" x14ac:dyDescent="0.3">
      <c r="A12" s="33" t="s">
        <v>7</v>
      </c>
    </row>
    <row r="13" spans="1:1" x14ac:dyDescent="0.3">
      <c r="A13" s="17">
        <v>44496</v>
      </c>
    </row>
    <row r="14" spans="1:1" x14ac:dyDescent="0.3">
      <c r="A14" s="33" t="s">
        <v>15</v>
      </c>
    </row>
    <row r="15" spans="1:1" x14ac:dyDescent="0.3">
      <c r="A15" s="33" t="s">
        <v>7</v>
      </c>
    </row>
    <row r="16" spans="1:1" x14ac:dyDescent="0.3">
      <c r="A16" s="33" t="s">
        <v>8</v>
      </c>
    </row>
    <row r="17" spans="1:1" x14ac:dyDescent="0.3">
      <c r="A17" s="33" t="s">
        <v>763</v>
      </c>
    </row>
    <row r="18" spans="1:1" x14ac:dyDescent="0.3">
      <c r="A18" s="17">
        <v>44497</v>
      </c>
    </row>
    <row r="19" spans="1:1" x14ac:dyDescent="0.3">
      <c r="A19" s="33" t="s">
        <v>15</v>
      </c>
    </row>
    <row r="20" spans="1:1" x14ac:dyDescent="0.3">
      <c r="A20" s="33" t="s">
        <v>8</v>
      </c>
    </row>
    <row r="21" spans="1:1" x14ac:dyDescent="0.3">
      <c r="A21" s="17">
        <v>44498</v>
      </c>
    </row>
    <row r="22" spans="1:1" x14ac:dyDescent="0.3">
      <c r="A22" s="33" t="s">
        <v>15</v>
      </c>
    </row>
    <row r="23" spans="1:1" x14ac:dyDescent="0.3">
      <c r="A23" s="33" t="s">
        <v>7</v>
      </c>
    </row>
    <row r="24" spans="1:1" x14ac:dyDescent="0.3">
      <c r="A24" s="33" t="s">
        <v>8</v>
      </c>
    </row>
    <row r="25" spans="1:1" x14ac:dyDescent="0.3">
      <c r="A25" s="17" t="s">
        <v>758</v>
      </c>
    </row>
    <row r="27" spans="1:1" x14ac:dyDescent="0.3">
      <c r="A27" s="32" t="s">
        <v>757</v>
      </c>
    </row>
    <row r="28" spans="1:1" x14ac:dyDescent="0.3">
      <c r="A28" s="17" t="s">
        <v>823</v>
      </c>
    </row>
    <row r="29" spans="1:1" x14ac:dyDescent="0.3">
      <c r="A29" s="33" t="s">
        <v>15</v>
      </c>
    </row>
    <row r="30" spans="1:1" x14ac:dyDescent="0.3">
      <c r="A30" s="33" t="s">
        <v>797</v>
      </c>
    </row>
    <row r="31" spans="1:1" x14ac:dyDescent="0.3">
      <c r="A31" s="33" t="s">
        <v>7</v>
      </c>
    </row>
    <row r="32" spans="1:1" x14ac:dyDescent="0.3">
      <c r="A32" s="33" t="s">
        <v>8</v>
      </c>
    </row>
    <row r="33" spans="1:1" x14ac:dyDescent="0.3">
      <c r="A33" s="17" t="s">
        <v>824</v>
      </c>
    </row>
    <row r="34" spans="1:1" x14ac:dyDescent="0.3">
      <c r="A34" s="33" t="s">
        <v>15</v>
      </c>
    </row>
    <row r="35" spans="1:1" x14ac:dyDescent="0.3">
      <c r="A35" s="33" t="s">
        <v>797</v>
      </c>
    </row>
    <row r="36" spans="1:1" x14ac:dyDescent="0.3">
      <c r="A36" s="33" t="s">
        <v>7</v>
      </c>
    </row>
    <row r="37" spans="1:1" x14ac:dyDescent="0.3">
      <c r="A37" s="33" t="s">
        <v>8</v>
      </c>
    </row>
    <row r="38" spans="1:1" x14ac:dyDescent="0.3">
      <c r="A38" s="17" t="s">
        <v>825</v>
      </c>
    </row>
    <row r="39" spans="1:1" x14ac:dyDescent="0.3">
      <c r="A39" s="33" t="s">
        <v>15</v>
      </c>
    </row>
    <row r="40" spans="1:1" x14ac:dyDescent="0.3">
      <c r="A40" s="33" t="s">
        <v>797</v>
      </c>
    </row>
    <row r="41" spans="1:1" x14ac:dyDescent="0.3">
      <c r="A41" s="33" t="s">
        <v>7</v>
      </c>
    </row>
    <row r="42" spans="1:1" x14ac:dyDescent="0.3">
      <c r="A42" s="33" t="s">
        <v>8</v>
      </c>
    </row>
    <row r="43" spans="1:1" x14ac:dyDescent="0.3">
      <c r="A43" s="17" t="s">
        <v>848</v>
      </c>
    </row>
    <row r="44" spans="1:1" x14ac:dyDescent="0.3">
      <c r="A44" s="33" t="s">
        <v>15</v>
      </c>
    </row>
    <row r="45" spans="1:1" x14ac:dyDescent="0.3">
      <c r="A45" s="33" t="s">
        <v>7</v>
      </c>
    </row>
    <row r="46" spans="1:1" x14ac:dyDescent="0.3">
      <c r="A46" s="33" t="s">
        <v>8</v>
      </c>
    </row>
    <row r="47" spans="1:1" x14ac:dyDescent="0.3">
      <c r="A47" s="17" t="s">
        <v>758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6984-9A88-46CE-8654-85251649739F}">
  <dimension ref="A1:G455"/>
  <sheetViews>
    <sheetView workbookViewId="0">
      <pane ySplit="1" topLeftCell="A33" activePane="bottomLeft" state="frozen"/>
      <selection pane="bottomLeft" activeCell="G49" sqref="G49"/>
    </sheetView>
  </sheetViews>
  <sheetFormatPr baseColWidth="10" defaultRowHeight="14.4" x14ac:dyDescent="0.3"/>
  <cols>
    <col min="1" max="1" width="13.5546875" bestFit="1" customWidth="1"/>
    <col min="2" max="2" width="46.33203125" bestFit="1" customWidth="1"/>
    <col min="3" max="3" width="17.33203125" bestFit="1" customWidth="1"/>
    <col min="4" max="4" width="18.109375" bestFit="1" customWidth="1"/>
  </cols>
  <sheetData>
    <row r="1" spans="1:7" x14ac:dyDescent="0.3">
      <c r="A1" s="3" t="s">
        <v>17</v>
      </c>
      <c r="B1" s="3" t="s">
        <v>18</v>
      </c>
      <c r="C1" s="3" t="s">
        <v>19</v>
      </c>
      <c r="D1" s="3" t="s">
        <v>20</v>
      </c>
      <c r="E1" s="14" t="s">
        <v>778</v>
      </c>
      <c r="F1" s="14"/>
      <c r="G1" s="14"/>
    </row>
    <row r="2" spans="1:7" x14ac:dyDescent="0.3">
      <c r="A2" s="4">
        <v>13</v>
      </c>
      <c r="B2" s="4" t="s">
        <v>21</v>
      </c>
      <c r="C2" s="4">
        <v>4</v>
      </c>
      <c r="D2" s="4" t="s">
        <v>22</v>
      </c>
      <c r="E2" s="15"/>
    </row>
    <row r="3" spans="1:7" x14ac:dyDescent="0.3">
      <c r="A3" s="4">
        <v>985</v>
      </c>
      <c r="B3" s="4" t="s">
        <v>23</v>
      </c>
      <c r="C3" s="4">
        <v>8</v>
      </c>
      <c r="D3" s="4" t="s">
        <v>24</v>
      </c>
      <c r="E3" s="15"/>
    </row>
    <row r="4" spans="1:7" x14ac:dyDescent="0.3">
      <c r="A4" s="4">
        <v>1001</v>
      </c>
      <c r="B4" s="4" t="s">
        <v>25</v>
      </c>
      <c r="C4" s="4">
        <v>4</v>
      </c>
      <c r="D4" s="4" t="s">
        <v>22</v>
      </c>
      <c r="E4" s="15"/>
    </row>
    <row r="5" spans="1:7" x14ac:dyDescent="0.3">
      <c r="A5" s="4">
        <v>1108</v>
      </c>
      <c r="B5" s="4" t="s">
        <v>26</v>
      </c>
      <c r="C5" s="4">
        <v>2</v>
      </c>
      <c r="D5" s="4" t="s">
        <v>27</v>
      </c>
      <c r="E5" s="15"/>
    </row>
    <row r="6" spans="1:7" x14ac:dyDescent="0.3">
      <c r="A6" s="4">
        <v>1131</v>
      </c>
      <c r="B6" s="4" t="s">
        <v>28</v>
      </c>
      <c r="C6" s="4">
        <v>2</v>
      </c>
      <c r="D6" s="4" t="s">
        <v>29</v>
      </c>
      <c r="E6" s="15"/>
    </row>
    <row r="7" spans="1:7" x14ac:dyDescent="0.3">
      <c r="A7" s="4">
        <v>1153</v>
      </c>
      <c r="B7" s="4" t="s">
        <v>30</v>
      </c>
      <c r="C7" s="4">
        <v>10</v>
      </c>
      <c r="D7" s="4" t="s">
        <v>22</v>
      </c>
      <c r="E7" s="15"/>
    </row>
    <row r="8" spans="1:7" x14ac:dyDescent="0.3">
      <c r="A8" s="4">
        <v>1154</v>
      </c>
      <c r="B8" s="4" t="s">
        <v>31</v>
      </c>
      <c r="C8" s="4">
        <v>10</v>
      </c>
      <c r="D8" s="4" t="s">
        <v>22</v>
      </c>
      <c r="E8" s="15"/>
    </row>
    <row r="9" spans="1:7" x14ac:dyDescent="0.3">
      <c r="A9" s="4">
        <v>1160</v>
      </c>
      <c r="B9" s="4" t="s">
        <v>32</v>
      </c>
      <c r="C9" s="4"/>
      <c r="D9" s="4" t="s">
        <v>33</v>
      </c>
      <c r="E9" s="15"/>
    </row>
    <row r="10" spans="1:7" x14ac:dyDescent="0.3">
      <c r="A10" s="4">
        <v>1171</v>
      </c>
      <c r="B10" s="4" t="s">
        <v>34</v>
      </c>
      <c r="C10" s="4">
        <v>6</v>
      </c>
      <c r="D10" s="4" t="s">
        <v>22</v>
      </c>
      <c r="E10" s="15"/>
    </row>
    <row r="11" spans="1:7" x14ac:dyDescent="0.3">
      <c r="A11" s="4">
        <v>1200</v>
      </c>
      <c r="B11" s="4" t="s">
        <v>35</v>
      </c>
      <c r="C11" s="4">
        <v>0</v>
      </c>
      <c r="D11" s="4" t="s">
        <v>22</v>
      </c>
      <c r="E11" s="15"/>
    </row>
    <row r="12" spans="1:7" x14ac:dyDescent="0.3">
      <c r="A12" s="4">
        <v>1207</v>
      </c>
      <c r="B12" s="4" t="s">
        <v>36</v>
      </c>
      <c r="C12" s="4">
        <v>6</v>
      </c>
      <c r="D12" s="4" t="s">
        <v>22</v>
      </c>
      <c r="E12" s="15">
        <v>9</v>
      </c>
    </row>
    <row r="13" spans="1:7" x14ac:dyDescent="0.3">
      <c r="A13" s="4">
        <v>1216</v>
      </c>
      <c r="B13" s="4" t="s">
        <v>37</v>
      </c>
      <c r="C13" s="4">
        <v>20</v>
      </c>
      <c r="D13" s="4" t="s">
        <v>22</v>
      </c>
      <c r="E13" s="15"/>
    </row>
    <row r="14" spans="1:7" x14ac:dyDescent="0.3">
      <c r="A14" s="4">
        <v>1218</v>
      </c>
      <c r="B14" s="4" t="s">
        <v>38</v>
      </c>
      <c r="C14" s="4">
        <v>4</v>
      </c>
      <c r="D14" s="4" t="s">
        <v>22</v>
      </c>
      <c r="E14" s="15"/>
    </row>
    <row r="15" spans="1:7" x14ac:dyDescent="0.3">
      <c r="A15" s="4">
        <v>1227</v>
      </c>
      <c r="B15" s="4" t="s">
        <v>39</v>
      </c>
      <c r="C15" s="4">
        <v>8</v>
      </c>
      <c r="D15" s="4" t="s">
        <v>22</v>
      </c>
      <c r="E15" s="15"/>
    </row>
    <row r="16" spans="1:7" x14ac:dyDescent="0.3">
      <c r="A16" s="4">
        <v>1235</v>
      </c>
      <c r="B16" s="4" t="s">
        <v>40</v>
      </c>
      <c r="C16" s="4">
        <v>4</v>
      </c>
      <c r="D16" s="4" t="s">
        <v>41</v>
      </c>
      <c r="E16" s="15"/>
    </row>
    <row r="17" spans="1:5" x14ac:dyDescent="0.3">
      <c r="A17" s="4">
        <v>1250</v>
      </c>
      <c r="B17" s="4" t="s">
        <v>42</v>
      </c>
      <c r="C17" s="4">
        <v>4</v>
      </c>
      <c r="D17" s="4" t="s">
        <v>22</v>
      </c>
      <c r="E17" s="15"/>
    </row>
    <row r="18" spans="1:5" x14ac:dyDescent="0.3">
      <c r="A18" s="4">
        <v>1257</v>
      </c>
      <c r="B18" s="4" t="s">
        <v>43</v>
      </c>
      <c r="C18" s="4">
        <v>4</v>
      </c>
      <c r="D18" s="4" t="s">
        <v>22</v>
      </c>
      <c r="E18" s="15"/>
    </row>
    <row r="19" spans="1:5" x14ac:dyDescent="0.3">
      <c r="A19" s="4">
        <v>1304</v>
      </c>
      <c r="B19" s="4" t="s">
        <v>44</v>
      </c>
      <c r="C19" s="4">
        <v>6</v>
      </c>
      <c r="D19" s="4" t="s">
        <v>22</v>
      </c>
      <c r="E19" s="15"/>
    </row>
    <row r="20" spans="1:5" x14ac:dyDescent="0.3">
      <c r="A20" s="4">
        <v>1305</v>
      </c>
      <c r="B20" s="4" t="s">
        <v>45</v>
      </c>
      <c r="C20" s="4">
        <v>4</v>
      </c>
      <c r="D20" s="4" t="s">
        <v>22</v>
      </c>
      <c r="E20" s="15"/>
    </row>
    <row r="21" spans="1:5" x14ac:dyDescent="0.3">
      <c r="A21" s="4">
        <v>1306</v>
      </c>
      <c r="B21" s="4" t="s">
        <v>46</v>
      </c>
      <c r="C21" s="4">
        <v>6</v>
      </c>
      <c r="D21" s="4" t="s">
        <v>22</v>
      </c>
      <c r="E21" s="15"/>
    </row>
    <row r="22" spans="1:5" x14ac:dyDescent="0.3">
      <c r="A22" s="4">
        <v>1312</v>
      </c>
      <c r="B22" s="4" t="s">
        <v>47</v>
      </c>
      <c r="C22" s="4">
        <v>6</v>
      </c>
      <c r="D22" s="4" t="s">
        <v>22</v>
      </c>
      <c r="E22" s="15"/>
    </row>
    <row r="23" spans="1:5" x14ac:dyDescent="0.3">
      <c r="A23" s="4">
        <v>1315</v>
      </c>
      <c r="B23" s="4" t="s">
        <v>48</v>
      </c>
      <c r="C23" s="4">
        <v>6</v>
      </c>
      <c r="D23" s="4" t="s">
        <v>22</v>
      </c>
      <c r="E23" s="15"/>
    </row>
    <row r="24" spans="1:5" x14ac:dyDescent="0.3">
      <c r="A24" s="4">
        <v>1317</v>
      </c>
      <c r="B24" s="4" t="s">
        <v>49</v>
      </c>
      <c r="C24" s="4">
        <v>4</v>
      </c>
      <c r="D24" s="4" t="s">
        <v>22</v>
      </c>
      <c r="E24" s="15"/>
    </row>
    <row r="25" spans="1:5" x14ac:dyDescent="0.3">
      <c r="A25" s="4">
        <v>1318</v>
      </c>
      <c r="B25" s="4" t="s">
        <v>50</v>
      </c>
      <c r="C25" s="4">
        <v>4</v>
      </c>
      <c r="D25" s="4" t="s">
        <v>22</v>
      </c>
      <c r="E25" s="15"/>
    </row>
    <row r="26" spans="1:5" x14ac:dyDescent="0.3">
      <c r="A26" s="4">
        <v>1321</v>
      </c>
      <c r="B26" s="4" t="s">
        <v>51</v>
      </c>
      <c r="C26" s="4">
        <v>2</v>
      </c>
      <c r="D26" s="4" t="s">
        <v>22</v>
      </c>
      <c r="E26" s="15"/>
    </row>
    <row r="27" spans="1:5" x14ac:dyDescent="0.3">
      <c r="A27" s="4">
        <v>1350</v>
      </c>
      <c r="B27" s="4" t="s">
        <v>52</v>
      </c>
      <c r="C27" s="4">
        <v>2</v>
      </c>
      <c r="D27" s="4" t="s">
        <v>22</v>
      </c>
      <c r="E27" s="15"/>
    </row>
    <row r="28" spans="1:5" x14ac:dyDescent="0.3">
      <c r="A28" s="4">
        <v>1351</v>
      </c>
      <c r="B28" s="4" t="s">
        <v>53</v>
      </c>
      <c r="C28" s="4">
        <v>2</v>
      </c>
      <c r="D28" s="4" t="s">
        <v>22</v>
      </c>
      <c r="E28" s="15"/>
    </row>
    <row r="29" spans="1:5" x14ac:dyDescent="0.3">
      <c r="A29" s="4">
        <v>1393</v>
      </c>
      <c r="B29" s="4" t="s">
        <v>54</v>
      </c>
      <c r="C29" s="4">
        <v>8</v>
      </c>
      <c r="D29" s="4" t="s">
        <v>22</v>
      </c>
      <c r="E29" s="15"/>
    </row>
    <row r="30" spans="1:5" x14ac:dyDescent="0.3">
      <c r="A30" s="4">
        <v>1404</v>
      </c>
      <c r="B30" s="4" t="s">
        <v>55</v>
      </c>
      <c r="C30" s="4">
        <v>2</v>
      </c>
      <c r="D30" s="4" t="s">
        <v>56</v>
      </c>
      <c r="E30" s="15"/>
    </row>
    <row r="31" spans="1:5" x14ac:dyDescent="0.3">
      <c r="A31" s="4">
        <v>1408</v>
      </c>
      <c r="B31" s="4" t="s">
        <v>57</v>
      </c>
      <c r="C31" s="4">
        <v>2</v>
      </c>
      <c r="D31" s="4" t="s">
        <v>22</v>
      </c>
      <c r="E31" s="15"/>
    </row>
    <row r="32" spans="1:5" x14ac:dyDescent="0.3">
      <c r="A32" s="4">
        <v>1410</v>
      </c>
      <c r="B32" s="4" t="s">
        <v>58</v>
      </c>
      <c r="C32" s="4">
        <v>2</v>
      </c>
      <c r="D32" s="4" t="s">
        <v>59</v>
      </c>
      <c r="E32" s="15"/>
    </row>
    <row r="33" spans="1:5" x14ac:dyDescent="0.3">
      <c r="A33" s="4">
        <v>1421</v>
      </c>
      <c r="B33" s="4" t="s">
        <v>60</v>
      </c>
      <c r="C33" s="4">
        <v>2</v>
      </c>
      <c r="D33" s="4" t="s">
        <v>61</v>
      </c>
      <c r="E33" s="15"/>
    </row>
    <row r="34" spans="1:5" x14ac:dyDescent="0.3">
      <c r="A34" s="4" t="s">
        <v>62</v>
      </c>
      <c r="B34" s="4" t="s">
        <v>63</v>
      </c>
      <c r="C34" s="4">
        <v>2</v>
      </c>
      <c r="D34" s="4" t="s">
        <v>64</v>
      </c>
      <c r="E34" s="15"/>
    </row>
    <row r="35" spans="1:5" x14ac:dyDescent="0.3">
      <c r="A35" s="4">
        <v>1424</v>
      </c>
      <c r="B35" s="4" t="s">
        <v>65</v>
      </c>
      <c r="C35" s="4">
        <v>2</v>
      </c>
      <c r="D35" s="4" t="s">
        <v>22</v>
      </c>
      <c r="E35" s="15"/>
    </row>
    <row r="36" spans="1:5" x14ac:dyDescent="0.3">
      <c r="A36" s="4">
        <v>1432</v>
      </c>
      <c r="B36" s="4" t="s">
        <v>66</v>
      </c>
      <c r="C36" s="4">
        <v>2</v>
      </c>
      <c r="D36" s="4" t="s">
        <v>22</v>
      </c>
      <c r="E36" s="15"/>
    </row>
    <row r="37" spans="1:5" x14ac:dyDescent="0.3">
      <c r="A37" s="4">
        <v>1433</v>
      </c>
      <c r="B37" s="4" t="s">
        <v>67</v>
      </c>
      <c r="C37" s="4">
        <v>2</v>
      </c>
      <c r="D37" s="4" t="s">
        <v>22</v>
      </c>
      <c r="E37" s="15"/>
    </row>
    <row r="38" spans="1:5" x14ac:dyDescent="0.3">
      <c r="A38" s="4">
        <v>1435</v>
      </c>
      <c r="B38" s="4" t="s">
        <v>68</v>
      </c>
      <c r="C38" s="4">
        <v>2</v>
      </c>
      <c r="D38" s="4" t="s">
        <v>22</v>
      </c>
      <c r="E38" s="15"/>
    </row>
    <row r="39" spans="1:5" x14ac:dyDescent="0.3">
      <c r="A39" s="4">
        <v>1443</v>
      </c>
      <c r="B39" s="4" t="s">
        <v>69</v>
      </c>
      <c r="C39" s="4">
        <v>2</v>
      </c>
      <c r="D39" s="4" t="s">
        <v>22</v>
      </c>
      <c r="E39" s="15"/>
    </row>
    <row r="40" spans="1:5" x14ac:dyDescent="0.3">
      <c r="A40" s="4">
        <v>1449</v>
      </c>
      <c r="B40" s="4" t="s">
        <v>70</v>
      </c>
      <c r="C40" s="4">
        <v>2</v>
      </c>
      <c r="D40" s="4" t="s">
        <v>22</v>
      </c>
      <c r="E40" s="15"/>
    </row>
    <row r="41" spans="1:5" x14ac:dyDescent="0.3">
      <c r="A41" s="4">
        <v>1456</v>
      </c>
      <c r="B41" s="4" t="s">
        <v>71</v>
      </c>
      <c r="C41" s="4">
        <v>4</v>
      </c>
      <c r="D41" s="4" t="s">
        <v>22</v>
      </c>
      <c r="E41" s="15"/>
    </row>
    <row r="42" spans="1:5" x14ac:dyDescent="0.3">
      <c r="A42" s="4">
        <v>1482</v>
      </c>
      <c r="B42" s="4" t="s">
        <v>72</v>
      </c>
      <c r="C42" s="4">
        <v>2</v>
      </c>
      <c r="D42" s="4" t="s">
        <v>22</v>
      </c>
      <c r="E42" s="15"/>
    </row>
    <row r="43" spans="1:5" x14ac:dyDescent="0.3">
      <c r="A43" s="4">
        <v>1494</v>
      </c>
      <c r="B43" s="4" t="s">
        <v>73</v>
      </c>
      <c r="C43" s="4">
        <v>4</v>
      </c>
      <c r="D43" s="4" t="s">
        <v>74</v>
      </c>
      <c r="E43" s="15"/>
    </row>
    <row r="44" spans="1:5" x14ac:dyDescent="0.3">
      <c r="A44" s="4">
        <v>1495</v>
      </c>
      <c r="B44" s="4" t="s">
        <v>75</v>
      </c>
      <c r="C44" s="4">
        <v>2</v>
      </c>
      <c r="D44" s="4" t="s">
        <v>76</v>
      </c>
      <c r="E44" s="15"/>
    </row>
    <row r="45" spans="1:5" x14ac:dyDescent="0.3">
      <c r="A45" s="4">
        <v>1509</v>
      </c>
      <c r="B45" s="4" t="s">
        <v>77</v>
      </c>
      <c r="C45" s="4">
        <v>2</v>
      </c>
      <c r="D45" s="4" t="s">
        <v>22</v>
      </c>
      <c r="E45" s="15"/>
    </row>
    <row r="46" spans="1:5" x14ac:dyDescent="0.3">
      <c r="A46" s="4">
        <v>1511</v>
      </c>
      <c r="B46" s="4" t="s">
        <v>78</v>
      </c>
      <c r="C46" s="4">
        <v>4</v>
      </c>
      <c r="D46" s="4" t="s">
        <v>79</v>
      </c>
      <c r="E46" s="15"/>
    </row>
    <row r="47" spans="1:5" x14ac:dyDescent="0.3">
      <c r="A47" s="4">
        <v>1522</v>
      </c>
      <c r="B47" s="4" t="s">
        <v>80</v>
      </c>
      <c r="C47" s="4">
        <v>2</v>
      </c>
      <c r="D47" s="4" t="s">
        <v>22</v>
      </c>
      <c r="E47" s="15"/>
    </row>
    <row r="48" spans="1:5" x14ac:dyDescent="0.3">
      <c r="A48" s="4">
        <v>1540</v>
      </c>
      <c r="B48" s="4" t="s">
        <v>81</v>
      </c>
      <c r="C48" s="4">
        <v>4</v>
      </c>
      <c r="D48" s="4" t="s">
        <v>82</v>
      </c>
      <c r="E48" s="15"/>
    </row>
    <row r="49" spans="1:5" x14ac:dyDescent="0.3">
      <c r="A49" s="4">
        <v>1545</v>
      </c>
      <c r="B49" s="4" t="s">
        <v>83</v>
      </c>
      <c r="C49" s="4">
        <v>2</v>
      </c>
      <c r="D49" s="4" t="s">
        <v>22</v>
      </c>
      <c r="E49" s="15"/>
    </row>
    <row r="50" spans="1:5" x14ac:dyDescent="0.3">
      <c r="A50" s="4">
        <v>1550</v>
      </c>
      <c r="B50" s="4" t="s">
        <v>84</v>
      </c>
      <c r="C50" s="4">
        <v>1</v>
      </c>
      <c r="D50" s="4" t="s">
        <v>22</v>
      </c>
      <c r="E50" s="15"/>
    </row>
    <row r="51" spans="1:5" x14ac:dyDescent="0.3">
      <c r="A51" s="4">
        <v>1551</v>
      </c>
      <c r="B51" s="4" t="s">
        <v>85</v>
      </c>
      <c r="C51" s="4">
        <v>4</v>
      </c>
      <c r="D51" s="4" t="s">
        <v>86</v>
      </c>
      <c r="E51" s="15"/>
    </row>
    <row r="52" spans="1:5" x14ac:dyDescent="0.3">
      <c r="A52" s="4">
        <v>1567</v>
      </c>
      <c r="B52" s="4" t="s">
        <v>87</v>
      </c>
      <c r="C52" s="4">
        <v>4</v>
      </c>
      <c r="D52" s="4" t="s">
        <v>22</v>
      </c>
      <c r="E52" s="15">
        <v>5.8</v>
      </c>
    </row>
    <row r="53" spans="1:5" x14ac:dyDescent="0.3">
      <c r="A53" s="4">
        <v>1572</v>
      </c>
      <c r="B53" s="4" t="s">
        <v>88</v>
      </c>
      <c r="C53" s="4">
        <v>4</v>
      </c>
      <c r="D53" s="4" t="s">
        <v>22</v>
      </c>
      <c r="E53" s="15"/>
    </row>
    <row r="54" spans="1:5" x14ac:dyDescent="0.3">
      <c r="A54" s="4">
        <v>1575</v>
      </c>
      <c r="B54" s="4" t="s">
        <v>89</v>
      </c>
      <c r="C54" s="4">
        <v>2</v>
      </c>
      <c r="D54" s="4" t="s">
        <v>90</v>
      </c>
      <c r="E54" s="15"/>
    </row>
    <row r="55" spans="1:5" ht="15.6" x14ac:dyDescent="0.3">
      <c r="A55" s="4">
        <v>1577</v>
      </c>
      <c r="B55" s="5" t="s">
        <v>85</v>
      </c>
      <c r="C55" s="5">
        <v>6</v>
      </c>
      <c r="D55" s="4" t="s">
        <v>91</v>
      </c>
      <c r="E55" s="15"/>
    </row>
    <row r="56" spans="1:5" x14ac:dyDescent="0.3">
      <c r="A56" s="4">
        <v>1587</v>
      </c>
      <c r="B56" s="4" t="s">
        <v>92</v>
      </c>
      <c r="C56" s="4">
        <v>2</v>
      </c>
      <c r="D56" s="4" t="s">
        <v>93</v>
      </c>
      <c r="E56" s="15"/>
    </row>
    <row r="57" spans="1:5" x14ac:dyDescent="0.3">
      <c r="A57" s="4">
        <v>1588</v>
      </c>
      <c r="B57" s="4" t="s">
        <v>94</v>
      </c>
      <c r="C57" s="4">
        <v>2</v>
      </c>
      <c r="D57" s="4" t="s">
        <v>22</v>
      </c>
      <c r="E57" s="15"/>
    </row>
    <row r="58" spans="1:5" x14ac:dyDescent="0.3">
      <c r="A58" s="4">
        <v>1604</v>
      </c>
      <c r="B58" s="4" t="s">
        <v>95</v>
      </c>
      <c r="C58" s="4">
        <v>2</v>
      </c>
      <c r="D58" s="4" t="s">
        <v>22</v>
      </c>
      <c r="E58" s="15"/>
    </row>
    <row r="59" spans="1:5" x14ac:dyDescent="0.3">
      <c r="A59" s="4">
        <v>1607</v>
      </c>
      <c r="B59" s="4" t="s">
        <v>96</v>
      </c>
      <c r="C59" s="4">
        <v>2</v>
      </c>
      <c r="D59" s="4" t="s">
        <v>22</v>
      </c>
      <c r="E59" s="15">
        <v>8.5399999999999991</v>
      </c>
    </row>
    <row r="60" spans="1:5" x14ac:dyDescent="0.3">
      <c r="A60" s="4">
        <v>1615</v>
      </c>
      <c r="B60" s="4" t="s">
        <v>97</v>
      </c>
      <c r="C60" s="4">
        <v>4</v>
      </c>
      <c r="D60" s="4" t="s">
        <v>22</v>
      </c>
      <c r="E60" s="15"/>
    </row>
    <row r="61" spans="1:5" x14ac:dyDescent="0.3">
      <c r="A61" s="4">
        <v>1618</v>
      </c>
      <c r="B61" s="4" t="s">
        <v>98</v>
      </c>
      <c r="C61" s="4">
        <v>6</v>
      </c>
      <c r="D61" s="4" t="s">
        <v>22</v>
      </c>
      <c r="E61" s="15"/>
    </row>
    <row r="62" spans="1:5" x14ac:dyDescent="0.3">
      <c r="A62" s="4">
        <v>1629</v>
      </c>
      <c r="B62" s="4" t="s">
        <v>99</v>
      </c>
      <c r="C62" s="4">
        <v>2</v>
      </c>
      <c r="D62" s="4" t="s">
        <v>100</v>
      </c>
      <c r="E62" s="15"/>
    </row>
    <row r="63" spans="1:5" x14ac:dyDescent="0.3">
      <c r="A63" s="4">
        <v>1630</v>
      </c>
      <c r="B63" s="4" t="s">
        <v>101</v>
      </c>
      <c r="C63" s="4">
        <v>2</v>
      </c>
      <c r="D63" s="4" t="s">
        <v>100</v>
      </c>
      <c r="E63" s="15"/>
    </row>
    <row r="64" spans="1:5" x14ac:dyDescent="0.3">
      <c r="A64" s="4">
        <v>1640</v>
      </c>
      <c r="B64" s="4" t="s">
        <v>102</v>
      </c>
      <c r="C64" s="4">
        <v>2</v>
      </c>
      <c r="D64" s="4" t="s">
        <v>22</v>
      </c>
      <c r="E64" s="15"/>
    </row>
    <row r="65" spans="1:5" x14ac:dyDescent="0.3">
      <c r="A65" s="4">
        <v>1644</v>
      </c>
      <c r="B65" s="4" t="s">
        <v>103</v>
      </c>
      <c r="C65" s="4">
        <v>6</v>
      </c>
      <c r="D65" s="4" t="s">
        <v>22</v>
      </c>
      <c r="E65" s="15"/>
    </row>
    <row r="66" spans="1:5" x14ac:dyDescent="0.3">
      <c r="A66" s="4">
        <v>1645</v>
      </c>
      <c r="B66" s="4" t="s">
        <v>104</v>
      </c>
      <c r="C66" s="4">
        <v>4</v>
      </c>
      <c r="D66" s="4" t="s">
        <v>105</v>
      </c>
      <c r="E66" s="15"/>
    </row>
    <row r="67" spans="1:5" x14ac:dyDescent="0.3">
      <c r="A67" s="4">
        <v>1648</v>
      </c>
      <c r="B67" s="4" t="s">
        <v>106</v>
      </c>
      <c r="C67" s="4">
        <v>4</v>
      </c>
      <c r="D67" s="4" t="s">
        <v>107</v>
      </c>
      <c r="E67" s="15"/>
    </row>
    <row r="68" spans="1:5" x14ac:dyDescent="0.3">
      <c r="A68" s="4">
        <v>1659</v>
      </c>
      <c r="B68" s="4" t="s">
        <v>108</v>
      </c>
      <c r="C68" s="4">
        <v>4</v>
      </c>
      <c r="D68" s="4"/>
      <c r="E68" s="15"/>
    </row>
    <row r="69" spans="1:5" x14ac:dyDescent="0.3">
      <c r="A69" s="4">
        <v>1664</v>
      </c>
      <c r="B69" s="4" t="s">
        <v>109</v>
      </c>
      <c r="C69" s="4">
        <v>4</v>
      </c>
      <c r="D69" s="4" t="s">
        <v>22</v>
      </c>
      <c r="E69" s="15"/>
    </row>
    <row r="70" spans="1:5" x14ac:dyDescent="0.3">
      <c r="A70" s="4">
        <v>1672</v>
      </c>
      <c r="B70" s="4" t="s">
        <v>110</v>
      </c>
      <c r="C70" s="4">
        <v>4</v>
      </c>
      <c r="D70" s="4" t="s">
        <v>22</v>
      </c>
      <c r="E70" s="15"/>
    </row>
    <row r="71" spans="1:5" x14ac:dyDescent="0.3">
      <c r="A71" s="4">
        <v>1677</v>
      </c>
      <c r="B71" s="4" t="s">
        <v>111</v>
      </c>
      <c r="C71" s="4">
        <v>2</v>
      </c>
      <c r="D71" s="4" t="s">
        <v>22</v>
      </c>
      <c r="E71" s="15"/>
    </row>
    <row r="72" spans="1:5" x14ac:dyDescent="0.3">
      <c r="A72" s="4">
        <v>1680</v>
      </c>
      <c r="B72" s="4" t="s">
        <v>112</v>
      </c>
      <c r="C72" s="4">
        <v>2</v>
      </c>
      <c r="D72" s="4" t="s">
        <v>113</v>
      </c>
      <c r="E72" s="15"/>
    </row>
    <row r="73" spans="1:5" x14ac:dyDescent="0.3">
      <c r="A73" s="4">
        <v>1681</v>
      </c>
      <c r="B73" s="4" t="s">
        <v>114</v>
      </c>
      <c r="C73" s="4">
        <v>4</v>
      </c>
      <c r="D73" s="4" t="s">
        <v>22</v>
      </c>
      <c r="E73" s="15"/>
    </row>
    <row r="74" spans="1:5" x14ac:dyDescent="0.3">
      <c r="A74" s="4">
        <v>1683</v>
      </c>
      <c r="B74" s="4" t="s">
        <v>115</v>
      </c>
      <c r="C74" s="4">
        <v>4</v>
      </c>
      <c r="D74" s="4"/>
      <c r="E74" s="15"/>
    </row>
    <row r="75" spans="1:5" x14ac:dyDescent="0.3">
      <c r="A75" s="4">
        <v>1684</v>
      </c>
      <c r="B75" s="4" t="s">
        <v>116</v>
      </c>
      <c r="C75" s="4">
        <v>4</v>
      </c>
      <c r="D75" s="4" t="s">
        <v>22</v>
      </c>
      <c r="E75" s="15"/>
    </row>
    <row r="76" spans="1:5" x14ac:dyDescent="0.3">
      <c r="A76" s="4">
        <v>1685</v>
      </c>
      <c r="B76" s="4" t="s">
        <v>117</v>
      </c>
      <c r="C76" s="4">
        <v>4</v>
      </c>
      <c r="D76" s="4" t="s">
        <v>22</v>
      </c>
      <c r="E76" s="15"/>
    </row>
    <row r="77" spans="1:5" x14ac:dyDescent="0.3">
      <c r="A77" s="4">
        <v>1687</v>
      </c>
      <c r="B77" s="4" t="s">
        <v>118</v>
      </c>
      <c r="C77" s="4">
        <v>4</v>
      </c>
      <c r="D77" s="4" t="s">
        <v>119</v>
      </c>
      <c r="E77" s="15"/>
    </row>
    <row r="78" spans="1:5" x14ac:dyDescent="0.3">
      <c r="A78" s="4">
        <v>1688</v>
      </c>
      <c r="B78" s="4" t="s">
        <v>120</v>
      </c>
      <c r="C78" s="4">
        <v>2</v>
      </c>
      <c r="D78" s="4" t="s">
        <v>121</v>
      </c>
      <c r="E78" s="15"/>
    </row>
    <row r="79" spans="1:5" x14ac:dyDescent="0.3">
      <c r="A79" s="4">
        <v>1696</v>
      </c>
      <c r="B79" s="4" t="s">
        <v>122</v>
      </c>
      <c r="C79" s="4">
        <v>1</v>
      </c>
      <c r="D79" s="4" t="s">
        <v>22</v>
      </c>
      <c r="E79" s="15"/>
    </row>
    <row r="80" spans="1:5" x14ac:dyDescent="0.3">
      <c r="A80" s="4">
        <v>1700</v>
      </c>
      <c r="B80" s="4" t="s">
        <v>123</v>
      </c>
      <c r="C80" s="4">
        <v>1</v>
      </c>
      <c r="D80" s="4" t="s">
        <v>124</v>
      </c>
      <c r="E80" s="15"/>
    </row>
    <row r="81" spans="1:5" x14ac:dyDescent="0.3">
      <c r="A81" s="4">
        <v>1703</v>
      </c>
      <c r="B81" s="4" t="s">
        <v>125</v>
      </c>
      <c r="C81" s="4">
        <v>2</v>
      </c>
      <c r="D81" s="4" t="s">
        <v>126</v>
      </c>
      <c r="E81" s="15"/>
    </row>
    <row r="82" spans="1:5" x14ac:dyDescent="0.3">
      <c r="A82" s="4">
        <v>1704</v>
      </c>
      <c r="B82" s="4" t="s">
        <v>127</v>
      </c>
      <c r="C82" s="4">
        <v>4</v>
      </c>
      <c r="D82" s="4" t="s">
        <v>128</v>
      </c>
      <c r="E82" s="15">
        <v>99.2</v>
      </c>
    </row>
    <row r="83" spans="1:5" x14ac:dyDescent="0.3">
      <c r="A83" s="4">
        <v>1705</v>
      </c>
      <c r="B83" s="4" t="s">
        <v>129</v>
      </c>
      <c r="C83" s="4">
        <v>2</v>
      </c>
      <c r="D83" s="4" t="s">
        <v>22</v>
      </c>
      <c r="E83" s="15"/>
    </row>
    <row r="84" spans="1:5" x14ac:dyDescent="0.3">
      <c r="A84" s="4">
        <v>1709</v>
      </c>
      <c r="B84" s="4"/>
      <c r="C84" s="4"/>
      <c r="D84" s="4"/>
      <c r="E84" s="15">
        <v>99.2</v>
      </c>
    </row>
    <row r="85" spans="1:5" x14ac:dyDescent="0.3">
      <c r="A85" s="4">
        <v>1711</v>
      </c>
      <c r="B85" s="4" t="s">
        <v>130</v>
      </c>
      <c r="C85" s="4">
        <v>2</v>
      </c>
      <c r="D85" s="4" t="s">
        <v>131</v>
      </c>
      <c r="E85" s="15"/>
    </row>
    <row r="86" spans="1:5" x14ac:dyDescent="0.3">
      <c r="A86" s="4">
        <v>1712</v>
      </c>
      <c r="B86" s="4" t="s">
        <v>132</v>
      </c>
      <c r="C86" s="4"/>
      <c r="D86" s="4"/>
      <c r="E86" s="15"/>
    </row>
    <row r="87" spans="1:5" x14ac:dyDescent="0.3">
      <c r="A87" s="4">
        <v>1714</v>
      </c>
      <c r="B87" s="4" t="s">
        <v>133</v>
      </c>
      <c r="C87" s="4">
        <v>6</v>
      </c>
      <c r="D87" s="4" t="s">
        <v>79</v>
      </c>
      <c r="E87" s="15">
        <v>85.9</v>
      </c>
    </row>
    <row r="88" spans="1:5" x14ac:dyDescent="0.3">
      <c r="A88" s="4">
        <v>1715</v>
      </c>
      <c r="B88" s="4" t="s">
        <v>134</v>
      </c>
      <c r="C88" s="4">
        <v>2</v>
      </c>
      <c r="D88" s="4" t="s">
        <v>22</v>
      </c>
      <c r="E88" s="15">
        <v>14.18</v>
      </c>
    </row>
    <row r="89" spans="1:5" x14ac:dyDescent="0.3">
      <c r="A89" s="4">
        <v>1723</v>
      </c>
      <c r="B89" s="4" t="s">
        <v>135</v>
      </c>
      <c r="C89" s="4">
        <v>2</v>
      </c>
      <c r="D89" s="4" t="s">
        <v>22</v>
      </c>
      <c r="E89" s="15"/>
    </row>
    <row r="90" spans="1:5" x14ac:dyDescent="0.3">
      <c r="A90" s="4">
        <v>1725</v>
      </c>
      <c r="B90" s="4" t="s">
        <v>136</v>
      </c>
      <c r="C90" s="4">
        <v>2</v>
      </c>
      <c r="D90" s="4" t="s">
        <v>22</v>
      </c>
      <c r="E90" s="15"/>
    </row>
    <row r="91" spans="1:5" x14ac:dyDescent="0.3">
      <c r="A91" s="4">
        <v>1726</v>
      </c>
      <c r="B91" s="4" t="s">
        <v>137</v>
      </c>
      <c r="C91" s="4">
        <v>2</v>
      </c>
      <c r="D91" s="4" t="s">
        <v>22</v>
      </c>
      <c r="E91" s="15"/>
    </row>
    <row r="92" spans="1:5" x14ac:dyDescent="0.3">
      <c r="A92" s="4">
        <v>1727</v>
      </c>
      <c r="B92" s="4" t="s">
        <v>138</v>
      </c>
      <c r="C92" s="4">
        <v>4</v>
      </c>
      <c r="D92" s="4" t="s">
        <v>139</v>
      </c>
      <c r="E92" s="15"/>
    </row>
    <row r="93" spans="1:5" x14ac:dyDescent="0.3">
      <c r="A93" s="4">
        <v>1731</v>
      </c>
      <c r="B93" s="4" t="s">
        <v>140</v>
      </c>
      <c r="C93" s="4">
        <v>2</v>
      </c>
      <c r="D93" s="4" t="s">
        <v>141</v>
      </c>
      <c r="E93" s="15"/>
    </row>
    <row r="94" spans="1:5" x14ac:dyDescent="0.3">
      <c r="A94" s="4">
        <v>1737</v>
      </c>
      <c r="B94" s="4" t="s">
        <v>142</v>
      </c>
      <c r="C94" s="4">
        <v>2</v>
      </c>
      <c r="D94" s="4" t="s">
        <v>22</v>
      </c>
      <c r="E94" s="15"/>
    </row>
    <row r="95" spans="1:5" x14ac:dyDescent="0.3">
      <c r="A95" s="4">
        <v>1738</v>
      </c>
      <c r="B95" s="4" t="s">
        <v>143</v>
      </c>
      <c r="C95" s="4">
        <v>2</v>
      </c>
      <c r="D95" s="4" t="s">
        <v>22</v>
      </c>
      <c r="E95" s="15"/>
    </row>
    <row r="96" spans="1:5" x14ac:dyDescent="0.3">
      <c r="A96" s="4">
        <v>1743</v>
      </c>
      <c r="B96" s="4" t="s">
        <v>144</v>
      </c>
      <c r="C96" s="4">
        <v>2</v>
      </c>
      <c r="D96" s="4" t="s">
        <v>22</v>
      </c>
      <c r="E96" s="15"/>
    </row>
    <row r="97" spans="1:5" x14ac:dyDescent="0.3">
      <c r="A97" s="4">
        <v>1744</v>
      </c>
      <c r="B97" s="4" t="s">
        <v>145</v>
      </c>
      <c r="C97" s="4">
        <v>2</v>
      </c>
      <c r="D97" s="4" t="s">
        <v>146</v>
      </c>
      <c r="E97" s="15">
        <v>10</v>
      </c>
    </row>
    <row r="98" spans="1:5" x14ac:dyDescent="0.3">
      <c r="A98" s="4">
        <v>1745</v>
      </c>
      <c r="B98" s="4" t="s">
        <v>147</v>
      </c>
      <c r="C98" s="4">
        <v>2</v>
      </c>
      <c r="D98" s="4" t="s">
        <v>22</v>
      </c>
      <c r="E98" s="15"/>
    </row>
    <row r="99" spans="1:5" x14ac:dyDescent="0.3">
      <c r="A99" s="4">
        <v>1766</v>
      </c>
      <c r="B99" s="4" t="s">
        <v>148</v>
      </c>
      <c r="C99" s="4">
        <v>2</v>
      </c>
      <c r="D99" s="4" t="s">
        <v>149</v>
      </c>
      <c r="E99" s="15"/>
    </row>
    <row r="100" spans="1:5" x14ac:dyDescent="0.3">
      <c r="A100" s="4">
        <v>1772</v>
      </c>
      <c r="B100" s="4" t="s">
        <v>150</v>
      </c>
      <c r="C100" s="4">
        <v>4</v>
      </c>
      <c r="D100" s="4" t="s">
        <v>151</v>
      </c>
      <c r="E100" s="15">
        <v>64.19</v>
      </c>
    </row>
    <row r="101" spans="1:5" x14ac:dyDescent="0.3">
      <c r="A101" s="4">
        <v>1773</v>
      </c>
      <c r="B101" s="4" t="s">
        <v>152</v>
      </c>
      <c r="C101" s="4">
        <v>2</v>
      </c>
      <c r="D101" s="4" t="s">
        <v>22</v>
      </c>
      <c r="E101" s="15"/>
    </row>
    <row r="102" spans="1:5" x14ac:dyDescent="0.3">
      <c r="A102" s="4">
        <v>1774</v>
      </c>
      <c r="B102" s="4" t="s">
        <v>153</v>
      </c>
      <c r="C102" s="4">
        <v>2</v>
      </c>
      <c r="D102" s="4" t="s">
        <v>22</v>
      </c>
      <c r="E102" s="15"/>
    </row>
    <row r="103" spans="1:5" x14ac:dyDescent="0.3">
      <c r="A103" s="4">
        <v>1776</v>
      </c>
      <c r="B103" s="4" t="s">
        <v>154</v>
      </c>
      <c r="C103" s="4">
        <v>4</v>
      </c>
      <c r="D103" s="4" t="s">
        <v>155</v>
      </c>
      <c r="E103" s="15"/>
    </row>
    <row r="104" spans="1:5" x14ac:dyDescent="0.3">
      <c r="A104" s="4">
        <v>1777</v>
      </c>
      <c r="B104" s="4" t="s">
        <v>156</v>
      </c>
      <c r="C104" s="4">
        <v>2</v>
      </c>
      <c r="D104" s="4" t="s">
        <v>22</v>
      </c>
      <c r="E104" s="15"/>
    </row>
    <row r="105" spans="1:5" x14ac:dyDescent="0.3">
      <c r="A105" s="4">
        <v>1778</v>
      </c>
      <c r="B105" s="4" t="s">
        <v>157</v>
      </c>
      <c r="C105" s="4">
        <v>2</v>
      </c>
      <c r="D105" s="4" t="s">
        <v>22</v>
      </c>
      <c r="E105" s="15"/>
    </row>
    <row r="106" spans="1:5" x14ac:dyDescent="0.3">
      <c r="A106" s="4">
        <v>1780</v>
      </c>
      <c r="B106" s="4" t="s">
        <v>53</v>
      </c>
      <c r="C106" s="4">
        <v>4</v>
      </c>
      <c r="D106" s="4" t="s">
        <v>22</v>
      </c>
      <c r="E106" s="15"/>
    </row>
    <row r="107" spans="1:5" x14ac:dyDescent="0.3">
      <c r="A107" s="4">
        <v>1781</v>
      </c>
      <c r="B107" s="4" t="s">
        <v>158</v>
      </c>
      <c r="C107" s="4">
        <v>4</v>
      </c>
      <c r="D107" s="4" t="s">
        <v>159</v>
      </c>
      <c r="E107" s="15">
        <v>30.3</v>
      </c>
    </row>
    <row r="108" spans="1:5" x14ac:dyDescent="0.3">
      <c r="A108" s="4">
        <v>1782</v>
      </c>
      <c r="B108" s="4" t="s">
        <v>160</v>
      </c>
      <c r="C108" s="4">
        <v>2</v>
      </c>
      <c r="D108" s="4" t="s">
        <v>22</v>
      </c>
      <c r="E108" s="15"/>
    </row>
    <row r="109" spans="1:5" x14ac:dyDescent="0.3">
      <c r="A109" s="4">
        <v>1783</v>
      </c>
      <c r="B109" s="4" t="s">
        <v>161</v>
      </c>
      <c r="C109" s="4">
        <v>2</v>
      </c>
      <c r="D109" s="4" t="s">
        <v>22</v>
      </c>
      <c r="E109" s="15"/>
    </row>
    <row r="110" spans="1:5" x14ac:dyDescent="0.3">
      <c r="A110" s="4">
        <v>1786</v>
      </c>
      <c r="B110" s="4" t="s">
        <v>162</v>
      </c>
      <c r="C110" s="4">
        <v>2</v>
      </c>
      <c r="D110" s="4" t="s">
        <v>163</v>
      </c>
      <c r="E110" s="15">
        <v>8.39</v>
      </c>
    </row>
    <row r="111" spans="1:5" x14ac:dyDescent="0.3">
      <c r="A111" s="4">
        <v>1787</v>
      </c>
      <c r="B111" s="4" t="s">
        <v>164</v>
      </c>
      <c r="C111" s="4">
        <v>2</v>
      </c>
      <c r="D111" s="4" t="s">
        <v>22</v>
      </c>
      <c r="E111" s="15"/>
    </row>
    <row r="112" spans="1:5" x14ac:dyDescent="0.3">
      <c r="A112" s="4">
        <v>1788</v>
      </c>
      <c r="B112" s="4" t="s">
        <v>165</v>
      </c>
      <c r="C112" s="4">
        <v>2</v>
      </c>
      <c r="D112" s="4" t="s">
        <v>22</v>
      </c>
      <c r="E112" s="15"/>
    </row>
    <row r="113" spans="1:5" x14ac:dyDescent="0.3">
      <c r="A113" s="4">
        <v>1789</v>
      </c>
      <c r="B113" s="4" t="s">
        <v>166</v>
      </c>
      <c r="C113" s="4">
        <v>2</v>
      </c>
      <c r="D113" s="4"/>
      <c r="E113" s="15"/>
    </row>
    <row r="114" spans="1:5" x14ac:dyDescent="0.3">
      <c r="A114" s="4">
        <v>1790</v>
      </c>
      <c r="B114" s="4" t="s">
        <v>167</v>
      </c>
      <c r="C114" s="4">
        <v>2</v>
      </c>
      <c r="D114" s="4" t="s">
        <v>168</v>
      </c>
      <c r="E114" s="15">
        <v>151</v>
      </c>
    </row>
    <row r="115" spans="1:5" x14ac:dyDescent="0.3">
      <c r="A115" s="4">
        <v>1795</v>
      </c>
      <c r="B115" s="4" t="s">
        <v>169</v>
      </c>
      <c r="C115" s="4">
        <v>2</v>
      </c>
      <c r="D115" s="4" t="s">
        <v>22</v>
      </c>
      <c r="E115" s="15"/>
    </row>
    <row r="116" spans="1:5" x14ac:dyDescent="0.3">
      <c r="A116" s="4">
        <v>1796</v>
      </c>
      <c r="B116" s="4" t="s">
        <v>170</v>
      </c>
      <c r="C116" s="4">
        <v>2</v>
      </c>
      <c r="D116" s="4" t="s">
        <v>22</v>
      </c>
      <c r="E116" s="15"/>
    </row>
    <row r="117" spans="1:5" x14ac:dyDescent="0.3">
      <c r="A117" s="4">
        <v>1798</v>
      </c>
      <c r="B117" s="4" t="s">
        <v>171</v>
      </c>
      <c r="C117" s="4">
        <v>2</v>
      </c>
      <c r="D117" s="4" t="s">
        <v>22</v>
      </c>
      <c r="E117" s="15"/>
    </row>
    <row r="118" spans="1:5" x14ac:dyDescent="0.3">
      <c r="A118" s="4">
        <v>1799</v>
      </c>
      <c r="B118" s="4" t="s">
        <v>172</v>
      </c>
      <c r="C118" s="4">
        <v>4</v>
      </c>
      <c r="D118" s="4" t="s">
        <v>173</v>
      </c>
      <c r="E118" s="15">
        <v>43.5</v>
      </c>
    </row>
    <row r="119" spans="1:5" x14ac:dyDescent="0.3">
      <c r="A119" s="4">
        <v>1800</v>
      </c>
      <c r="B119" s="4" t="s">
        <v>174</v>
      </c>
      <c r="C119" s="4">
        <v>2</v>
      </c>
      <c r="D119" s="4" t="s">
        <v>22</v>
      </c>
      <c r="E119" s="15">
        <v>5.86</v>
      </c>
    </row>
    <row r="120" spans="1:5" x14ac:dyDescent="0.3">
      <c r="A120" s="4">
        <v>1801</v>
      </c>
      <c r="B120" s="4" t="s">
        <v>175</v>
      </c>
      <c r="C120" s="4">
        <v>2</v>
      </c>
      <c r="D120" s="4" t="s">
        <v>22</v>
      </c>
      <c r="E120" s="15">
        <v>5.86</v>
      </c>
    </row>
    <row r="121" spans="1:5" x14ac:dyDescent="0.3">
      <c r="A121" s="4">
        <v>1803</v>
      </c>
      <c r="B121" s="4" t="s">
        <v>176</v>
      </c>
      <c r="C121" s="4">
        <v>2</v>
      </c>
      <c r="D121" s="4" t="s">
        <v>22</v>
      </c>
      <c r="E121" s="15"/>
    </row>
    <row r="122" spans="1:5" x14ac:dyDescent="0.3">
      <c r="A122" s="4">
        <v>1808</v>
      </c>
      <c r="B122" s="4" t="s">
        <v>177</v>
      </c>
      <c r="C122" s="4">
        <v>4</v>
      </c>
      <c r="D122" s="4" t="s">
        <v>178</v>
      </c>
      <c r="E122" s="15">
        <v>39.72</v>
      </c>
    </row>
    <row r="123" spans="1:5" x14ac:dyDescent="0.3">
      <c r="A123" s="4">
        <v>1809</v>
      </c>
      <c r="B123" s="4" t="s">
        <v>179</v>
      </c>
      <c r="C123" s="4">
        <v>4</v>
      </c>
      <c r="D123" s="4" t="s">
        <v>180</v>
      </c>
      <c r="E123" s="15">
        <v>47.15</v>
      </c>
    </row>
    <row r="124" spans="1:5" x14ac:dyDescent="0.3">
      <c r="A124" s="4">
        <v>1810</v>
      </c>
      <c r="B124" s="4" t="s">
        <v>181</v>
      </c>
      <c r="C124" s="4">
        <v>2</v>
      </c>
      <c r="D124" s="4" t="s">
        <v>22</v>
      </c>
      <c r="E124" s="15">
        <v>5.86</v>
      </c>
    </row>
    <row r="125" spans="1:5" x14ac:dyDescent="0.3">
      <c r="A125" s="4">
        <v>1811</v>
      </c>
      <c r="B125" s="4" t="s">
        <v>182</v>
      </c>
      <c r="C125" s="4">
        <v>2</v>
      </c>
      <c r="D125" s="4" t="s">
        <v>183</v>
      </c>
      <c r="E125" s="15"/>
    </row>
    <row r="126" spans="1:5" x14ac:dyDescent="0.3">
      <c r="A126" s="4">
        <v>1812</v>
      </c>
      <c r="B126" s="4" t="s">
        <v>184</v>
      </c>
      <c r="C126" s="4">
        <v>2</v>
      </c>
      <c r="D126" s="4" t="s">
        <v>185</v>
      </c>
      <c r="E126" s="15"/>
    </row>
    <row r="127" spans="1:5" x14ac:dyDescent="0.3">
      <c r="A127" s="4">
        <v>1813</v>
      </c>
      <c r="B127" s="4" t="s">
        <v>186</v>
      </c>
      <c r="C127" s="4">
        <v>2</v>
      </c>
      <c r="D127" s="4" t="s">
        <v>187</v>
      </c>
      <c r="E127" s="15"/>
    </row>
    <row r="128" spans="1:5" x14ac:dyDescent="0.3">
      <c r="A128" s="4">
        <v>1814</v>
      </c>
      <c r="B128" s="4" t="s">
        <v>188</v>
      </c>
      <c r="C128" s="4">
        <v>2</v>
      </c>
      <c r="D128" s="4" t="s">
        <v>189</v>
      </c>
      <c r="E128" s="15"/>
    </row>
    <row r="129" spans="1:5" x14ac:dyDescent="0.3">
      <c r="A129" s="4">
        <v>1815</v>
      </c>
      <c r="B129" s="4" t="s">
        <v>190</v>
      </c>
      <c r="C129" s="4">
        <v>2</v>
      </c>
      <c r="D129" s="4" t="s">
        <v>22</v>
      </c>
      <c r="E129" s="15"/>
    </row>
    <row r="130" spans="1:5" x14ac:dyDescent="0.3">
      <c r="A130" s="4">
        <v>1816</v>
      </c>
      <c r="B130" s="4" t="s">
        <v>191</v>
      </c>
      <c r="C130" s="4">
        <v>2</v>
      </c>
      <c r="D130" s="4" t="s">
        <v>22</v>
      </c>
      <c r="E130" s="15"/>
    </row>
    <row r="131" spans="1:5" x14ac:dyDescent="0.3">
      <c r="A131" s="4">
        <v>1817</v>
      </c>
      <c r="B131" s="4" t="s">
        <v>192</v>
      </c>
      <c r="C131" s="4">
        <v>2</v>
      </c>
      <c r="D131" s="4" t="s">
        <v>22</v>
      </c>
      <c r="E131" s="15"/>
    </row>
    <row r="132" spans="1:5" x14ac:dyDescent="0.3">
      <c r="A132" s="4">
        <v>1818</v>
      </c>
      <c r="B132" s="4" t="s">
        <v>193</v>
      </c>
      <c r="C132" s="4">
        <v>2</v>
      </c>
      <c r="D132" s="4" t="s">
        <v>22</v>
      </c>
      <c r="E132" s="15"/>
    </row>
    <row r="133" spans="1:5" x14ac:dyDescent="0.3">
      <c r="A133" s="4">
        <v>1821</v>
      </c>
      <c r="B133" s="4" t="s">
        <v>194</v>
      </c>
      <c r="C133" s="4">
        <v>2</v>
      </c>
      <c r="D133" s="4" t="s">
        <v>195</v>
      </c>
      <c r="E133" s="15"/>
    </row>
    <row r="134" spans="1:5" x14ac:dyDescent="0.3">
      <c r="A134" s="4">
        <v>1822</v>
      </c>
      <c r="B134" s="4" t="s">
        <v>196</v>
      </c>
      <c r="C134" s="4">
        <v>6</v>
      </c>
      <c r="D134" s="4" t="s">
        <v>22</v>
      </c>
      <c r="E134" s="15"/>
    </row>
    <row r="135" spans="1:5" x14ac:dyDescent="0.3">
      <c r="A135" s="4">
        <v>1825</v>
      </c>
      <c r="B135" s="4" t="s">
        <v>197</v>
      </c>
      <c r="C135" s="4">
        <v>2</v>
      </c>
      <c r="D135" s="4" t="s">
        <v>22</v>
      </c>
      <c r="E135" s="15">
        <v>2.73</v>
      </c>
    </row>
    <row r="136" spans="1:5" x14ac:dyDescent="0.3">
      <c r="A136" s="4">
        <v>1826</v>
      </c>
      <c r="B136" s="4" t="s">
        <v>198</v>
      </c>
      <c r="C136" s="4">
        <v>2</v>
      </c>
      <c r="D136" s="4" t="s">
        <v>199</v>
      </c>
      <c r="E136" s="15"/>
    </row>
    <row r="137" spans="1:5" ht="15.6" x14ac:dyDescent="0.3">
      <c r="A137" s="6" t="s">
        <v>200</v>
      </c>
      <c r="B137" s="5" t="s">
        <v>201</v>
      </c>
      <c r="C137" s="4">
        <v>4</v>
      </c>
      <c r="D137" s="4"/>
      <c r="E137" s="15">
        <v>5.0999999999999996</v>
      </c>
    </row>
    <row r="138" spans="1:5" x14ac:dyDescent="0.3">
      <c r="A138" s="4">
        <v>1829</v>
      </c>
      <c r="B138" s="4" t="s">
        <v>202</v>
      </c>
      <c r="C138" s="4">
        <v>12</v>
      </c>
      <c r="D138" s="4" t="s">
        <v>203</v>
      </c>
      <c r="E138" s="15"/>
    </row>
    <row r="139" spans="1:5" x14ac:dyDescent="0.3">
      <c r="A139" s="4">
        <v>1830</v>
      </c>
      <c r="B139" s="4" t="s">
        <v>204</v>
      </c>
      <c r="C139" s="4">
        <v>2</v>
      </c>
      <c r="D139" s="4" t="s">
        <v>205</v>
      </c>
      <c r="E139" s="15"/>
    </row>
    <row r="140" spans="1:5" x14ac:dyDescent="0.3">
      <c r="A140" s="4">
        <v>1985</v>
      </c>
      <c r="B140" s="4" t="s">
        <v>206</v>
      </c>
      <c r="C140" s="4">
        <v>2</v>
      </c>
      <c r="D140" s="4" t="s">
        <v>205</v>
      </c>
      <c r="E140" s="15"/>
    </row>
    <row r="141" spans="1:5" x14ac:dyDescent="0.3">
      <c r="A141" s="4">
        <v>1831</v>
      </c>
      <c r="B141" s="4" t="s">
        <v>207</v>
      </c>
      <c r="C141" s="4">
        <v>2</v>
      </c>
      <c r="D141" s="4" t="s">
        <v>22</v>
      </c>
      <c r="E141" s="15"/>
    </row>
    <row r="142" spans="1:5" x14ac:dyDescent="0.3">
      <c r="A142" s="4">
        <v>1836</v>
      </c>
      <c r="B142" s="4" t="s">
        <v>208</v>
      </c>
      <c r="C142" s="4">
        <v>4</v>
      </c>
      <c r="D142" s="4" t="s">
        <v>209</v>
      </c>
      <c r="E142" s="15"/>
    </row>
    <row r="143" spans="1:5" x14ac:dyDescent="0.3">
      <c r="A143" s="4">
        <v>1837</v>
      </c>
      <c r="B143" s="4" t="s">
        <v>210</v>
      </c>
      <c r="C143" s="4">
        <v>4</v>
      </c>
      <c r="D143" s="4" t="s">
        <v>22</v>
      </c>
      <c r="E143" s="15"/>
    </row>
    <row r="144" spans="1:5" x14ac:dyDescent="0.3">
      <c r="A144" s="4">
        <v>2013</v>
      </c>
      <c r="B144" s="4" t="s">
        <v>211</v>
      </c>
      <c r="C144" s="4">
        <v>6</v>
      </c>
      <c r="D144" s="4" t="s">
        <v>22</v>
      </c>
      <c r="E144" s="15"/>
    </row>
    <row r="145" spans="1:5" x14ac:dyDescent="0.3">
      <c r="A145" s="4" t="s">
        <v>212</v>
      </c>
      <c r="B145" s="4" t="s">
        <v>213</v>
      </c>
      <c r="C145" s="4">
        <v>4</v>
      </c>
      <c r="D145" s="4" t="s">
        <v>22</v>
      </c>
      <c r="E145" s="15"/>
    </row>
    <row r="146" spans="1:5" x14ac:dyDescent="0.3">
      <c r="A146" s="4">
        <v>1846</v>
      </c>
      <c r="B146" s="4" t="s">
        <v>214</v>
      </c>
      <c r="C146" s="4">
        <v>6</v>
      </c>
      <c r="D146" s="4" t="s">
        <v>22</v>
      </c>
      <c r="E146" s="15"/>
    </row>
    <row r="147" spans="1:5" x14ac:dyDescent="0.3">
      <c r="A147" s="4">
        <v>2004</v>
      </c>
      <c r="B147" s="4" t="s">
        <v>215</v>
      </c>
      <c r="C147" s="4">
        <v>18</v>
      </c>
      <c r="D147" s="4" t="s">
        <v>22</v>
      </c>
      <c r="E147" s="15"/>
    </row>
    <row r="148" spans="1:5" x14ac:dyDescent="0.3">
      <c r="A148" s="4">
        <v>1848</v>
      </c>
      <c r="B148" s="4" t="s">
        <v>216</v>
      </c>
      <c r="C148" s="4">
        <v>1</v>
      </c>
      <c r="D148" s="4" t="s">
        <v>217</v>
      </c>
      <c r="E148" s="15"/>
    </row>
    <row r="149" spans="1:5" x14ac:dyDescent="0.3">
      <c r="A149" s="4">
        <v>1850</v>
      </c>
      <c r="B149" s="4" t="s">
        <v>218</v>
      </c>
      <c r="C149" s="4">
        <v>4</v>
      </c>
      <c r="D149" s="4" t="s">
        <v>219</v>
      </c>
      <c r="E149" s="15">
        <v>20.72</v>
      </c>
    </row>
    <row r="150" spans="1:5" x14ac:dyDescent="0.3">
      <c r="A150" s="4">
        <v>1852</v>
      </c>
      <c r="B150" s="4" t="s">
        <v>220</v>
      </c>
      <c r="C150" s="4">
        <v>2</v>
      </c>
      <c r="D150" s="4" t="s">
        <v>221</v>
      </c>
      <c r="E150" s="15"/>
    </row>
    <row r="151" spans="1:5" x14ac:dyDescent="0.3">
      <c r="A151" s="4">
        <v>1853</v>
      </c>
      <c r="B151" s="4" t="s">
        <v>222</v>
      </c>
      <c r="C151" s="4">
        <v>2</v>
      </c>
      <c r="D151" s="4" t="s">
        <v>223</v>
      </c>
      <c r="E151" s="15">
        <v>44.6</v>
      </c>
    </row>
    <row r="152" spans="1:5" x14ac:dyDescent="0.3">
      <c r="A152" s="4">
        <v>1854</v>
      </c>
      <c r="B152" s="4" t="s">
        <v>224</v>
      </c>
      <c r="C152" s="4">
        <v>2</v>
      </c>
      <c r="D152" s="4" t="s">
        <v>225</v>
      </c>
      <c r="E152" s="15">
        <v>22</v>
      </c>
    </row>
    <row r="153" spans="1:5" x14ac:dyDescent="0.3">
      <c r="A153" s="4">
        <v>1855</v>
      </c>
      <c r="B153" s="4" t="s">
        <v>226</v>
      </c>
      <c r="C153" s="4">
        <v>2</v>
      </c>
      <c r="D153" s="4" t="s">
        <v>22</v>
      </c>
      <c r="E153" s="15"/>
    </row>
    <row r="154" spans="1:5" x14ac:dyDescent="0.3">
      <c r="A154" s="4">
        <v>1857</v>
      </c>
      <c r="B154" s="4" t="s">
        <v>227</v>
      </c>
      <c r="C154" s="4">
        <v>0</v>
      </c>
      <c r="D154" s="4" t="s">
        <v>228</v>
      </c>
      <c r="E154" s="15"/>
    </row>
    <row r="155" spans="1:5" x14ac:dyDescent="0.3">
      <c r="A155" s="4">
        <v>1858</v>
      </c>
      <c r="B155" s="4" t="s">
        <v>229</v>
      </c>
      <c r="C155" s="4">
        <v>0</v>
      </c>
      <c r="D155" s="4" t="s">
        <v>22</v>
      </c>
      <c r="E155" s="15"/>
    </row>
    <row r="156" spans="1:5" x14ac:dyDescent="0.3">
      <c r="A156" s="4">
        <v>1860</v>
      </c>
      <c r="B156" s="4" t="s">
        <v>230</v>
      </c>
      <c r="C156" s="4">
        <v>4</v>
      </c>
      <c r="D156" s="4" t="s">
        <v>231</v>
      </c>
      <c r="E156" s="15">
        <v>20.86</v>
      </c>
    </row>
    <row r="157" spans="1:5" x14ac:dyDescent="0.3">
      <c r="A157" s="4">
        <v>1861</v>
      </c>
      <c r="B157" s="4" t="s">
        <v>232</v>
      </c>
      <c r="C157" s="4">
        <v>8</v>
      </c>
      <c r="D157" s="4" t="s">
        <v>79</v>
      </c>
      <c r="E157" s="15">
        <v>92</v>
      </c>
    </row>
    <row r="158" spans="1:5" x14ac:dyDescent="0.3">
      <c r="A158" s="4">
        <v>1866</v>
      </c>
      <c r="B158" s="4" t="s">
        <v>233</v>
      </c>
      <c r="C158" s="4">
        <v>4</v>
      </c>
      <c r="D158" s="4" t="s">
        <v>163</v>
      </c>
      <c r="E158" s="15"/>
    </row>
    <row r="159" spans="1:5" x14ac:dyDescent="0.3">
      <c r="A159" s="4">
        <v>1867</v>
      </c>
      <c r="B159" s="4" t="s">
        <v>234</v>
      </c>
      <c r="C159" s="4">
        <v>2</v>
      </c>
      <c r="D159" s="4" t="s">
        <v>22</v>
      </c>
      <c r="E159" s="15"/>
    </row>
    <row r="160" spans="1:5" x14ac:dyDescent="0.3">
      <c r="A160" s="4">
        <v>1869</v>
      </c>
      <c r="B160" s="4" t="s">
        <v>235</v>
      </c>
      <c r="C160" s="4">
        <v>4</v>
      </c>
      <c r="D160" s="4" t="s">
        <v>22</v>
      </c>
      <c r="E160" s="15"/>
    </row>
    <row r="161" spans="1:5" x14ac:dyDescent="0.3">
      <c r="A161" s="4">
        <v>1870</v>
      </c>
      <c r="B161" s="4" t="s">
        <v>236</v>
      </c>
      <c r="C161" s="4">
        <v>4</v>
      </c>
      <c r="D161" s="4" t="s">
        <v>22</v>
      </c>
      <c r="E161" s="15"/>
    </row>
    <row r="162" spans="1:5" x14ac:dyDescent="0.3">
      <c r="A162" s="4">
        <v>1871</v>
      </c>
      <c r="B162" s="4" t="s">
        <v>237</v>
      </c>
      <c r="C162" s="4">
        <v>4</v>
      </c>
      <c r="D162" s="4"/>
      <c r="E162" s="15"/>
    </row>
    <row r="163" spans="1:5" x14ac:dyDescent="0.3">
      <c r="A163" s="4">
        <v>1872</v>
      </c>
      <c r="B163" s="4" t="s">
        <v>238</v>
      </c>
      <c r="C163" s="4">
        <v>2</v>
      </c>
      <c r="D163" s="4" t="s">
        <v>239</v>
      </c>
      <c r="E163" s="15"/>
    </row>
    <row r="164" spans="1:5" x14ac:dyDescent="0.3">
      <c r="A164" s="4">
        <v>1873</v>
      </c>
      <c r="B164" s="4" t="s">
        <v>240</v>
      </c>
      <c r="C164" s="4">
        <v>2</v>
      </c>
      <c r="D164" s="4"/>
      <c r="E164" s="15"/>
    </row>
    <row r="165" spans="1:5" x14ac:dyDescent="0.3">
      <c r="A165" s="4">
        <v>1877</v>
      </c>
      <c r="B165" s="4" t="s">
        <v>241</v>
      </c>
      <c r="C165" s="4">
        <v>2</v>
      </c>
      <c r="D165" s="4" t="s">
        <v>242</v>
      </c>
      <c r="E165" s="15">
        <v>121.5</v>
      </c>
    </row>
    <row r="166" spans="1:5" x14ac:dyDescent="0.3">
      <c r="A166" s="4">
        <v>1878</v>
      </c>
      <c r="B166" s="4" t="s">
        <v>243</v>
      </c>
      <c r="C166" s="4">
        <v>2</v>
      </c>
      <c r="D166" s="4"/>
      <c r="E166" s="15"/>
    </row>
    <row r="167" spans="1:5" x14ac:dyDescent="0.3">
      <c r="A167" s="4">
        <v>1879</v>
      </c>
      <c r="B167" s="4" t="s">
        <v>244</v>
      </c>
      <c r="C167" s="4">
        <v>2</v>
      </c>
      <c r="D167" s="4" t="s">
        <v>245</v>
      </c>
      <c r="E167" s="15">
        <v>22.6</v>
      </c>
    </row>
    <row r="168" spans="1:5" x14ac:dyDescent="0.3">
      <c r="A168" s="4">
        <v>1880</v>
      </c>
      <c r="B168" s="4" t="s">
        <v>246</v>
      </c>
      <c r="C168" s="4">
        <v>2</v>
      </c>
      <c r="D168" s="4" t="s">
        <v>22</v>
      </c>
      <c r="E168" s="15">
        <v>22.33</v>
      </c>
    </row>
    <row r="169" spans="1:5" x14ac:dyDescent="0.3">
      <c r="A169" s="4">
        <v>1881</v>
      </c>
      <c r="B169" s="4" t="s">
        <v>247</v>
      </c>
      <c r="C169" s="4">
        <v>2</v>
      </c>
      <c r="D169" s="4" t="s">
        <v>248</v>
      </c>
      <c r="E169" s="15"/>
    </row>
    <row r="170" spans="1:5" x14ac:dyDescent="0.3">
      <c r="A170" s="4">
        <v>1882</v>
      </c>
      <c r="B170" s="4" t="s">
        <v>249</v>
      </c>
      <c r="C170" s="4">
        <v>2</v>
      </c>
      <c r="D170" s="4" t="s">
        <v>22</v>
      </c>
      <c r="E170" s="15"/>
    </row>
    <row r="171" spans="1:5" x14ac:dyDescent="0.3">
      <c r="A171" s="4">
        <v>1883</v>
      </c>
      <c r="B171" s="4" t="s">
        <v>250</v>
      </c>
      <c r="C171" s="4">
        <v>2</v>
      </c>
      <c r="D171" s="4" t="s">
        <v>251</v>
      </c>
      <c r="E171" s="15"/>
    </row>
    <row r="172" spans="1:5" x14ac:dyDescent="0.3">
      <c r="A172" s="4">
        <v>1884</v>
      </c>
      <c r="B172" s="4" t="s">
        <v>252</v>
      </c>
      <c r="C172" s="4">
        <v>2</v>
      </c>
      <c r="D172" s="4" t="s">
        <v>22</v>
      </c>
      <c r="E172" s="15">
        <v>20.09</v>
      </c>
    </row>
    <row r="173" spans="1:5" x14ac:dyDescent="0.3">
      <c r="A173" s="4">
        <v>1885</v>
      </c>
      <c r="B173" s="4" t="s">
        <v>253</v>
      </c>
      <c r="C173" s="4">
        <v>2</v>
      </c>
      <c r="D173" s="4" t="s">
        <v>254</v>
      </c>
      <c r="E173" s="15"/>
    </row>
    <row r="174" spans="1:5" x14ac:dyDescent="0.3">
      <c r="A174" s="4">
        <v>1886</v>
      </c>
      <c r="B174" s="4" t="s">
        <v>255</v>
      </c>
      <c r="C174" s="4">
        <v>2</v>
      </c>
      <c r="D174" s="4" t="s">
        <v>22</v>
      </c>
      <c r="E174" s="15"/>
    </row>
    <row r="175" spans="1:5" x14ac:dyDescent="0.3">
      <c r="A175" s="4">
        <v>1887</v>
      </c>
      <c r="B175" s="4" t="s">
        <v>256</v>
      </c>
      <c r="C175" s="4">
        <v>2</v>
      </c>
      <c r="D175" s="4" t="s">
        <v>22</v>
      </c>
      <c r="E175" s="15"/>
    </row>
    <row r="176" spans="1:5" x14ac:dyDescent="0.3">
      <c r="A176" s="4">
        <v>1888</v>
      </c>
      <c r="B176" s="4" t="s">
        <v>257</v>
      </c>
      <c r="C176" s="4">
        <v>2</v>
      </c>
      <c r="D176" s="4" t="s">
        <v>22</v>
      </c>
      <c r="E176" s="15"/>
    </row>
    <row r="177" spans="1:5" ht="28.8" x14ac:dyDescent="0.3">
      <c r="A177" s="4">
        <v>1889</v>
      </c>
      <c r="B177" s="4" t="s">
        <v>258</v>
      </c>
      <c r="C177" s="4">
        <v>2</v>
      </c>
      <c r="D177" s="4" t="s">
        <v>259</v>
      </c>
      <c r="E177" s="15"/>
    </row>
    <row r="178" spans="1:5" x14ac:dyDescent="0.3">
      <c r="A178" s="4">
        <v>1890</v>
      </c>
      <c r="B178" s="4" t="s">
        <v>260</v>
      </c>
      <c r="C178" s="4">
        <v>4</v>
      </c>
      <c r="D178" s="4" t="s">
        <v>261</v>
      </c>
      <c r="E178" s="15">
        <v>51.66</v>
      </c>
    </row>
    <row r="179" spans="1:5" x14ac:dyDescent="0.3">
      <c r="A179" s="4">
        <v>1896</v>
      </c>
      <c r="B179" s="4" t="s">
        <v>262</v>
      </c>
      <c r="C179" s="4">
        <v>4</v>
      </c>
      <c r="D179" s="4" t="s">
        <v>22</v>
      </c>
      <c r="E179" s="15"/>
    </row>
    <row r="180" spans="1:5" x14ac:dyDescent="0.3">
      <c r="A180" s="4">
        <v>1897</v>
      </c>
      <c r="B180" s="4" t="s">
        <v>263</v>
      </c>
      <c r="C180" s="4">
        <v>6</v>
      </c>
      <c r="D180" s="4" t="s">
        <v>231</v>
      </c>
      <c r="E180" s="15">
        <v>32</v>
      </c>
    </row>
    <row r="181" spans="1:5" x14ac:dyDescent="0.3">
      <c r="A181" s="4">
        <v>1899</v>
      </c>
      <c r="B181" s="4" t="s">
        <v>264</v>
      </c>
      <c r="C181" s="4">
        <v>1</v>
      </c>
      <c r="D181" s="4" t="s">
        <v>265</v>
      </c>
      <c r="E181" s="15">
        <v>396.89</v>
      </c>
    </row>
    <row r="182" spans="1:5" x14ac:dyDescent="0.3">
      <c r="A182" s="4">
        <v>1898</v>
      </c>
      <c r="B182" s="4" t="s">
        <v>264</v>
      </c>
      <c r="C182" s="4">
        <v>1</v>
      </c>
      <c r="D182" s="4" t="s">
        <v>265</v>
      </c>
      <c r="E182" s="15">
        <v>220.4</v>
      </c>
    </row>
    <row r="183" spans="1:5" x14ac:dyDescent="0.3">
      <c r="A183" s="4">
        <v>1904</v>
      </c>
      <c r="B183" s="4" t="s">
        <v>266</v>
      </c>
      <c r="C183" s="4">
        <v>4</v>
      </c>
      <c r="D183" s="4" t="s">
        <v>22</v>
      </c>
      <c r="E183" s="15">
        <v>10</v>
      </c>
    </row>
    <row r="184" spans="1:5" x14ac:dyDescent="0.3">
      <c r="A184" s="4">
        <v>1905</v>
      </c>
      <c r="B184" s="4" t="s">
        <v>267</v>
      </c>
      <c r="C184" s="4">
        <v>4</v>
      </c>
      <c r="D184" s="4" t="s">
        <v>22</v>
      </c>
      <c r="E184" s="15">
        <v>3.55</v>
      </c>
    </row>
    <row r="185" spans="1:5" x14ac:dyDescent="0.3">
      <c r="A185" s="4">
        <v>1906</v>
      </c>
      <c r="B185" s="4" t="s">
        <v>268</v>
      </c>
      <c r="C185" s="4">
        <v>2</v>
      </c>
      <c r="D185" s="4" t="s">
        <v>269</v>
      </c>
      <c r="E185" s="15"/>
    </row>
    <row r="186" spans="1:5" x14ac:dyDescent="0.3">
      <c r="A186" s="4">
        <v>1907</v>
      </c>
      <c r="B186" s="4" t="s">
        <v>270</v>
      </c>
      <c r="C186" s="4">
        <v>2</v>
      </c>
      <c r="D186" s="4" t="s">
        <v>271</v>
      </c>
      <c r="E186" s="15"/>
    </row>
    <row r="187" spans="1:5" x14ac:dyDescent="0.3">
      <c r="A187" s="4">
        <v>1908</v>
      </c>
      <c r="B187" s="4" t="s">
        <v>272</v>
      </c>
      <c r="C187" s="4">
        <v>2</v>
      </c>
      <c r="D187" s="4" t="s">
        <v>273</v>
      </c>
      <c r="E187" s="15"/>
    </row>
    <row r="188" spans="1:5" x14ac:dyDescent="0.3">
      <c r="A188" s="4">
        <v>1909</v>
      </c>
      <c r="B188" s="4" t="s">
        <v>274</v>
      </c>
      <c r="C188" s="4">
        <v>2</v>
      </c>
      <c r="D188" s="4" t="s">
        <v>22</v>
      </c>
      <c r="E188" s="15">
        <v>3.73</v>
      </c>
    </row>
    <row r="189" spans="1:5" x14ac:dyDescent="0.3">
      <c r="A189" s="4">
        <v>1910</v>
      </c>
      <c r="B189" s="4" t="s">
        <v>275</v>
      </c>
      <c r="C189" s="4">
        <v>2</v>
      </c>
      <c r="D189" s="4" t="s">
        <v>22</v>
      </c>
      <c r="E189" s="15">
        <v>21.7</v>
      </c>
    </row>
    <row r="190" spans="1:5" x14ac:dyDescent="0.3">
      <c r="A190" s="4">
        <v>1911</v>
      </c>
      <c r="B190" s="4" t="s">
        <v>276</v>
      </c>
      <c r="C190" s="4">
        <v>2</v>
      </c>
      <c r="D190" s="4" t="s">
        <v>277</v>
      </c>
      <c r="E190" s="15"/>
    </row>
    <row r="191" spans="1:5" x14ac:dyDescent="0.3">
      <c r="A191" s="4">
        <v>1912</v>
      </c>
      <c r="B191" s="4" t="s">
        <v>278</v>
      </c>
      <c r="C191" s="4">
        <v>2</v>
      </c>
      <c r="D191" s="4" t="s">
        <v>225</v>
      </c>
      <c r="E191" s="15"/>
    </row>
    <row r="192" spans="1:5" x14ac:dyDescent="0.3">
      <c r="A192" s="4">
        <v>1913</v>
      </c>
      <c r="B192" s="4" t="s">
        <v>279</v>
      </c>
      <c r="C192" s="4">
        <v>2</v>
      </c>
      <c r="D192" s="4" t="s">
        <v>22</v>
      </c>
      <c r="E192" s="15"/>
    </row>
    <row r="193" spans="1:5" x14ac:dyDescent="0.3">
      <c r="A193" s="4">
        <v>1914</v>
      </c>
      <c r="B193" s="4" t="s">
        <v>280</v>
      </c>
      <c r="C193" s="4">
        <v>2</v>
      </c>
      <c r="D193" s="4" t="s">
        <v>22</v>
      </c>
      <c r="E193" s="15"/>
    </row>
    <row r="194" spans="1:5" x14ac:dyDescent="0.3">
      <c r="A194" s="4">
        <v>1918</v>
      </c>
      <c r="B194" s="4" t="s">
        <v>281</v>
      </c>
      <c r="C194" s="4">
        <v>2</v>
      </c>
      <c r="D194" s="4" t="s">
        <v>22</v>
      </c>
      <c r="E194" s="15"/>
    </row>
    <row r="195" spans="1:5" x14ac:dyDescent="0.3">
      <c r="A195" s="4">
        <v>1924</v>
      </c>
      <c r="B195" s="4" t="s">
        <v>282</v>
      </c>
      <c r="C195" s="4">
        <v>2</v>
      </c>
      <c r="D195" s="4" t="s">
        <v>22</v>
      </c>
      <c r="E195" s="15"/>
    </row>
    <row r="196" spans="1:5" x14ac:dyDescent="0.3">
      <c r="A196" s="4">
        <v>1925</v>
      </c>
      <c r="B196" s="4" t="s">
        <v>283</v>
      </c>
      <c r="C196" s="4">
        <v>2</v>
      </c>
      <c r="D196" s="4" t="s">
        <v>22</v>
      </c>
      <c r="E196" s="15"/>
    </row>
    <row r="197" spans="1:5" x14ac:dyDescent="0.3">
      <c r="A197" s="4">
        <v>1926</v>
      </c>
      <c r="B197" s="4" t="s">
        <v>284</v>
      </c>
      <c r="C197" s="4">
        <v>2</v>
      </c>
      <c r="D197" s="4" t="s">
        <v>285</v>
      </c>
      <c r="E197" s="15"/>
    </row>
    <row r="198" spans="1:5" x14ac:dyDescent="0.3">
      <c r="A198" s="4">
        <v>1927</v>
      </c>
      <c r="B198" s="4" t="s">
        <v>286</v>
      </c>
      <c r="C198" s="4">
        <v>2</v>
      </c>
      <c r="D198" s="4" t="s">
        <v>287</v>
      </c>
      <c r="E198" s="15">
        <v>26.96</v>
      </c>
    </row>
    <row r="199" spans="1:5" x14ac:dyDescent="0.3">
      <c r="A199" s="4">
        <v>1928</v>
      </c>
      <c r="B199" s="4" t="s">
        <v>288</v>
      </c>
      <c r="C199" s="4">
        <v>2</v>
      </c>
      <c r="D199" s="4" t="s">
        <v>22</v>
      </c>
      <c r="E199" s="15"/>
    </row>
    <row r="200" spans="1:5" x14ac:dyDescent="0.3">
      <c r="A200" s="4">
        <v>1929</v>
      </c>
      <c r="B200" s="4" t="s">
        <v>289</v>
      </c>
      <c r="C200" s="4">
        <v>2</v>
      </c>
      <c r="D200" s="4" t="s">
        <v>22</v>
      </c>
      <c r="E200" s="15"/>
    </row>
    <row r="201" spans="1:5" x14ac:dyDescent="0.3">
      <c r="A201" s="4">
        <v>1930</v>
      </c>
      <c r="B201" s="4" t="s">
        <v>290</v>
      </c>
      <c r="C201" s="4">
        <v>2</v>
      </c>
      <c r="D201" s="4"/>
      <c r="E201" s="15"/>
    </row>
    <row r="202" spans="1:5" x14ac:dyDescent="0.3">
      <c r="A202" s="4">
        <v>1931</v>
      </c>
      <c r="B202" s="4" t="s">
        <v>291</v>
      </c>
      <c r="C202" s="4">
        <v>4</v>
      </c>
      <c r="D202" s="4" t="s">
        <v>292</v>
      </c>
      <c r="E202" s="15"/>
    </row>
    <row r="203" spans="1:5" x14ac:dyDescent="0.3">
      <c r="A203" s="4">
        <v>1932</v>
      </c>
      <c r="B203" s="4" t="s">
        <v>293</v>
      </c>
      <c r="C203" s="4">
        <v>2</v>
      </c>
      <c r="D203" s="4" t="s">
        <v>294</v>
      </c>
      <c r="E203" s="15">
        <v>69.75</v>
      </c>
    </row>
    <row r="204" spans="1:5" x14ac:dyDescent="0.3">
      <c r="A204" s="4" t="s">
        <v>295</v>
      </c>
      <c r="B204" s="4" t="s">
        <v>296</v>
      </c>
      <c r="C204" s="4">
        <v>2</v>
      </c>
      <c r="D204" s="4" t="s">
        <v>297</v>
      </c>
      <c r="E204" s="15">
        <v>69.75</v>
      </c>
    </row>
    <row r="205" spans="1:5" x14ac:dyDescent="0.3">
      <c r="A205" s="4">
        <v>1933</v>
      </c>
      <c r="B205" s="4" t="s">
        <v>298</v>
      </c>
      <c r="C205" s="4">
        <v>2</v>
      </c>
      <c r="D205" s="4" t="s">
        <v>22</v>
      </c>
      <c r="E205" s="15"/>
    </row>
    <row r="206" spans="1:5" x14ac:dyDescent="0.3">
      <c r="A206" s="4">
        <v>1934</v>
      </c>
      <c r="B206" s="4" t="s">
        <v>299</v>
      </c>
      <c r="C206" s="4">
        <v>4</v>
      </c>
      <c r="D206" s="4"/>
      <c r="E206" s="15"/>
    </row>
    <row r="207" spans="1:5" x14ac:dyDescent="0.3">
      <c r="A207" s="4">
        <v>1935</v>
      </c>
      <c r="B207" s="4" t="s">
        <v>300</v>
      </c>
      <c r="C207" s="4">
        <v>6</v>
      </c>
      <c r="D207" s="4" t="s">
        <v>22</v>
      </c>
      <c r="E207" s="15"/>
    </row>
    <row r="208" spans="1:5" x14ac:dyDescent="0.3">
      <c r="A208" s="4">
        <v>1936</v>
      </c>
      <c r="B208" s="4" t="s">
        <v>301</v>
      </c>
      <c r="C208" s="4">
        <v>2</v>
      </c>
      <c r="D208" s="4" t="s">
        <v>22</v>
      </c>
      <c r="E208" s="15">
        <v>14.18</v>
      </c>
    </row>
    <row r="209" spans="1:5" x14ac:dyDescent="0.3">
      <c r="A209" s="4">
        <v>1937</v>
      </c>
      <c r="B209" s="4" t="s">
        <v>302</v>
      </c>
      <c r="C209" s="4">
        <v>1</v>
      </c>
      <c r="D209" s="4" t="s">
        <v>22</v>
      </c>
      <c r="E209" s="15"/>
    </row>
    <row r="210" spans="1:5" x14ac:dyDescent="0.3">
      <c r="A210" s="4">
        <v>1939</v>
      </c>
      <c r="B210" s="4" t="s">
        <v>303</v>
      </c>
      <c r="C210" s="4">
        <v>2</v>
      </c>
      <c r="D210" s="4" t="s">
        <v>304</v>
      </c>
      <c r="E210" s="15"/>
    </row>
    <row r="211" spans="1:5" x14ac:dyDescent="0.3">
      <c r="A211" s="4">
        <v>1940</v>
      </c>
      <c r="B211" s="4" t="s">
        <v>305</v>
      </c>
      <c r="C211" s="4">
        <v>2</v>
      </c>
      <c r="D211" s="4" t="s">
        <v>306</v>
      </c>
      <c r="E211" s="15"/>
    </row>
    <row r="212" spans="1:5" x14ac:dyDescent="0.3">
      <c r="A212" s="4">
        <v>1941</v>
      </c>
      <c r="B212" s="4" t="s">
        <v>307</v>
      </c>
      <c r="C212" s="4">
        <v>2</v>
      </c>
      <c r="D212" s="4" t="s">
        <v>22</v>
      </c>
      <c r="E212" s="15"/>
    </row>
    <row r="213" spans="1:5" x14ac:dyDescent="0.3">
      <c r="A213" s="4">
        <v>1942</v>
      </c>
      <c r="B213" s="4" t="s">
        <v>308</v>
      </c>
      <c r="C213" s="4">
        <v>2</v>
      </c>
      <c r="D213" s="4"/>
      <c r="E213" s="15"/>
    </row>
    <row r="214" spans="1:5" x14ac:dyDescent="0.3">
      <c r="A214" s="4">
        <v>1943</v>
      </c>
      <c r="B214" s="4" t="s">
        <v>309</v>
      </c>
      <c r="C214" s="4">
        <v>2</v>
      </c>
      <c r="D214" s="4"/>
      <c r="E214" s="15"/>
    </row>
    <row r="215" spans="1:5" x14ac:dyDescent="0.3">
      <c r="A215" s="4">
        <v>1944</v>
      </c>
      <c r="B215" s="4" t="s">
        <v>310</v>
      </c>
      <c r="C215" s="4">
        <v>2</v>
      </c>
      <c r="D215" s="4" t="s">
        <v>311</v>
      </c>
      <c r="E215" s="15"/>
    </row>
    <row r="216" spans="1:5" x14ac:dyDescent="0.3">
      <c r="A216" s="4">
        <v>1945</v>
      </c>
      <c r="B216" s="4" t="s">
        <v>312</v>
      </c>
      <c r="C216" s="4">
        <v>2</v>
      </c>
      <c r="D216" s="4" t="s">
        <v>313</v>
      </c>
      <c r="E216" s="15">
        <v>211</v>
      </c>
    </row>
    <row r="217" spans="1:5" x14ac:dyDescent="0.3">
      <c r="A217" s="4">
        <v>1946</v>
      </c>
      <c r="B217" s="4" t="s">
        <v>314</v>
      </c>
      <c r="C217" s="4">
        <v>2</v>
      </c>
      <c r="D217" s="4" t="s">
        <v>22</v>
      </c>
      <c r="E217" s="15"/>
    </row>
    <row r="218" spans="1:5" x14ac:dyDescent="0.3">
      <c r="A218" s="4">
        <v>1947</v>
      </c>
      <c r="B218" s="4" t="s">
        <v>315</v>
      </c>
      <c r="C218" s="4">
        <v>2</v>
      </c>
      <c r="D218" s="4" t="s">
        <v>22</v>
      </c>
      <c r="E218" s="15"/>
    </row>
    <row r="219" spans="1:5" x14ac:dyDescent="0.3">
      <c r="A219" s="4">
        <v>1948</v>
      </c>
      <c r="B219" s="4" t="s">
        <v>316</v>
      </c>
      <c r="C219" s="4">
        <v>4</v>
      </c>
      <c r="D219" s="4" t="s">
        <v>22</v>
      </c>
      <c r="E219" s="15"/>
    </row>
    <row r="220" spans="1:5" x14ac:dyDescent="0.3">
      <c r="A220" s="4">
        <v>1950</v>
      </c>
      <c r="B220" s="4" t="s">
        <v>317</v>
      </c>
      <c r="C220" s="4">
        <v>4</v>
      </c>
      <c r="D220" s="4"/>
      <c r="E220" s="15"/>
    </row>
    <row r="221" spans="1:5" x14ac:dyDescent="0.3">
      <c r="A221" s="4">
        <v>1954</v>
      </c>
      <c r="B221" s="4" t="s">
        <v>291</v>
      </c>
      <c r="C221" s="4">
        <v>4</v>
      </c>
      <c r="D221" s="4" t="s">
        <v>292</v>
      </c>
      <c r="E221" s="15"/>
    </row>
    <row r="222" spans="1:5" x14ac:dyDescent="0.3">
      <c r="A222" s="4">
        <v>1955</v>
      </c>
      <c r="B222" s="4" t="s">
        <v>318</v>
      </c>
      <c r="C222" s="4">
        <v>2</v>
      </c>
      <c r="D222" s="4" t="s">
        <v>319</v>
      </c>
      <c r="E222" s="15"/>
    </row>
    <row r="223" spans="1:5" x14ac:dyDescent="0.3">
      <c r="A223" s="4">
        <v>1956</v>
      </c>
      <c r="B223" s="4" t="s">
        <v>320</v>
      </c>
      <c r="C223" s="4">
        <v>2</v>
      </c>
      <c r="D223" s="4" t="s">
        <v>22</v>
      </c>
      <c r="E223" s="15"/>
    </row>
    <row r="224" spans="1:5" ht="15.6" x14ac:dyDescent="0.3">
      <c r="A224" s="4">
        <v>1959</v>
      </c>
      <c r="B224" s="5" t="s">
        <v>321</v>
      </c>
      <c r="C224" s="4">
        <v>4</v>
      </c>
      <c r="D224" s="4" t="s">
        <v>322</v>
      </c>
      <c r="E224" s="15"/>
    </row>
    <row r="225" spans="1:5" x14ac:dyDescent="0.3">
      <c r="A225" s="4">
        <v>1960</v>
      </c>
      <c r="B225" s="4" t="s">
        <v>323</v>
      </c>
      <c r="C225" s="4">
        <v>4</v>
      </c>
      <c r="D225" s="4" t="s">
        <v>121</v>
      </c>
      <c r="E225" s="15"/>
    </row>
    <row r="226" spans="1:5" x14ac:dyDescent="0.3">
      <c r="A226" s="4">
        <v>1961</v>
      </c>
      <c r="B226" s="4" t="s">
        <v>324</v>
      </c>
      <c r="C226" s="4">
        <v>2</v>
      </c>
      <c r="D226" s="4" t="s">
        <v>325</v>
      </c>
      <c r="E226" s="15"/>
    </row>
    <row r="227" spans="1:5" x14ac:dyDescent="0.3">
      <c r="A227" s="4">
        <v>1962</v>
      </c>
      <c r="B227" s="4" t="s">
        <v>326</v>
      </c>
      <c r="C227" s="4">
        <v>2</v>
      </c>
      <c r="D227" s="4"/>
      <c r="E227" s="15"/>
    </row>
    <row r="228" spans="1:5" x14ac:dyDescent="0.3">
      <c r="A228" s="4">
        <v>1963</v>
      </c>
      <c r="B228" s="4" t="s">
        <v>327</v>
      </c>
      <c r="C228" s="4">
        <v>4</v>
      </c>
      <c r="D228" s="4" t="s">
        <v>328</v>
      </c>
      <c r="E228" s="15"/>
    </row>
    <row r="229" spans="1:5" x14ac:dyDescent="0.3">
      <c r="A229" s="4">
        <v>1964</v>
      </c>
      <c r="B229" s="4" t="s">
        <v>329</v>
      </c>
      <c r="C229" s="4">
        <v>2</v>
      </c>
      <c r="D229" s="4" t="s">
        <v>330</v>
      </c>
      <c r="E229" s="15"/>
    </row>
    <row r="230" spans="1:5" x14ac:dyDescent="0.3">
      <c r="A230" s="4">
        <v>1965</v>
      </c>
      <c r="B230" s="4" t="s">
        <v>331</v>
      </c>
      <c r="C230" s="4">
        <v>2</v>
      </c>
      <c r="D230" s="4"/>
      <c r="E230" s="15"/>
    </row>
    <row r="231" spans="1:5" x14ac:dyDescent="0.3">
      <c r="A231" s="4">
        <v>1966</v>
      </c>
      <c r="B231" s="4" t="s">
        <v>332</v>
      </c>
      <c r="C231" s="4">
        <v>6</v>
      </c>
      <c r="D231" s="4" t="s">
        <v>292</v>
      </c>
      <c r="E231" s="15"/>
    </row>
    <row r="232" spans="1:5" x14ac:dyDescent="0.3">
      <c r="A232" s="4">
        <v>1978</v>
      </c>
      <c r="B232" s="4" t="s">
        <v>332</v>
      </c>
      <c r="C232" s="4">
        <v>6</v>
      </c>
      <c r="D232" s="4" t="s">
        <v>292</v>
      </c>
      <c r="E232" s="15"/>
    </row>
    <row r="233" spans="1:5" x14ac:dyDescent="0.3">
      <c r="A233" s="4">
        <v>1967</v>
      </c>
      <c r="B233" s="4" t="s">
        <v>333</v>
      </c>
      <c r="C233" s="4">
        <v>4</v>
      </c>
      <c r="D233" s="4" t="s">
        <v>113</v>
      </c>
      <c r="E233" s="15"/>
    </row>
    <row r="234" spans="1:5" x14ac:dyDescent="0.3">
      <c r="A234" s="4">
        <v>1972</v>
      </c>
      <c r="B234" s="4" t="s">
        <v>334</v>
      </c>
      <c r="C234" s="4">
        <v>4</v>
      </c>
      <c r="D234" s="4"/>
      <c r="E234" s="15"/>
    </row>
    <row r="235" spans="1:5" x14ac:dyDescent="0.3">
      <c r="A235" s="4">
        <v>1974</v>
      </c>
      <c r="B235" s="4" t="s">
        <v>318</v>
      </c>
      <c r="C235" s="4">
        <v>4</v>
      </c>
      <c r="D235" s="4" t="s">
        <v>319</v>
      </c>
      <c r="E235" s="15"/>
    </row>
    <row r="236" spans="1:5" x14ac:dyDescent="0.3">
      <c r="A236" s="4">
        <v>2011</v>
      </c>
      <c r="B236" s="4" t="s">
        <v>335</v>
      </c>
      <c r="C236" s="4">
        <v>12</v>
      </c>
      <c r="D236" s="4"/>
      <c r="E236" s="15"/>
    </row>
    <row r="237" spans="1:5" x14ac:dyDescent="0.3">
      <c r="A237" s="4">
        <v>1988</v>
      </c>
      <c r="B237" s="4" t="s">
        <v>336</v>
      </c>
      <c r="C237" s="4">
        <v>6</v>
      </c>
      <c r="D237" s="4"/>
      <c r="E237" s="15"/>
    </row>
    <row r="238" spans="1:5" x14ac:dyDescent="0.3">
      <c r="A238" s="4">
        <v>1989</v>
      </c>
      <c r="B238" s="4" t="s">
        <v>318</v>
      </c>
      <c r="C238" s="4">
        <v>6</v>
      </c>
      <c r="D238" s="4" t="s">
        <v>319</v>
      </c>
      <c r="E238" s="15"/>
    </row>
    <row r="239" spans="1:5" x14ac:dyDescent="0.3">
      <c r="A239" s="4">
        <v>1996</v>
      </c>
      <c r="B239" s="4" t="s">
        <v>337</v>
      </c>
      <c r="C239" s="4">
        <v>2</v>
      </c>
      <c r="D239" s="4"/>
      <c r="E239" s="15"/>
    </row>
    <row r="240" spans="1:5" x14ac:dyDescent="0.3">
      <c r="A240" s="4">
        <v>1979</v>
      </c>
      <c r="B240" s="4" t="s">
        <v>332</v>
      </c>
      <c r="C240" s="4">
        <v>6</v>
      </c>
      <c r="D240" s="4" t="s">
        <v>292</v>
      </c>
      <c r="E240" s="15"/>
    </row>
    <row r="241" spans="1:5" x14ac:dyDescent="0.3">
      <c r="A241" s="4">
        <v>1975</v>
      </c>
      <c r="B241" s="4" t="s">
        <v>338</v>
      </c>
      <c r="C241" s="4">
        <v>4</v>
      </c>
      <c r="D241" s="4"/>
      <c r="E241" s="15"/>
    </row>
    <row r="242" spans="1:5" x14ac:dyDescent="0.3">
      <c r="A242" s="4">
        <v>1977</v>
      </c>
      <c r="B242" s="4" t="s">
        <v>118</v>
      </c>
      <c r="C242" s="4">
        <v>4</v>
      </c>
      <c r="D242" s="4" t="s">
        <v>119</v>
      </c>
      <c r="E242" s="15"/>
    </row>
    <row r="243" spans="1:5" x14ac:dyDescent="0.3">
      <c r="A243" s="4">
        <v>1987</v>
      </c>
      <c r="B243" s="4" t="s">
        <v>291</v>
      </c>
      <c r="C243" s="4">
        <v>4</v>
      </c>
      <c r="D243" s="4" t="s">
        <v>292</v>
      </c>
      <c r="E243" s="15"/>
    </row>
    <row r="244" spans="1:5" x14ac:dyDescent="0.3">
      <c r="A244" s="4">
        <v>1990</v>
      </c>
      <c r="B244" s="4" t="s">
        <v>332</v>
      </c>
      <c r="C244" s="4">
        <v>6</v>
      </c>
      <c r="D244" s="4" t="s">
        <v>292</v>
      </c>
      <c r="E244" s="15"/>
    </row>
    <row r="245" spans="1:5" x14ac:dyDescent="0.3">
      <c r="A245" s="4">
        <v>1986</v>
      </c>
      <c r="B245" s="4" t="s">
        <v>339</v>
      </c>
      <c r="C245" s="4">
        <v>6</v>
      </c>
      <c r="D245" s="4" t="s">
        <v>121</v>
      </c>
      <c r="E245" s="15"/>
    </row>
    <row r="246" spans="1:5" x14ac:dyDescent="0.3">
      <c r="A246" s="4">
        <v>2014</v>
      </c>
      <c r="B246" s="4" t="s">
        <v>340</v>
      </c>
      <c r="C246" s="4">
        <v>6</v>
      </c>
      <c r="D246" s="4" t="s">
        <v>121</v>
      </c>
      <c r="E246" s="15"/>
    </row>
    <row r="247" spans="1:5" x14ac:dyDescent="0.3">
      <c r="A247" s="4">
        <v>2010</v>
      </c>
      <c r="B247" s="4" t="s">
        <v>339</v>
      </c>
      <c r="C247" s="4">
        <v>6</v>
      </c>
      <c r="D247" s="4" t="s">
        <v>121</v>
      </c>
      <c r="E247" s="15"/>
    </row>
    <row r="248" spans="1:5" x14ac:dyDescent="0.3">
      <c r="A248" s="4">
        <v>1992</v>
      </c>
      <c r="B248" s="4" t="s">
        <v>341</v>
      </c>
      <c r="C248" s="4">
        <v>2</v>
      </c>
      <c r="D248" s="4" t="s">
        <v>342</v>
      </c>
      <c r="E248" s="15"/>
    </row>
    <row r="249" spans="1:5" x14ac:dyDescent="0.3">
      <c r="A249" s="4">
        <v>1991</v>
      </c>
      <c r="B249" s="4" t="s">
        <v>343</v>
      </c>
      <c r="C249" s="4">
        <v>2</v>
      </c>
      <c r="D249" s="4" t="s">
        <v>344</v>
      </c>
      <c r="E249" s="15">
        <v>12.19</v>
      </c>
    </row>
    <row r="250" spans="1:5" x14ac:dyDescent="0.3">
      <c r="A250" s="4">
        <v>1993</v>
      </c>
      <c r="B250" s="4" t="s">
        <v>345</v>
      </c>
      <c r="C250" s="4">
        <v>2</v>
      </c>
      <c r="D250" s="4" t="s">
        <v>342</v>
      </c>
      <c r="E250" s="15"/>
    </row>
    <row r="251" spans="1:5" x14ac:dyDescent="0.3">
      <c r="A251" s="4">
        <v>2001</v>
      </c>
      <c r="B251" s="4" t="s">
        <v>346</v>
      </c>
      <c r="C251" s="4">
        <v>8</v>
      </c>
      <c r="D251" s="4" t="s">
        <v>292</v>
      </c>
      <c r="E251" s="15"/>
    </row>
    <row r="252" spans="1:5" x14ac:dyDescent="0.3">
      <c r="A252" s="4">
        <v>2002</v>
      </c>
      <c r="B252" s="4" t="s">
        <v>346</v>
      </c>
      <c r="C252" s="4">
        <v>8</v>
      </c>
      <c r="D252" s="4" t="s">
        <v>292</v>
      </c>
      <c r="E252" s="15"/>
    </row>
    <row r="253" spans="1:5" x14ac:dyDescent="0.3">
      <c r="A253" s="4">
        <v>2003</v>
      </c>
      <c r="B253" s="4" t="s">
        <v>346</v>
      </c>
      <c r="C253" s="4">
        <v>8</v>
      </c>
      <c r="D253" s="4" t="s">
        <v>292</v>
      </c>
      <c r="E253" s="15"/>
    </row>
    <row r="254" spans="1:5" x14ac:dyDescent="0.3">
      <c r="A254" s="4">
        <v>2021</v>
      </c>
      <c r="B254" s="4" t="s">
        <v>942</v>
      </c>
      <c r="C254" s="4">
        <v>6</v>
      </c>
      <c r="D254" s="4" t="s">
        <v>943</v>
      </c>
      <c r="E254" s="15">
        <v>97.5</v>
      </c>
    </row>
    <row r="255" spans="1:5" x14ac:dyDescent="0.3">
      <c r="A255" s="4">
        <v>1994</v>
      </c>
      <c r="B255" s="4" t="s">
        <v>347</v>
      </c>
      <c r="C255" s="4">
        <v>2</v>
      </c>
      <c r="D255" s="4"/>
      <c r="E255" s="15"/>
    </row>
    <row r="256" spans="1:5" ht="15.6" x14ac:dyDescent="0.3">
      <c r="A256" s="4">
        <v>1996</v>
      </c>
      <c r="B256" s="5" t="s">
        <v>337</v>
      </c>
      <c r="C256" s="4">
        <v>2</v>
      </c>
      <c r="D256" s="4"/>
      <c r="E256" s="15"/>
    </row>
    <row r="257" spans="1:5" x14ac:dyDescent="0.3">
      <c r="A257" s="4" t="s">
        <v>348</v>
      </c>
      <c r="B257" s="4" t="s">
        <v>349</v>
      </c>
      <c r="C257" s="4">
        <v>2</v>
      </c>
      <c r="D257" s="4" t="s">
        <v>22</v>
      </c>
      <c r="E257" s="15"/>
    </row>
    <row r="258" spans="1:5" x14ac:dyDescent="0.3">
      <c r="A258" s="4" t="s">
        <v>350</v>
      </c>
      <c r="B258" s="4" t="s">
        <v>351</v>
      </c>
      <c r="C258" s="4"/>
      <c r="D258" s="4"/>
      <c r="E258" s="15"/>
    </row>
    <row r="259" spans="1:5" ht="15.6" x14ac:dyDescent="0.3">
      <c r="A259" s="4" t="s">
        <v>352</v>
      </c>
      <c r="B259" s="5" t="s">
        <v>353</v>
      </c>
      <c r="C259" s="5">
        <v>2</v>
      </c>
      <c r="D259" s="4" t="s">
        <v>64</v>
      </c>
      <c r="E259" s="15"/>
    </row>
    <row r="260" spans="1:5" x14ac:dyDescent="0.3">
      <c r="A260" s="4" t="s">
        <v>354</v>
      </c>
      <c r="B260" s="4" t="s">
        <v>355</v>
      </c>
      <c r="C260" s="4">
        <v>2</v>
      </c>
      <c r="D260" s="4" t="s">
        <v>22</v>
      </c>
      <c r="E260" s="15"/>
    </row>
    <row r="261" spans="1:5" x14ac:dyDescent="0.3">
      <c r="A261" s="4" t="s">
        <v>356</v>
      </c>
      <c r="B261" s="4" t="s">
        <v>357</v>
      </c>
      <c r="C261" s="4">
        <v>2</v>
      </c>
      <c r="D261" s="4" t="s">
        <v>22</v>
      </c>
      <c r="E261" s="15"/>
    </row>
    <row r="262" spans="1:5" x14ac:dyDescent="0.3">
      <c r="A262" s="4" t="s">
        <v>358</v>
      </c>
      <c r="B262" s="4" t="s">
        <v>359</v>
      </c>
      <c r="C262" s="4">
        <v>1</v>
      </c>
      <c r="D262" s="4" t="s">
        <v>360</v>
      </c>
      <c r="E262" s="15"/>
    </row>
    <row r="263" spans="1:5" x14ac:dyDescent="0.3">
      <c r="A263" s="4" t="s">
        <v>361</v>
      </c>
      <c r="B263" s="4" t="s">
        <v>362</v>
      </c>
      <c r="C263" s="4">
        <v>1</v>
      </c>
      <c r="D263" s="4" t="s">
        <v>363</v>
      </c>
      <c r="E263" s="15"/>
    </row>
    <row r="264" spans="1:5" x14ac:dyDescent="0.3">
      <c r="A264" s="4" t="s">
        <v>364</v>
      </c>
      <c r="B264" s="4" t="s">
        <v>365</v>
      </c>
      <c r="C264" s="4">
        <v>1</v>
      </c>
      <c r="D264" s="4" t="s">
        <v>22</v>
      </c>
      <c r="E264" s="15"/>
    </row>
    <row r="265" spans="1:5" x14ac:dyDescent="0.3">
      <c r="A265" s="4" t="s">
        <v>366</v>
      </c>
      <c r="B265" s="4" t="s">
        <v>367</v>
      </c>
      <c r="C265" s="4">
        <v>1</v>
      </c>
      <c r="D265" s="4" t="s">
        <v>363</v>
      </c>
      <c r="E265" s="15"/>
    </row>
    <row r="266" spans="1:5" x14ac:dyDescent="0.3">
      <c r="A266" s="4" t="s">
        <v>368</v>
      </c>
      <c r="B266" s="4" t="s">
        <v>369</v>
      </c>
      <c r="C266" s="4"/>
      <c r="D266" s="4"/>
      <c r="E266" s="15"/>
    </row>
    <row r="267" spans="1:5" x14ac:dyDescent="0.3">
      <c r="A267" s="4" t="s">
        <v>370</v>
      </c>
      <c r="B267" s="4" t="s">
        <v>371</v>
      </c>
      <c r="C267" s="4">
        <v>6</v>
      </c>
      <c r="D267" s="4" t="s">
        <v>22</v>
      </c>
      <c r="E267" s="15"/>
    </row>
    <row r="268" spans="1:5" x14ac:dyDescent="0.3">
      <c r="A268" s="4" t="s">
        <v>372</v>
      </c>
      <c r="B268" s="4" t="s">
        <v>373</v>
      </c>
      <c r="C268" s="4">
        <v>6</v>
      </c>
      <c r="D268" s="4" t="s">
        <v>22</v>
      </c>
      <c r="E268" s="15"/>
    </row>
    <row r="269" spans="1:5" x14ac:dyDescent="0.3">
      <c r="A269" s="4" t="s">
        <v>374</v>
      </c>
      <c r="B269" s="4" t="s">
        <v>375</v>
      </c>
      <c r="C269" s="4">
        <v>6</v>
      </c>
      <c r="D269" s="4" t="s">
        <v>22</v>
      </c>
      <c r="E269" s="15"/>
    </row>
    <row r="270" spans="1:5" x14ac:dyDescent="0.3">
      <c r="A270" s="4" t="s">
        <v>376</v>
      </c>
      <c r="B270" s="4" t="s">
        <v>377</v>
      </c>
      <c r="C270" s="4">
        <v>4</v>
      </c>
      <c r="D270" s="4" t="s">
        <v>22</v>
      </c>
      <c r="E270" s="15"/>
    </row>
    <row r="271" spans="1:5" x14ac:dyDescent="0.3">
      <c r="A271" s="4" t="s">
        <v>378</v>
      </c>
      <c r="B271" s="4" t="s">
        <v>379</v>
      </c>
      <c r="C271" s="4">
        <v>6</v>
      </c>
      <c r="D271" s="4" t="s">
        <v>22</v>
      </c>
      <c r="E271" s="15"/>
    </row>
    <row r="272" spans="1:5" x14ac:dyDescent="0.3">
      <c r="A272" s="4">
        <v>1422</v>
      </c>
      <c r="B272" s="4" t="s">
        <v>380</v>
      </c>
      <c r="C272" s="4">
        <v>2</v>
      </c>
      <c r="D272" s="4" t="s">
        <v>22</v>
      </c>
      <c r="E272" s="15"/>
    </row>
    <row r="273" spans="1:5" x14ac:dyDescent="0.3">
      <c r="A273" s="4" t="s">
        <v>381</v>
      </c>
      <c r="B273" s="4" t="s">
        <v>382</v>
      </c>
      <c r="C273" s="4">
        <v>2</v>
      </c>
      <c r="D273" s="4" t="s">
        <v>22</v>
      </c>
      <c r="E273" s="15"/>
    </row>
    <row r="274" spans="1:5" x14ac:dyDescent="0.3">
      <c r="A274" s="4" t="s">
        <v>383</v>
      </c>
      <c r="B274" s="4" t="s">
        <v>384</v>
      </c>
      <c r="C274" s="4">
        <v>2</v>
      </c>
      <c r="D274" s="4" t="s">
        <v>385</v>
      </c>
      <c r="E274" s="15"/>
    </row>
    <row r="275" spans="1:5" x14ac:dyDescent="0.3">
      <c r="A275" s="4" t="s">
        <v>386</v>
      </c>
      <c r="B275" s="4" t="s">
        <v>387</v>
      </c>
      <c r="C275" s="4">
        <v>2</v>
      </c>
      <c r="D275" s="4" t="s">
        <v>388</v>
      </c>
      <c r="E275" s="15"/>
    </row>
    <row r="276" spans="1:5" x14ac:dyDescent="0.3">
      <c r="A276" s="4" t="s">
        <v>389</v>
      </c>
      <c r="B276" s="4" t="s">
        <v>390</v>
      </c>
      <c r="C276" s="4">
        <v>2</v>
      </c>
      <c r="D276" s="4"/>
      <c r="E276" s="15"/>
    </row>
    <row r="277" spans="1:5" x14ac:dyDescent="0.3">
      <c r="A277" s="4" t="s">
        <v>391</v>
      </c>
      <c r="B277" s="4" t="s">
        <v>392</v>
      </c>
      <c r="C277" s="4">
        <v>2</v>
      </c>
      <c r="D277" s="4" t="s">
        <v>22</v>
      </c>
      <c r="E277" s="15"/>
    </row>
    <row r="278" spans="1:5" x14ac:dyDescent="0.3">
      <c r="A278" s="4" t="s">
        <v>393</v>
      </c>
      <c r="B278" s="4" t="s">
        <v>394</v>
      </c>
      <c r="C278" s="4">
        <v>2</v>
      </c>
      <c r="D278" s="4" t="s">
        <v>22</v>
      </c>
      <c r="E278" s="15"/>
    </row>
    <row r="279" spans="1:5" x14ac:dyDescent="0.3">
      <c r="A279" s="4" t="s">
        <v>395</v>
      </c>
      <c r="B279" s="4" t="s">
        <v>396</v>
      </c>
      <c r="C279" s="4">
        <v>2</v>
      </c>
      <c r="D279" s="4"/>
      <c r="E279" s="15"/>
    </row>
    <row r="280" spans="1:5" x14ac:dyDescent="0.3">
      <c r="A280" s="4" t="s">
        <v>397</v>
      </c>
      <c r="B280" s="4" t="s">
        <v>398</v>
      </c>
      <c r="C280" s="4">
        <v>2</v>
      </c>
      <c r="D280" s="4" t="s">
        <v>22</v>
      </c>
      <c r="E280" s="15"/>
    </row>
    <row r="281" spans="1:5" x14ac:dyDescent="0.3">
      <c r="A281" s="4" t="s">
        <v>399</v>
      </c>
      <c r="B281" s="4" t="s">
        <v>400</v>
      </c>
      <c r="C281" s="4">
        <v>2</v>
      </c>
      <c r="D281" s="4" t="s">
        <v>22</v>
      </c>
      <c r="E281" s="15"/>
    </row>
    <row r="282" spans="1:5" x14ac:dyDescent="0.3">
      <c r="A282" s="4" t="s">
        <v>401</v>
      </c>
      <c r="B282" s="4" t="s">
        <v>402</v>
      </c>
      <c r="C282" s="4">
        <v>2</v>
      </c>
      <c r="D282" s="4" t="s">
        <v>22</v>
      </c>
      <c r="E282" s="15"/>
    </row>
    <row r="283" spans="1:5" x14ac:dyDescent="0.3">
      <c r="A283" s="4" t="s">
        <v>403</v>
      </c>
      <c r="B283" s="4" t="s">
        <v>404</v>
      </c>
      <c r="C283" s="4">
        <v>2</v>
      </c>
      <c r="D283" s="4" t="s">
        <v>22</v>
      </c>
      <c r="E283" s="15"/>
    </row>
    <row r="284" spans="1:5" x14ac:dyDescent="0.3">
      <c r="A284" s="4" t="s">
        <v>405</v>
      </c>
      <c r="B284" s="4" t="s">
        <v>406</v>
      </c>
      <c r="C284" s="4">
        <v>2</v>
      </c>
      <c r="D284" s="4" t="s">
        <v>22</v>
      </c>
      <c r="E284" s="15"/>
    </row>
    <row r="285" spans="1:5" x14ac:dyDescent="0.3">
      <c r="A285" s="4" t="s">
        <v>407</v>
      </c>
      <c r="B285" s="4" t="s">
        <v>408</v>
      </c>
      <c r="C285" s="4">
        <v>1</v>
      </c>
      <c r="D285" s="4"/>
      <c r="E285" s="15"/>
    </row>
    <row r="286" spans="1:5" x14ac:dyDescent="0.3">
      <c r="A286" s="4" t="s">
        <v>409</v>
      </c>
      <c r="B286" s="4" t="s">
        <v>410</v>
      </c>
      <c r="C286" s="4">
        <v>2</v>
      </c>
      <c r="D286" s="4" t="s">
        <v>411</v>
      </c>
      <c r="E286" s="15"/>
    </row>
    <row r="287" spans="1:5" x14ac:dyDescent="0.3">
      <c r="A287" s="4" t="s">
        <v>412</v>
      </c>
      <c r="B287" s="4" t="s">
        <v>413</v>
      </c>
      <c r="C287" s="4">
        <v>2</v>
      </c>
      <c r="D287" s="4" t="s">
        <v>22</v>
      </c>
      <c r="E287" s="15"/>
    </row>
    <row r="288" spans="1:5" x14ac:dyDescent="0.3">
      <c r="A288" s="4" t="s">
        <v>414</v>
      </c>
      <c r="B288" s="4" t="s">
        <v>415</v>
      </c>
      <c r="C288" s="4">
        <v>2</v>
      </c>
      <c r="D288" s="4" t="s">
        <v>22</v>
      </c>
      <c r="E288" s="15"/>
    </row>
    <row r="289" spans="1:5" x14ac:dyDescent="0.3">
      <c r="A289" s="4" t="s">
        <v>416</v>
      </c>
      <c r="B289" s="4" t="s">
        <v>417</v>
      </c>
      <c r="C289" s="4">
        <v>2</v>
      </c>
      <c r="D289" s="4" t="s">
        <v>22</v>
      </c>
      <c r="E289" s="15"/>
    </row>
    <row r="290" spans="1:5" x14ac:dyDescent="0.3">
      <c r="A290" s="4" t="s">
        <v>418</v>
      </c>
      <c r="B290" s="4" t="s">
        <v>419</v>
      </c>
      <c r="C290" s="4">
        <v>2</v>
      </c>
      <c r="D290" s="4" t="s">
        <v>22</v>
      </c>
      <c r="E290" s="15"/>
    </row>
    <row r="291" spans="1:5" x14ac:dyDescent="0.3">
      <c r="A291" s="4" t="s">
        <v>420</v>
      </c>
      <c r="B291" s="4" t="s">
        <v>421</v>
      </c>
      <c r="C291" s="4">
        <v>4</v>
      </c>
      <c r="D291" s="4" t="s">
        <v>422</v>
      </c>
      <c r="E291" s="15"/>
    </row>
    <row r="292" spans="1:5" x14ac:dyDescent="0.3">
      <c r="A292" s="4" t="s">
        <v>423</v>
      </c>
      <c r="B292" s="4" t="s">
        <v>424</v>
      </c>
      <c r="C292" s="4">
        <v>4</v>
      </c>
      <c r="D292" s="4" t="s">
        <v>22</v>
      </c>
      <c r="E292" s="15"/>
    </row>
    <row r="293" spans="1:5" x14ac:dyDescent="0.3">
      <c r="A293" s="4" t="s">
        <v>425</v>
      </c>
      <c r="B293" s="4" t="s">
        <v>426</v>
      </c>
      <c r="C293" s="4">
        <v>4</v>
      </c>
      <c r="D293" s="4" t="s">
        <v>427</v>
      </c>
      <c r="E293" s="15"/>
    </row>
    <row r="294" spans="1:5" x14ac:dyDescent="0.3">
      <c r="A294" s="4" t="s">
        <v>428</v>
      </c>
      <c r="B294" s="4" t="s">
        <v>426</v>
      </c>
      <c r="C294" s="4">
        <v>4</v>
      </c>
      <c r="D294" s="4" t="s">
        <v>74</v>
      </c>
      <c r="E294" s="15"/>
    </row>
    <row r="295" spans="1:5" x14ac:dyDescent="0.3">
      <c r="A295" s="4" t="s">
        <v>429</v>
      </c>
      <c r="B295" s="4" t="s">
        <v>430</v>
      </c>
      <c r="C295" s="4">
        <v>2</v>
      </c>
      <c r="D295" s="4" t="s">
        <v>22</v>
      </c>
      <c r="E295" s="15"/>
    </row>
    <row r="296" spans="1:5" x14ac:dyDescent="0.3">
      <c r="A296" s="4" t="s">
        <v>431</v>
      </c>
      <c r="B296" s="4" t="s">
        <v>432</v>
      </c>
      <c r="C296" s="4">
        <v>2</v>
      </c>
      <c r="D296" s="4" t="s">
        <v>433</v>
      </c>
      <c r="E296" s="15"/>
    </row>
    <row r="297" spans="1:5" x14ac:dyDescent="0.3">
      <c r="A297" s="4" t="s">
        <v>434</v>
      </c>
      <c r="B297" s="4" t="s">
        <v>435</v>
      </c>
      <c r="C297" s="4">
        <v>2</v>
      </c>
      <c r="D297" s="4" t="s">
        <v>22</v>
      </c>
      <c r="E297" s="15"/>
    </row>
    <row r="298" spans="1:5" x14ac:dyDescent="0.3">
      <c r="A298" s="4" t="s">
        <v>436</v>
      </c>
      <c r="B298" s="4" t="s">
        <v>437</v>
      </c>
      <c r="C298" s="4">
        <v>2</v>
      </c>
      <c r="D298" s="4" t="s">
        <v>22</v>
      </c>
      <c r="E298" s="15"/>
    </row>
    <row r="299" spans="1:5" x14ac:dyDescent="0.3">
      <c r="A299" s="4" t="s">
        <v>438</v>
      </c>
      <c r="B299" s="4" t="s">
        <v>439</v>
      </c>
      <c r="C299" s="4">
        <v>4</v>
      </c>
      <c r="D299" s="4" t="s">
        <v>440</v>
      </c>
      <c r="E299" s="15">
        <v>3.3</v>
      </c>
    </row>
    <row r="300" spans="1:5" x14ac:dyDescent="0.3">
      <c r="A300" s="4" t="s">
        <v>441</v>
      </c>
      <c r="B300" s="4" t="s">
        <v>442</v>
      </c>
      <c r="C300" s="4">
        <v>4</v>
      </c>
      <c r="D300" s="4" t="s">
        <v>22</v>
      </c>
      <c r="E300" s="15"/>
    </row>
    <row r="301" spans="1:5" x14ac:dyDescent="0.3">
      <c r="A301" s="4" t="s">
        <v>443</v>
      </c>
      <c r="B301" s="4" t="s">
        <v>444</v>
      </c>
      <c r="C301" s="4">
        <v>4</v>
      </c>
      <c r="D301" s="4" t="s">
        <v>22</v>
      </c>
      <c r="E301" s="15"/>
    </row>
    <row r="302" spans="1:5" x14ac:dyDescent="0.3">
      <c r="A302" s="4" t="s">
        <v>445</v>
      </c>
      <c r="B302" s="4" t="s">
        <v>446</v>
      </c>
      <c r="C302" s="4">
        <v>4</v>
      </c>
      <c r="D302" s="4" t="s">
        <v>86</v>
      </c>
      <c r="E302" s="15"/>
    </row>
    <row r="303" spans="1:5" x14ac:dyDescent="0.3">
      <c r="A303" s="4" t="s">
        <v>447</v>
      </c>
      <c r="B303" s="4" t="s">
        <v>448</v>
      </c>
      <c r="C303" s="4">
        <v>4</v>
      </c>
      <c r="D303" s="4" t="s">
        <v>22</v>
      </c>
      <c r="E303" s="15">
        <v>5.8</v>
      </c>
    </row>
    <row r="304" spans="1:5" x14ac:dyDescent="0.3">
      <c r="A304" s="4" t="s">
        <v>449</v>
      </c>
      <c r="B304" s="4" t="s">
        <v>88</v>
      </c>
      <c r="C304" s="4">
        <v>4</v>
      </c>
      <c r="D304" s="4" t="s">
        <v>450</v>
      </c>
      <c r="E304" s="15"/>
    </row>
    <row r="305" spans="1:5" x14ac:dyDescent="0.3">
      <c r="A305" s="4" t="s">
        <v>451</v>
      </c>
      <c r="B305" s="4" t="s">
        <v>452</v>
      </c>
      <c r="C305" s="4">
        <v>4</v>
      </c>
      <c r="D305" s="4" t="s">
        <v>22</v>
      </c>
      <c r="E305" s="15"/>
    </row>
    <row r="306" spans="1:5" x14ac:dyDescent="0.3">
      <c r="A306" s="4" t="s">
        <v>453</v>
      </c>
      <c r="B306" s="4" t="s">
        <v>85</v>
      </c>
      <c r="C306" s="4">
        <v>6</v>
      </c>
      <c r="D306" s="4" t="s">
        <v>454</v>
      </c>
      <c r="E306" s="15"/>
    </row>
    <row r="307" spans="1:5" x14ac:dyDescent="0.3">
      <c r="A307" s="4" t="s">
        <v>455</v>
      </c>
      <c r="B307" s="4" t="s">
        <v>456</v>
      </c>
      <c r="C307" s="4">
        <v>6</v>
      </c>
      <c r="D307" s="4" t="s">
        <v>457</v>
      </c>
      <c r="E307" s="15"/>
    </row>
    <row r="308" spans="1:5" x14ac:dyDescent="0.3">
      <c r="A308" s="4" t="s">
        <v>458</v>
      </c>
      <c r="B308" s="4" t="s">
        <v>85</v>
      </c>
      <c r="C308" s="4">
        <v>6</v>
      </c>
      <c r="D308" s="4" t="s">
        <v>457</v>
      </c>
      <c r="E308" s="15"/>
    </row>
    <row r="309" spans="1:5" x14ac:dyDescent="0.3">
      <c r="A309" s="4" t="s">
        <v>459</v>
      </c>
      <c r="B309" s="4" t="s">
        <v>460</v>
      </c>
      <c r="C309" s="4">
        <v>6</v>
      </c>
      <c r="D309" s="4" t="s">
        <v>457</v>
      </c>
      <c r="E309" s="15"/>
    </row>
    <row r="310" spans="1:5" x14ac:dyDescent="0.3">
      <c r="A310" s="4" t="s">
        <v>461</v>
      </c>
      <c r="B310" s="4" t="s">
        <v>462</v>
      </c>
      <c r="C310" s="4">
        <v>2</v>
      </c>
      <c r="D310" s="4" t="s">
        <v>22</v>
      </c>
      <c r="E310" s="15"/>
    </row>
    <row r="311" spans="1:5" x14ac:dyDescent="0.3">
      <c r="A311" s="4" t="s">
        <v>9</v>
      </c>
      <c r="B311" s="4" t="s">
        <v>463</v>
      </c>
      <c r="C311" s="4">
        <v>2</v>
      </c>
      <c r="D311" s="4" t="s">
        <v>22</v>
      </c>
      <c r="E311" s="15"/>
    </row>
    <row r="312" spans="1:5" x14ac:dyDescent="0.3">
      <c r="A312" s="4" t="s">
        <v>464</v>
      </c>
      <c r="B312" s="4" t="s">
        <v>465</v>
      </c>
      <c r="C312" s="4">
        <v>2</v>
      </c>
      <c r="D312" s="4" t="s">
        <v>22</v>
      </c>
      <c r="E312" s="15"/>
    </row>
    <row r="313" spans="1:5" x14ac:dyDescent="0.3">
      <c r="A313" s="4" t="s">
        <v>466</v>
      </c>
      <c r="B313" s="4" t="s">
        <v>467</v>
      </c>
      <c r="C313" s="4">
        <v>2</v>
      </c>
      <c r="D313" s="4"/>
      <c r="E313" s="15"/>
    </row>
    <row r="314" spans="1:5" x14ac:dyDescent="0.3">
      <c r="A314" s="4" t="s">
        <v>468</v>
      </c>
      <c r="B314" s="4" t="s">
        <v>469</v>
      </c>
      <c r="C314" s="4">
        <v>4</v>
      </c>
      <c r="D314" s="4" t="s">
        <v>22</v>
      </c>
      <c r="E314" s="15"/>
    </row>
    <row r="315" spans="1:5" x14ac:dyDescent="0.3">
      <c r="A315" s="4" t="s">
        <v>470</v>
      </c>
      <c r="B315" s="4" t="s">
        <v>471</v>
      </c>
      <c r="C315" s="4">
        <v>6</v>
      </c>
      <c r="D315" s="4" t="s">
        <v>22</v>
      </c>
      <c r="E315" s="15"/>
    </row>
    <row r="316" spans="1:5" x14ac:dyDescent="0.3">
      <c r="A316" s="4">
        <v>1976</v>
      </c>
      <c r="B316" s="4" t="s">
        <v>106</v>
      </c>
      <c r="C316" s="4">
        <v>4</v>
      </c>
      <c r="D316" s="4" t="s">
        <v>107</v>
      </c>
      <c r="E316" s="15"/>
    </row>
    <row r="317" spans="1:5" x14ac:dyDescent="0.3">
      <c r="A317" s="4" t="s">
        <v>472</v>
      </c>
      <c r="B317" s="4" t="s">
        <v>473</v>
      </c>
      <c r="C317" s="4">
        <v>4</v>
      </c>
      <c r="D317" s="4" t="s">
        <v>22</v>
      </c>
      <c r="E317" s="15"/>
    </row>
    <row r="318" spans="1:5" x14ac:dyDescent="0.3">
      <c r="A318" s="4" t="s">
        <v>474</v>
      </c>
      <c r="B318" s="4" t="s">
        <v>473</v>
      </c>
      <c r="C318" s="4">
        <v>4</v>
      </c>
      <c r="D318" s="4"/>
      <c r="E318" s="15"/>
    </row>
    <row r="319" spans="1:5" x14ac:dyDescent="0.3">
      <c r="A319" s="4" t="s">
        <v>381</v>
      </c>
      <c r="B319" s="4" t="s">
        <v>475</v>
      </c>
      <c r="C319" s="4">
        <v>2</v>
      </c>
      <c r="D319" s="4" t="s">
        <v>476</v>
      </c>
      <c r="E319" s="15"/>
    </row>
    <row r="320" spans="1:5" x14ac:dyDescent="0.3">
      <c r="A320" s="4" t="s">
        <v>477</v>
      </c>
      <c r="B320" s="4" t="s">
        <v>475</v>
      </c>
      <c r="C320" s="4">
        <v>4</v>
      </c>
      <c r="D320" s="4" t="s">
        <v>476</v>
      </c>
      <c r="E320" s="15">
        <v>82.7</v>
      </c>
    </row>
    <row r="321" spans="1:5" x14ac:dyDescent="0.3">
      <c r="A321" s="4" t="s">
        <v>478</v>
      </c>
      <c r="B321" s="4" t="s">
        <v>479</v>
      </c>
      <c r="C321" s="4">
        <v>4</v>
      </c>
      <c r="D321" s="4" t="s">
        <v>480</v>
      </c>
      <c r="E321" s="15">
        <v>82.7</v>
      </c>
    </row>
    <row r="322" spans="1:5" x14ac:dyDescent="0.3">
      <c r="A322" s="4" t="s">
        <v>481</v>
      </c>
      <c r="B322" s="4" t="s">
        <v>482</v>
      </c>
      <c r="C322" s="4">
        <v>4</v>
      </c>
      <c r="D322" s="4" t="s">
        <v>483</v>
      </c>
      <c r="E322" s="15">
        <v>81.7</v>
      </c>
    </row>
    <row r="323" spans="1:5" x14ac:dyDescent="0.3">
      <c r="A323" s="4" t="s">
        <v>484</v>
      </c>
      <c r="B323" s="4" t="s">
        <v>485</v>
      </c>
      <c r="C323" s="4">
        <v>4</v>
      </c>
      <c r="D323" s="4" t="s">
        <v>483</v>
      </c>
      <c r="E323" s="15">
        <v>81.7</v>
      </c>
    </row>
    <row r="324" spans="1:5" x14ac:dyDescent="0.3">
      <c r="A324" s="4" t="s">
        <v>486</v>
      </c>
      <c r="B324" s="4" t="s">
        <v>487</v>
      </c>
      <c r="C324" s="4">
        <v>1</v>
      </c>
      <c r="D324" s="4" t="s">
        <v>488</v>
      </c>
      <c r="E324" s="15"/>
    </row>
    <row r="325" spans="1:5" x14ac:dyDescent="0.3">
      <c r="A325" s="4" t="s">
        <v>489</v>
      </c>
      <c r="B325" s="4" t="s">
        <v>490</v>
      </c>
      <c r="C325" s="4">
        <v>1</v>
      </c>
      <c r="D325" s="4" t="s">
        <v>491</v>
      </c>
      <c r="E325" s="15"/>
    </row>
    <row r="326" spans="1:5" x14ac:dyDescent="0.3">
      <c r="A326" s="4" t="s">
        <v>492</v>
      </c>
      <c r="B326" s="4" t="s">
        <v>233</v>
      </c>
      <c r="C326" s="4">
        <v>4</v>
      </c>
      <c r="D326" s="4" t="s">
        <v>22</v>
      </c>
      <c r="E326" s="15"/>
    </row>
    <row r="327" spans="1:5" x14ac:dyDescent="0.3">
      <c r="A327" s="4" t="s">
        <v>493</v>
      </c>
      <c r="B327" s="4" t="s">
        <v>120</v>
      </c>
      <c r="C327" s="4">
        <v>2</v>
      </c>
      <c r="D327" s="4" t="s">
        <v>121</v>
      </c>
      <c r="E327" s="15"/>
    </row>
    <row r="328" spans="1:5" x14ac:dyDescent="0.3">
      <c r="A328" s="4" t="s">
        <v>494</v>
      </c>
      <c r="B328" s="4" t="s">
        <v>495</v>
      </c>
      <c r="C328" s="4">
        <v>2</v>
      </c>
      <c r="D328" s="4" t="s">
        <v>121</v>
      </c>
      <c r="E328" s="15"/>
    </row>
    <row r="329" spans="1:5" x14ac:dyDescent="0.3">
      <c r="A329" s="4" t="s">
        <v>496</v>
      </c>
      <c r="B329" s="4" t="s">
        <v>497</v>
      </c>
      <c r="C329" s="4">
        <v>2</v>
      </c>
      <c r="D329" s="4" t="s">
        <v>498</v>
      </c>
      <c r="E329" s="15"/>
    </row>
    <row r="330" spans="1:5" x14ac:dyDescent="0.3">
      <c r="A330" s="4" t="s">
        <v>499</v>
      </c>
      <c r="B330" s="4" t="s">
        <v>500</v>
      </c>
      <c r="C330" s="4">
        <v>2</v>
      </c>
      <c r="D330" s="4" t="s">
        <v>498</v>
      </c>
      <c r="E330" s="15"/>
    </row>
    <row r="331" spans="1:5" x14ac:dyDescent="0.3">
      <c r="A331" s="4" t="s">
        <v>501</v>
      </c>
      <c r="B331" s="4" t="s">
        <v>500</v>
      </c>
      <c r="C331" s="4">
        <v>4</v>
      </c>
      <c r="D331" s="4" t="s">
        <v>498</v>
      </c>
      <c r="E331" s="15"/>
    </row>
    <row r="332" spans="1:5" x14ac:dyDescent="0.3">
      <c r="A332" s="4" t="s">
        <v>502</v>
      </c>
      <c r="B332" s="4" t="s">
        <v>291</v>
      </c>
      <c r="C332" s="4">
        <v>4</v>
      </c>
      <c r="D332" s="4" t="s">
        <v>292</v>
      </c>
      <c r="E332" s="15">
        <v>99.2</v>
      </c>
    </row>
    <row r="333" spans="1:5" x14ac:dyDescent="0.3">
      <c r="A333" s="4" t="s">
        <v>503</v>
      </c>
      <c r="B333" s="4" t="s">
        <v>504</v>
      </c>
      <c r="C333" s="4">
        <v>4</v>
      </c>
      <c r="D333" s="4" t="s">
        <v>22</v>
      </c>
      <c r="E333" s="15"/>
    </row>
    <row r="334" spans="1:5" x14ac:dyDescent="0.3">
      <c r="A334" s="4" t="s">
        <v>505</v>
      </c>
      <c r="B334" s="4" t="s">
        <v>506</v>
      </c>
      <c r="C334" s="4">
        <v>2</v>
      </c>
      <c r="D334" s="4" t="s">
        <v>22</v>
      </c>
      <c r="E334" s="15"/>
    </row>
    <row r="335" spans="1:5" x14ac:dyDescent="0.3">
      <c r="A335" s="4" t="s">
        <v>507</v>
      </c>
      <c r="B335" s="4" t="s">
        <v>508</v>
      </c>
      <c r="C335" s="4">
        <v>2</v>
      </c>
      <c r="D335" s="4" t="s">
        <v>509</v>
      </c>
      <c r="E335" s="15">
        <v>160</v>
      </c>
    </row>
    <row r="336" spans="1:5" x14ac:dyDescent="0.3">
      <c r="A336" s="4" t="s">
        <v>510</v>
      </c>
      <c r="B336" s="4" t="s">
        <v>511</v>
      </c>
      <c r="C336" s="4">
        <v>2</v>
      </c>
      <c r="D336" s="4" t="s">
        <v>512</v>
      </c>
      <c r="E336" s="15">
        <v>160</v>
      </c>
    </row>
    <row r="337" spans="1:5" x14ac:dyDescent="0.3">
      <c r="A337" s="4" t="s">
        <v>513</v>
      </c>
      <c r="B337" s="4" t="s">
        <v>514</v>
      </c>
      <c r="C337" s="4">
        <v>2</v>
      </c>
      <c r="D337" s="4" t="s">
        <v>509</v>
      </c>
      <c r="E337" s="15">
        <v>160</v>
      </c>
    </row>
    <row r="338" spans="1:5" x14ac:dyDescent="0.3">
      <c r="A338" s="4" t="s">
        <v>515</v>
      </c>
      <c r="B338" s="4" t="s">
        <v>516</v>
      </c>
      <c r="C338" s="4">
        <v>2</v>
      </c>
      <c r="D338" s="4" t="s">
        <v>517</v>
      </c>
      <c r="E338" s="15">
        <v>160</v>
      </c>
    </row>
    <row r="339" spans="1:5" x14ac:dyDescent="0.3">
      <c r="A339" s="4" t="s">
        <v>5</v>
      </c>
      <c r="B339" s="4" t="s">
        <v>518</v>
      </c>
      <c r="C339" s="4">
        <v>6</v>
      </c>
      <c r="D339" s="4" t="s">
        <v>519</v>
      </c>
      <c r="E339" s="15">
        <v>85.9</v>
      </c>
    </row>
    <row r="340" spans="1:5" x14ac:dyDescent="0.3">
      <c r="A340" s="4" t="s">
        <v>520</v>
      </c>
      <c r="B340" s="4" t="s">
        <v>521</v>
      </c>
      <c r="C340" s="4">
        <v>6</v>
      </c>
      <c r="D340" s="4" t="s">
        <v>522</v>
      </c>
      <c r="E340" s="15">
        <v>85.9</v>
      </c>
    </row>
    <row r="341" spans="1:5" x14ac:dyDescent="0.3">
      <c r="A341" s="4" t="s">
        <v>523</v>
      </c>
      <c r="B341" s="4" t="s">
        <v>524</v>
      </c>
      <c r="C341" s="4">
        <v>2</v>
      </c>
      <c r="D341" s="4" t="s">
        <v>22</v>
      </c>
      <c r="E341" s="15"/>
    </row>
    <row r="342" spans="1:5" x14ac:dyDescent="0.3">
      <c r="A342" s="4" t="s">
        <v>6</v>
      </c>
      <c r="B342" s="4" t="s">
        <v>525</v>
      </c>
      <c r="C342" s="4">
        <v>4</v>
      </c>
      <c r="D342" s="4" t="s">
        <v>450</v>
      </c>
      <c r="E342" s="15"/>
    </row>
    <row r="343" spans="1:5" x14ac:dyDescent="0.3">
      <c r="A343" s="4" t="s">
        <v>526</v>
      </c>
      <c r="B343" s="4" t="s">
        <v>527</v>
      </c>
      <c r="C343" s="4">
        <v>4</v>
      </c>
      <c r="D343" s="4" t="s">
        <v>528</v>
      </c>
      <c r="E343" s="15"/>
    </row>
    <row r="344" spans="1:5" x14ac:dyDescent="0.3">
      <c r="A344" s="4" t="s">
        <v>529</v>
      </c>
      <c r="B344" s="4" t="s">
        <v>530</v>
      </c>
      <c r="C344" s="4">
        <v>4</v>
      </c>
      <c r="D344" s="4" t="s">
        <v>450</v>
      </c>
      <c r="E344" s="15"/>
    </row>
    <row r="345" spans="1:5" x14ac:dyDescent="0.3">
      <c r="A345" s="4" t="s">
        <v>531</v>
      </c>
      <c r="B345" s="4" t="s">
        <v>532</v>
      </c>
      <c r="C345" s="4">
        <v>2</v>
      </c>
      <c r="D345" s="4" t="s">
        <v>22</v>
      </c>
      <c r="E345" s="15"/>
    </row>
    <row r="346" spans="1:5" x14ac:dyDescent="0.3">
      <c r="A346" s="4" t="s">
        <v>533</v>
      </c>
      <c r="B346" s="4" t="s">
        <v>534</v>
      </c>
      <c r="C346" s="4">
        <v>2</v>
      </c>
      <c r="D346" s="4" t="s">
        <v>22</v>
      </c>
      <c r="E346" s="15"/>
    </row>
    <row r="347" spans="1:5" x14ac:dyDescent="0.3">
      <c r="A347" s="4" t="s">
        <v>535</v>
      </c>
      <c r="B347" s="4" t="s">
        <v>536</v>
      </c>
      <c r="C347" s="4">
        <v>2</v>
      </c>
      <c r="D347" s="4"/>
      <c r="E347" s="15"/>
    </row>
    <row r="348" spans="1:5" x14ac:dyDescent="0.3">
      <c r="A348" s="4">
        <v>2012</v>
      </c>
      <c r="B348" s="4" t="s">
        <v>318</v>
      </c>
      <c r="C348" s="4">
        <v>12</v>
      </c>
      <c r="D348" s="4" t="s">
        <v>319</v>
      </c>
      <c r="E348" s="15"/>
    </row>
    <row r="349" spans="1:5" x14ac:dyDescent="0.3">
      <c r="A349" s="4" t="s">
        <v>537</v>
      </c>
      <c r="B349" s="4" t="s">
        <v>538</v>
      </c>
      <c r="C349" s="4">
        <v>2</v>
      </c>
      <c r="D349" s="4" t="s">
        <v>319</v>
      </c>
      <c r="E349" s="15"/>
    </row>
    <row r="350" spans="1:5" x14ac:dyDescent="0.3">
      <c r="A350" s="4" t="s">
        <v>539</v>
      </c>
      <c r="B350" s="4" t="s">
        <v>540</v>
      </c>
      <c r="C350" s="4">
        <v>2</v>
      </c>
      <c r="D350" s="4" t="s">
        <v>541</v>
      </c>
      <c r="E350" s="15">
        <v>10</v>
      </c>
    </row>
    <row r="351" spans="1:5" x14ac:dyDescent="0.3">
      <c r="A351" s="4">
        <v>1999</v>
      </c>
      <c r="B351" s="4" t="s">
        <v>540</v>
      </c>
      <c r="C351" s="4">
        <v>6</v>
      </c>
      <c r="D351" s="4" t="s">
        <v>541</v>
      </c>
      <c r="E351" s="15"/>
    </row>
    <row r="352" spans="1:5" x14ac:dyDescent="0.3">
      <c r="A352" s="4" t="s">
        <v>542</v>
      </c>
      <c r="B352" s="4" t="s">
        <v>543</v>
      </c>
      <c r="C352" s="4">
        <v>2</v>
      </c>
      <c r="D352" s="4" t="s">
        <v>544</v>
      </c>
      <c r="E352" s="15">
        <v>10</v>
      </c>
    </row>
    <row r="353" spans="1:5" x14ac:dyDescent="0.3">
      <c r="A353" s="4" t="s">
        <v>545</v>
      </c>
      <c r="B353" s="4" t="s">
        <v>546</v>
      </c>
      <c r="C353" s="4">
        <v>2</v>
      </c>
      <c r="D353" s="4" t="s">
        <v>22</v>
      </c>
      <c r="E353" s="15"/>
    </row>
    <row r="354" spans="1:5" x14ac:dyDescent="0.3">
      <c r="A354" s="4" t="s">
        <v>547</v>
      </c>
      <c r="B354" s="4" t="s">
        <v>548</v>
      </c>
      <c r="C354" s="4">
        <v>2</v>
      </c>
      <c r="D354" s="4" t="s">
        <v>22</v>
      </c>
      <c r="E354" s="15"/>
    </row>
    <row r="355" spans="1:5" x14ac:dyDescent="0.3">
      <c r="A355" s="4" t="s">
        <v>549</v>
      </c>
      <c r="B355" s="4" t="s">
        <v>550</v>
      </c>
      <c r="C355" s="4">
        <v>2</v>
      </c>
      <c r="D355" s="4" t="s">
        <v>22</v>
      </c>
      <c r="E355" s="15"/>
    </row>
    <row r="356" spans="1:5" x14ac:dyDescent="0.3">
      <c r="A356" s="4" t="s">
        <v>551</v>
      </c>
      <c r="B356" s="4" t="s">
        <v>552</v>
      </c>
      <c r="C356" s="4">
        <v>2</v>
      </c>
      <c r="D356" s="4" t="s">
        <v>22</v>
      </c>
      <c r="E356" s="15"/>
    </row>
    <row r="357" spans="1:5" x14ac:dyDescent="0.3">
      <c r="A357" s="4">
        <v>1998</v>
      </c>
      <c r="B357" s="4" t="s">
        <v>550</v>
      </c>
      <c r="C357" s="4">
        <v>6</v>
      </c>
      <c r="D357" s="4" t="s">
        <v>22</v>
      </c>
      <c r="E357" s="15"/>
    </row>
    <row r="358" spans="1:5" x14ac:dyDescent="0.3">
      <c r="A358" s="4" t="s">
        <v>553</v>
      </c>
      <c r="B358" s="4" t="s">
        <v>554</v>
      </c>
      <c r="C358" s="4">
        <v>2</v>
      </c>
      <c r="D358" s="4" t="s">
        <v>22</v>
      </c>
      <c r="E358" s="15"/>
    </row>
    <row r="359" spans="1:5" x14ac:dyDescent="0.3">
      <c r="A359" s="4" t="s">
        <v>555</v>
      </c>
      <c r="B359" s="4" t="s">
        <v>343</v>
      </c>
      <c r="C359" s="4">
        <v>2</v>
      </c>
      <c r="D359" s="4" t="s">
        <v>344</v>
      </c>
      <c r="E359" s="15"/>
    </row>
    <row r="360" spans="1:5" ht="15.6" x14ac:dyDescent="0.3">
      <c r="A360" s="4" t="s">
        <v>556</v>
      </c>
      <c r="B360" s="5" t="s">
        <v>557</v>
      </c>
      <c r="C360" s="4">
        <v>4</v>
      </c>
      <c r="D360" s="4"/>
      <c r="E360" s="15"/>
    </row>
    <row r="361" spans="1:5" x14ac:dyDescent="0.3">
      <c r="A361" s="4" t="s">
        <v>558</v>
      </c>
      <c r="B361" s="4" t="s">
        <v>559</v>
      </c>
      <c r="C361" s="4">
        <v>4</v>
      </c>
      <c r="D361" s="4" t="s">
        <v>22</v>
      </c>
      <c r="E361" s="15"/>
    </row>
    <row r="362" spans="1:5" x14ac:dyDescent="0.3">
      <c r="A362" s="4" t="s">
        <v>10</v>
      </c>
      <c r="B362" s="4" t="s">
        <v>560</v>
      </c>
      <c r="C362" s="4">
        <v>4</v>
      </c>
      <c r="D362" s="4" t="s">
        <v>561</v>
      </c>
      <c r="E362" s="15">
        <v>30.3</v>
      </c>
    </row>
    <row r="363" spans="1:5" x14ac:dyDescent="0.3">
      <c r="A363" s="4" t="s">
        <v>562</v>
      </c>
      <c r="B363" s="4" t="s">
        <v>563</v>
      </c>
      <c r="C363" s="4">
        <v>2</v>
      </c>
      <c r="D363" s="4" t="s">
        <v>22</v>
      </c>
      <c r="E363" s="15"/>
    </row>
    <row r="364" spans="1:5" x14ac:dyDescent="0.3">
      <c r="A364" s="4" t="s">
        <v>564</v>
      </c>
      <c r="B364" s="4" t="s">
        <v>565</v>
      </c>
      <c r="C364" s="4">
        <v>2</v>
      </c>
      <c r="D364" s="4"/>
      <c r="E364" s="15">
        <v>8.39</v>
      </c>
    </row>
    <row r="365" spans="1:5" x14ac:dyDescent="0.3">
      <c r="A365" s="4" t="s">
        <v>566</v>
      </c>
      <c r="B365" s="4" t="s">
        <v>567</v>
      </c>
      <c r="C365" s="4">
        <v>2</v>
      </c>
      <c r="D365" s="4" t="s">
        <v>22</v>
      </c>
      <c r="E365" s="15">
        <v>8.39</v>
      </c>
    </row>
    <row r="366" spans="1:5" x14ac:dyDescent="0.3">
      <c r="A366" s="4" t="s">
        <v>568</v>
      </c>
      <c r="B366" s="4" t="s">
        <v>569</v>
      </c>
      <c r="C366" s="4">
        <v>2</v>
      </c>
      <c r="D366" s="4" t="s">
        <v>570</v>
      </c>
      <c r="E366" s="15">
        <v>8.39</v>
      </c>
    </row>
    <row r="367" spans="1:5" x14ac:dyDescent="0.3">
      <c r="A367" s="4" t="s">
        <v>571</v>
      </c>
      <c r="B367" s="4" t="s">
        <v>572</v>
      </c>
      <c r="C367" s="4">
        <v>2</v>
      </c>
      <c r="D367" s="4" t="s">
        <v>22</v>
      </c>
      <c r="E367" s="15"/>
    </row>
    <row r="368" spans="1:5" x14ac:dyDescent="0.3">
      <c r="A368" s="4" t="s">
        <v>573</v>
      </c>
      <c r="B368" s="4" t="s">
        <v>574</v>
      </c>
      <c r="C368" s="4">
        <v>2</v>
      </c>
      <c r="D368" s="4" t="s">
        <v>575</v>
      </c>
      <c r="E368" s="15">
        <v>151</v>
      </c>
    </row>
    <row r="369" spans="1:5" x14ac:dyDescent="0.3">
      <c r="A369" s="4" t="s">
        <v>16</v>
      </c>
      <c r="B369" s="4" t="s">
        <v>576</v>
      </c>
      <c r="C369" s="4">
        <v>2</v>
      </c>
      <c r="D369" s="4" t="s">
        <v>575</v>
      </c>
      <c r="E369" s="15"/>
    </row>
    <row r="370" spans="1:5" x14ac:dyDescent="0.3">
      <c r="A370" s="4" t="s">
        <v>577</v>
      </c>
      <c r="B370" s="4" t="s">
        <v>578</v>
      </c>
      <c r="C370" s="4">
        <v>2</v>
      </c>
      <c r="D370" s="4" t="s">
        <v>22</v>
      </c>
      <c r="E370" s="15"/>
    </row>
    <row r="371" spans="1:5" x14ac:dyDescent="0.3">
      <c r="A371" s="4" t="s">
        <v>579</v>
      </c>
      <c r="B371" s="4" t="s">
        <v>580</v>
      </c>
      <c r="C371" s="4">
        <v>2</v>
      </c>
      <c r="D371" s="4" t="s">
        <v>22</v>
      </c>
      <c r="E371" s="15"/>
    </row>
    <row r="372" spans="1:5" x14ac:dyDescent="0.3">
      <c r="A372" s="4" t="s">
        <v>581</v>
      </c>
      <c r="B372" s="4" t="s">
        <v>582</v>
      </c>
      <c r="C372" s="4">
        <v>6</v>
      </c>
      <c r="D372" s="4" t="s">
        <v>583</v>
      </c>
      <c r="E372" s="15"/>
    </row>
    <row r="373" spans="1:5" ht="15.6" x14ac:dyDescent="0.3">
      <c r="A373" s="4" t="s">
        <v>584</v>
      </c>
      <c r="B373" s="7" t="s">
        <v>197</v>
      </c>
      <c r="C373" s="5">
        <v>2</v>
      </c>
      <c r="D373" s="4" t="s">
        <v>22</v>
      </c>
      <c r="E373" s="15">
        <v>2.73</v>
      </c>
    </row>
    <row r="374" spans="1:5" x14ac:dyDescent="0.3">
      <c r="A374" s="4" t="s">
        <v>585</v>
      </c>
      <c r="B374" s="4" t="s">
        <v>586</v>
      </c>
      <c r="C374" s="4">
        <v>1</v>
      </c>
      <c r="D374" s="4" t="s">
        <v>587</v>
      </c>
      <c r="E374" s="15">
        <v>233</v>
      </c>
    </row>
    <row r="375" spans="1:5" x14ac:dyDescent="0.3">
      <c r="A375" s="4" t="s">
        <v>588</v>
      </c>
      <c r="B375" s="4" t="s">
        <v>589</v>
      </c>
      <c r="C375" s="4">
        <v>4</v>
      </c>
      <c r="D375" s="4" t="s">
        <v>209</v>
      </c>
      <c r="E375" s="15"/>
    </row>
    <row r="376" spans="1:5" x14ac:dyDescent="0.3">
      <c r="A376" s="4" t="s">
        <v>590</v>
      </c>
      <c r="B376" s="4" t="s">
        <v>591</v>
      </c>
      <c r="C376" s="4">
        <v>2</v>
      </c>
      <c r="D376" s="4" t="s">
        <v>592</v>
      </c>
      <c r="E376" s="15"/>
    </row>
    <row r="377" spans="1:5" x14ac:dyDescent="0.3">
      <c r="A377" s="4" t="s">
        <v>593</v>
      </c>
      <c r="B377" s="4" t="s">
        <v>594</v>
      </c>
      <c r="C377" s="4">
        <v>2</v>
      </c>
      <c r="D377" s="4" t="s">
        <v>22</v>
      </c>
      <c r="E377" s="15"/>
    </row>
    <row r="378" spans="1:5" x14ac:dyDescent="0.3">
      <c r="A378" s="4" t="s">
        <v>595</v>
      </c>
      <c r="B378" s="4" t="s">
        <v>596</v>
      </c>
      <c r="C378" s="4">
        <v>2</v>
      </c>
      <c r="D378" s="4" t="s">
        <v>22</v>
      </c>
      <c r="E378" s="15"/>
    </row>
    <row r="379" spans="1:5" x14ac:dyDescent="0.3">
      <c r="A379" s="4" t="s">
        <v>597</v>
      </c>
      <c r="B379" s="4" t="s">
        <v>591</v>
      </c>
      <c r="C379" s="4">
        <v>2</v>
      </c>
      <c r="D379" s="4" t="s">
        <v>598</v>
      </c>
      <c r="E379" s="15"/>
    </row>
    <row r="380" spans="1:5" x14ac:dyDescent="0.3">
      <c r="A380" s="4" t="s">
        <v>599</v>
      </c>
      <c r="B380" s="4" t="s">
        <v>594</v>
      </c>
      <c r="C380" s="4">
        <v>2</v>
      </c>
      <c r="D380" s="4" t="s">
        <v>592</v>
      </c>
      <c r="E380" s="15"/>
    </row>
    <row r="381" spans="1:5" x14ac:dyDescent="0.3">
      <c r="A381" s="4" t="s">
        <v>12</v>
      </c>
      <c r="B381" s="4" t="s">
        <v>600</v>
      </c>
      <c r="C381" s="4">
        <v>4</v>
      </c>
      <c r="D381" s="4" t="s">
        <v>601</v>
      </c>
      <c r="E381" s="15">
        <v>20.86</v>
      </c>
    </row>
    <row r="382" spans="1:5" x14ac:dyDescent="0.3">
      <c r="A382" s="4" t="s">
        <v>602</v>
      </c>
      <c r="B382" s="4" t="s">
        <v>603</v>
      </c>
      <c r="C382" s="4">
        <v>4</v>
      </c>
      <c r="D382" s="4"/>
      <c r="E382" s="15"/>
    </row>
    <row r="383" spans="1:5" x14ac:dyDescent="0.3">
      <c r="A383" s="4" t="s">
        <v>604</v>
      </c>
      <c r="B383" s="4" t="s">
        <v>410</v>
      </c>
      <c r="C383" s="4">
        <v>4</v>
      </c>
      <c r="D383" s="4" t="s">
        <v>411</v>
      </c>
      <c r="E383" s="15">
        <v>54.1</v>
      </c>
    </row>
    <row r="384" spans="1:5" x14ac:dyDescent="0.3">
      <c r="A384" s="4" t="s">
        <v>605</v>
      </c>
      <c r="B384" s="4" t="s">
        <v>606</v>
      </c>
      <c r="C384" s="4">
        <v>4</v>
      </c>
      <c r="D384" s="4" t="s">
        <v>22</v>
      </c>
      <c r="E384" s="15"/>
    </row>
    <row r="385" spans="1:5" x14ac:dyDescent="0.3">
      <c r="A385" s="4" t="s">
        <v>607</v>
      </c>
      <c r="B385" s="4" t="s">
        <v>608</v>
      </c>
      <c r="C385" s="4">
        <v>1</v>
      </c>
      <c r="D385" s="4" t="s">
        <v>609</v>
      </c>
      <c r="E385" s="15"/>
    </row>
    <row r="386" spans="1:5" x14ac:dyDescent="0.3">
      <c r="A386" s="4" t="s">
        <v>610</v>
      </c>
      <c r="B386" s="4" t="s">
        <v>611</v>
      </c>
      <c r="C386" s="4">
        <v>1</v>
      </c>
      <c r="D386" s="4" t="s">
        <v>22</v>
      </c>
      <c r="E386" s="15"/>
    </row>
    <row r="387" spans="1:5" x14ac:dyDescent="0.3">
      <c r="A387" s="4" t="s">
        <v>612</v>
      </c>
      <c r="B387" s="4" t="s">
        <v>613</v>
      </c>
      <c r="C387" s="4">
        <v>2</v>
      </c>
      <c r="D387" s="4" t="s">
        <v>614</v>
      </c>
      <c r="E387" s="15"/>
    </row>
    <row r="388" spans="1:5" x14ac:dyDescent="0.3">
      <c r="A388" s="4" t="s">
        <v>615</v>
      </c>
      <c r="B388" s="4" t="s">
        <v>616</v>
      </c>
      <c r="C388" s="4">
        <v>2</v>
      </c>
      <c r="D388" s="4" t="s">
        <v>617</v>
      </c>
      <c r="E388" s="15">
        <v>121.5</v>
      </c>
    </row>
    <row r="389" spans="1:5" x14ac:dyDescent="0.3">
      <c r="A389" s="4" t="s">
        <v>618</v>
      </c>
      <c r="B389" s="4" t="s">
        <v>619</v>
      </c>
      <c r="C389" s="4">
        <v>2</v>
      </c>
      <c r="D389" s="4" t="s">
        <v>22</v>
      </c>
      <c r="E389" s="15">
        <v>20.9</v>
      </c>
    </row>
    <row r="390" spans="1:5" x14ac:dyDescent="0.3">
      <c r="A390" s="4" t="s">
        <v>620</v>
      </c>
      <c r="B390" s="4" t="s">
        <v>621</v>
      </c>
      <c r="C390" s="4">
        <v>2</v>
      </c>
      <c r="D390" s="4" t="s">
        <v>622</v>
      </c>
      <c r="E390" s="15"/>
    </row>
    <row r="391" spans="1:5" x14ac:dyDescent="0.3">
      <c r="A391" s="4" t="s">
        <v>623</v>
      </c>
      <c r="B391" s="4" t="s">
        <v>624</v>
      </c>
      <c r="C391" s="4">
        <v>2</v>
      </c>
      <c r="D391" s="4" t="s">
        <v>625</v>
      </c>
      <c r="E391" s="15"/>
    </row>
    <row r="392" spans="1:5" x14ac:dyDescent="0.3">
      <c r="A392" s="4" t="s">
        <v>626</v>
      </c>
      <c r="B392" s="4" t="s">
        <v>627</v>
      </c>
      <c r="C392" s="4">
        <v>4</v>
      </c>
      <c r="D392" s="4" t="s">
        <v>628</v>
      </c>
      <c r="E392" s="15"/>
    </row>
    <row r="393" spans="1:5" x14ac:dyDescent="0.3">
      <c r="A393" s="4" t="s">
        <v>629</v>
      </c>
      <c r="B393" s="4" t="s">
        <v>630</v>
      </c>
      <c r="C393" s="4">
        <v>2</v>
      </c>
      <c r="D393" s="4"/>
      <c r="E393" s="15"/>
    </row>
    <row r="394" spans="1:5" x14ac:dyDescent="0.3">
      <c r="A394" s="4" t="s">
        <v>631</v>
      </c>
      <c r="B394" s="4" t="s">
        <v>632</v>
      </c>
      <c r="C394" s="4">
        <v>4</v>
      </c>
      <c r="D394" s="4" t="s">
        <v>22</v>
      </c>
      <c r="E394" s="15"/>
    </row>
    <row r="395" spans="1:5" x14ac:dyDescent="0.3">
      <c r="A395" s="4" t="s">
        <v>633</v>
      </c>
      <c r="B395" s="4" t="s">
        <v>634</v>
      </c>
      <c r="C395" s="4">
        <v>4</v>
      </c>
      <c r="D395" s="4" t="s">
        <v>22</v>
      </c>
      <c r="E395" s="15"/>
    </row>
    <row r="396" spans="1:5" x14ac:dyDescent="0.3">
      <c r="A396" s="4" t="s">
        <v>635</v>
      </c>
      <c r="B396" s="4" t="s">
        <v>636</v>
      </c>
      <c r="C396" s="4">
        <v>4</v>
      </c>
      <c r="D396" s="4" t="s">
        <v>22</v>
      </c>
      <c r="E396" s="15"/>
    </row>
    <row r="397" spans="1:5" x14ac:dyDescent="0.3">
      <c r="A397" s="4" t="s">
        <v>637</v>
      </c>
      <c r="B397" s="4" t="s">
        <v>638</v>
      </c>
      <c r="C397" s="4">
        <v>4</v>
      </c>
      <c r="D397" s="4" t="s">
        <v>22</v>
      </c>
      <c r="E397" s="15"/>
    </row>
    <row r="398" spans="1:5" x14ac:dyDescent="0.3">
      <c r="A398" s="4" t="s">
        <v>14</v>
      </c>
      <c r="B398" s="4" t="s">
        <v>639</v>
      </c>
      <c r="C398" s="4">
        <v>6</v>
      </c>
      <c r="D398" s="4" t="s">
        <v>640</v>
      </c>
      <c r="E398" s="15">
        <v>32</v>
      </c>
    </row>
    <row r="399" spans="1:5" x14ac:dyDescent="0.3">
      <c r="A399" s="4" t="s">
        <v>641</v>
      </c>
      <c r="B399" s="4" t="s">
        <v>642</v>
      </c>
      <c r="C399" s="4">
        <v>1</v>
      </c>
      <c r="D399" s="4" t="s">
        <v>643</v>
      </c>
      <c r="E399" s="15">
        <v>220.4</v>
      </c>
    </row>
    <row r="400" spans="1:5" x14ac:dyDescent="0.3">
      <c r="A400" s="4" t="s">
        <v>644</v>
      </c>
      <c r="B400" s="4" t="s">
        <v>645</v>
      </c>
      <c r="C400" s="4">
        <v>1</v>
      </c>
      <c r="D400" s="4"/>
      <c r="E400" s="15">
        <v>220.84</v>
      </c>
    </row>
    <row r="401" spans="1:5" x14ac:dyDescent="0.3">
      <c r="A401" s="4" t="s">
        <v>646</v>
      </c>
      <c r="B401" s="4" t="s">
        <v>647</v>
      </c>
      <c r="C401" s="4">
        <v>1</v>
      </c>
      <c r="D401" s="4" t="s">
        <v>643</v>
      </c>
      <c r="E401" s="15"/>
    </row>
    <row r="402" spans="1:5" x14ac:dyDescent="0.3">
      <c r="A402" s="4" t="s">
        <v>648</v>
      </c>
      <c r="B402" s="4" t="s">
        <v>649</v>
      </c>
      <c r="C402" s="4">
        <v>1</v>
      </c>
      <c r="D402" s="4"/>
      <c r="E402" s="15"/>
    </row>
    <row r="403" spans="1:5" x14ac:dyDescent="0.3">
      <c r="A403" s="4">
        <v>2006</v>
      </c>
      <c r="B403" s="4"/>
      <c r="C403" s="4"/>
      <c r="D403" s="4"/>
      <c r="E403" s="15">
        <v>17</v>
      </c>
    </row>
    <row r="404" spans="1:5" x14ac:dyDescent="0.3">
      <c r="A404" s="4">
        <v>1997</v>
      </c>
      <c r="B404" s="4"/>
      <c r="C404" s="4"/>
      <c r="D404" s="4"/>
      <c r="E404" s="15">
        <v>3.35</v>
      </c>
    </row>
    <row r="405" spans="1:5" x14ac:dyDescent="0.3">
      <c r="A405" s="4" t="s">
        <v>650</v>
      </c>
      <c r="B405" s="4" t="s">
        <v>651</v>
      </c>
      <c r="C405" s="4">
        <v>2</v>
      </c>
      <c r="D405" s="4" t="s">
        <v>22</v>
      </c>
      <c r="E405" s="15"/>
    </row>
    <row r="406" spans="1:5" x14ac:dyDescent="0.3">
      <c r="A406" s="4" t="s">
        <v>13</v>
      </c>
      <c r="B406" s="4" t="s">
        <v>652</v>
      </c>
      <c r="C406" s="4">
        <v>2</v>
      </c>
      <c r="D406" s="4" t="s">
        <v>653</v>
      </c>
      <c r="E406" s="15"/>
    </row>
    <row r="407" spans="1:5" x14ac:dyDescent="0.3">
      <c r="A407" s="4" t="s">
        <v>654</v>
      </c>
      <c r="B407" s="4" t="s">
        <v>655</v>
      </c>
      <c r="C407" s="4">
        <v>2</v>
      </c>
      <c r="D407" s="4" t="s">
        <v>656</v>
      </c>
      <c r="E407" s="15"/>
    </row>
    <row r="408" spans="1:5" x14ac:dyDescent="0.3">
      <c r="A408" s="4" t="s">
        <v>657</v>
      </c>
      <c r="B408" s="4" t="s">
        <v>658</v>
      </c>
      <c r="C408" s="4">
        <v>2</v>
      </c>
      <c r="D408" s="4" t="s">
        <v>659</v>
      </c>
      <c r="E408" s="15">
        <v>3.73</v>
      </c>
    </row>
    <row r="409" spans="1:5" x14ac:dyDescent="0.3">
      <c r="A409" s="4" t="s">
        <v>660</v>
      </c>
      <c r="B409" s="4" t="s">
        <v>661</v>
      </c>
      <c r="C409" s="4">
        <v>2</v>
      </c>
      <c r="D409" s="4" t="s">
        <v>662</v>
      </c>
      <c r="E409" s="15">
        <v>3.73</v>
      </c>
    </row>
    <row r="410" spans="1:5" x14ac:dyDescent="0.3">
      <c r="A410" s="4" t="s">
        <v>663</v>
      </c>
      <c r="B410" s="4" t="s">
        <v>664</v>
      </c>
      <c r="C410" s="4">
        <v>2</v>
      </c>
      <c r="D410" s="4" t="s">
        <v>665</v>
      </c>
      <c r="E410" s="15"/>
    </row>
    <row r="411" spans="1:5" x14ac:dyDescent="0.3">
      <c r="A411" s="4" t="s">
        <v>666</v>
      </c>
      <c r="B411" s="4" t="s">
        <v>667</v>
      </c>
      <c r="C411" s="4">
        <v>2</v>
      </c>
      <c r="D411" s="4" t="s">
        <v>22</v>
      </c>
      <c r="E411" s="15">
        <v>21.7</v>
      </c>
    </row>
    <row r="412" spans="1:5" x14ac:dyDescent="0.3">
      <c r="A412" s="4" t="s">
        <v>668</v>
      </c>
      <c r="B412" s="4" t="s">
        <v>669</v>
      </c>
      <c r="C412" s="4">
        <v>2</v>
      </c>
      <c r="D412" s="4" t="s">
        <v>22</v>
      </c>
      <c r="E412" s="15">
        <v>21.7</v>
      </c>
    </row>
    <row r="413" spans="1:5" x14ac:dyDescent="0.3">
      <c r="A413" s="4" t="s">
        <v>670</v>
      </c>
      <c r="B413" s="4" t="s">
        <v>671</v>
      </c>
      <c r="C413" s="4">
        <v>2</v>
      </c>
      <c r="D413" s="4" t="s">
        <v>22</v>
      </c>
      <c r="E413" s="15"/>
    </row>
    <row r="414" spans="1:5" x14ac:dyDescent="0.3">
      <c r="A414" s="4" t="s">
        <v>672</v>
      </c>
      <c r="B414" s="4" t="s">
        <v>673</v>
      </c>
      <c r="C414" s="4">
        <v>2</v>
      </c>
      <c r="D414" s="4" t="s">
        <v>22</v>
      </c>
      <c r="E414" s="15"/>
    </row>
    <row r="415" spans="1:5" x14ac:dyDescent="0.3">
      <c r="A415" s="4" t="s">
        <v>674</v>
      </c>
      <c r="B415" s="4" t="s">
        <v>675</v>
      </c>
      <c r="C415" s="4">
        <v>2</v>
      </c>
      <c r="D415" s="4" t="s">
        <v>22</v>
      </c>
      <c r="E415" s="15"/>
    </row>
    <row r="416" spans="1:5" x14ac:dyDescent="0.3">
      <c r="A416" s="4" t="s">
        <v>676</v>
      </c>
      <c r="B416" s="4" t="s">
        <v>677</v>
      </c>
      <c r="C416" s="4">
        <v>2</v>
      </c>
      <c r="D416" s="4"/>
      <c r="E416" s="15"/>
    </row>
    <row r="417" spans="1:5" x14ac:dyDescent="0.3">
      <c r="A417" s="4" t="s">
        <v>678</v>
      </c>
      <c r="B417" s="4" t="s">
        <v>679</v>
      </c>
      <c r="C417" s="4">
        <v>2</v>
      </c>
      <c r="D417" s="4" t="s">
        <v>330</v>
      </c>
      <c r="E417" s="15"/>
    </row>
    <row r="418" spans="1:5" x14ac:dyDescent="0.3">
      <c r="A418" s="4" t="s">
        <v>680</v>
      </c>
      <c r="B418" s="4" t="s">
        <v>681</v>
      </c>
      <c r="C418" s="4">
        <v>2</v>
      </c>
      <c r="D418" s="4" t="s">
        <v>322</v>
      </c>
      <c r="E418" s="15"/>
    </row>
    <row r="419" spans="1:5" x14ac:dyDescent="0.3">
      <c r="A419" s="4" t="s">
        <v>682</v>
      </c>
      <c r="B419" s="4" t="s">
        <v>683</v>
      </c>
      <c r="C419" s="4">
        <v>2</v>
      </c>
      <c r="D419" s="4" t="s">
        <v>330</v>
      </c>
      <c r="E419" s="15"/>
    </row>
    <row r="420" spans="1:5" x14ac:dyDescent="0.3">
      <c r="A420" s="4" t="s">
        <v>684</v>
      </c>
      <c r="B420" s="4" t="s">
        <v>53</v>
      </c>
      <c r="C420" s="4">
        <v>2</v>
      </c>
      <c r="D420" s="4" t="s">
        <v>22</v>
      </c>
      <c r="E420" s="15">
        <v>1.88</v>
      </c>
    </row>
    <row r="421" spans="1:5" x14ac:dyDescent="0.3">
      <c r="A421" s="4" t="s">
        <v>684</v>
      </c>
      <c r="B421" s="4" t="s">
        <v>53</v>
      </c>
      <c r="C421" s="4">
        <v>2</v>
      </c>
      <c r="D421" s="4" t="s">
        <v>22</v>
      </c>
      <c r="E421" s="15">
        <v>1.88</v>
      </c>
    </row>
    <row r="422" spans="1:5" x14ac:dyDescent="0.3">
      <c r="A422" s="4" t="s">
        <v>685</v>
      </c>
      <c r="B422" s="4" t="s">
        <v>686</v>
      </c>
      <c r="C422" s="4">
        <v>1</v>
      </c>
      <c r="D422" s="4" t="s">
        <v>22</v>
      </c>
      <c r="E422" s="15"/>
    </row>
    <row r="423" spans="1:5" x14ac:dyDescent="0.3">
      <c r="A423" s="4" t="s">
        <v>687</v>
      </c>
      <c r="B423" s="4" t="s">
        <v>688</v>
      </c>
      <c r="C423" s="4">
        <v>4</v>
      </c>
      <c r="D423" s="4" t="s">
        <v>22</v>
      </c>
      <c r="E423" s="15"/>
    </row>
    <row r="424" spans="1:5" x14ac:dyDescent="0.3">
      <c r="A424" s="4" t="s">
        <v>689</v>
      </c>
      <c r="B424" s="4" t="s">
        <v>690</v>
      </c>
      <c r="C424" s="4">
        <v>2</v>
      </c>
      <c r="D424" s="4" t="s">
        <v>691</v>
      </c>
      <c r="E424" s="15"/>
    </row>
    <row r="425" spans="1:5" x14ac:dyDescent="0.3">
      <c r="A425" s="4" t="s">
        <v>692</v>
      </c>
      <c r="B425" s="4" t="s">
        <v>693</v>
      </c>
      <c r="C425" s="4">
        <v>2</v>
      </c>
      <c r="D425" s="4" t="s">
        <v>694</v>
      </c>
      <c r="E425" s="15"/>
    </row>
    <row r="426" spans="1:5" x14ac:dyDescent="0.3">
      <c r="A426" s="4" t="s">
        <v>695</v>
      </c>
      <c r="B426" s="4" t="s">
        <v>696</v>
      </c>
      <c r="C426" s="4">
        <v>2</v>
      </c>
      <c r="D426" s="4" t="s">
        <v>22</v>
      </c>
      <c r="E426" s="15"/>
    </row>
    <row r="427" spans="1:5" x14ac:dyDescent="0.3">
      <c r="A427" s="4" t="s">
        <v>697</v>
      </c>
      <c r="B427" s="4" t="s">
        <v>698</v>
      </c>
      <c r="C427" s="4">
        <v>2</v>
      </c>
      <c r="D427" s="4"/>
      <c r="E427" s="15"/>
    </row>
    <row r="428" spans="1:5" x14ac:dyDescent="0.3">
      <c r="A428" s="4" t="s">
        <v>699</v>
      </c>
      <c r="B428" s="4" t="s">
        <v>700</v>
      </c>
      <c r="C428" s="4">
        <v>2</v>
      </c>
      <c r="D428" s="4" t="s">
        <v>701</v>
      </c>
      <c r="E428" s="15"/>
    </row>
    <row r="429" spans="1:5" x14ac:dyDescent="0.3">
      <c r="A429" s="4" t="s">
        <v>702</v>
      </c>
      <c r="B429" s="4" t="s">
        <v>703</v>
      </c>
      <c r="C429" s="4">
        <v>2</v>
      </c>
      <c r="D429" s="4"/>
      <c r="E429" s="15"/>
    </row>
    <row r="430" spans="1:5" x14ac:dyDescent="0.3">
      <c r="A430" s="4" t="s">
        <v>704</v>
      </c>
      <c r="B430" s="4" t="s">
        <v>705</v>
      </c>
      <c r="C430" s="4">
        <v>2</v>
      </c>
      <c r="D430" s="4" t="s">
        <v>706</v>
      </c>
      <c r="E430" s="15">
        <v>132.22999999999999</v>
      </c>
    </row>
    <row r="431" spans="1:5" x14ac:dyDescent="0.3">
      <c r="A431" s="4" t="s">
        <v>707</v>
      </c>
      <c r="B431" s="4" t="s">
        <v>708</v>
      </c>
      <c r="C431" s="4">
        <v>4</v>
      </c>
      <c r="D431" s="4" t="s">
        <v>22</v>
      </c>
      <c r="E431" s="15"/>
    </row>
    <row r="432" spans="1:5" x14ac:dyDescent="0.3">
      <c r="A432" s="4" t="s">
        <v>709</v>
      </c>
      <c r="B432" s="4" t="s">
        <v>710</v>
      </c>
      <c r="C432" s="4"/>
      <c r="D432" s="4" t="s">
        <v>709</v>
      </c>
      <c r="E432" s="15"/>
    </row>
    <row r="433" spans="1:5" x14ac:dyDescent="0.3">
      <c r="A433" s="4" t="s">
        <v>711</v>
      </c>
      <c r="B433" s="8" t="s">
        <v>712</v>
      </c>
      <c r="C433" s="4"/>
      <c r="D433" s="4" t="s">
        <v>711</v>
      </c>
      <c r="E433" s="15"/>
    </row>
    <row r="434" spans="1:5" x14ac:dyDescent="0.3">
      <c r="A434" s="9" t="s">
        <v>713</v>
      </c>
      <c r="B434" s="10" t="s">
        <v>714</v>
      </c>
      <c r="C434" s="4"/>
      <c r="D434" s="9" t="s">
        <v>713</v>
      </c>
      <c r="E434" s="15"/>
    </row>
    <row r="435" spans="1:5" x14ac:dyDescent="0.3">
      <c r="A435" s="9" t="s">
        <v>715</v>
      </c>
      <c r="B435" s="10" t="s">
        <v>716</v>
      </c>
      <c r="C435" s="4"/>
      <c r="D435" s="9" t="s">
        <v>715</v>
      </c>
      <c r="E435" s="15"/>
    </row>
    <row r="436" spans="1:5" x14ac:dyDescent="0.3">
      <c r="A436" s="4" t="s">
        <v>717</v>
      </c>
      <c r="B436" s="4" t="s">
        <v>718</v>
      </c>
      <c r="C436" s="4"/>
      <c r="D436" s="4" t="s">
        <v>717</v>
      </c>
      <c r="E436" s="15"/>
    </row>
    <row r="437" spans="1:5" x14ac:dyDescent="0.3">
      <c r="A437" s="4" t="s">
        <v>719</v>
      </c>
      <c r="B437" s="4" t="s">
        <v>720</v>
      </c>
      <c r="C437" s="4"/>
      <c r="D437" s="4" t="s">
        <v>719</v>
      </c>
      <c r="E437" s="15"/>
    </row>
    <row r="438" spans="1:5" x14ac:dyDescent="0.3">
      <c r="A438" s="4" t="s">
        <v>721</v>
      </c>
      <c r="B438" s="9" t="s">
        <v>722</v>
      </c>
      <c r="C438" s="4"/>
      <c r="D438" s="4" t="s">
        <v>721</v>
      </c>
      <c r="E438" s="15"/>
    </row>
    <row r="439" spans="1:5" x14ac:dyDescent="0.3">
      <c r="A439" s="9" t="s">
        <v>723</v>
      </c>
      <c r="B439" s="10" t="s">
        <v>724</v>
      </c>
      <c r="C439" s="4"/>
      <c r="D439" s="9" t="s">
        <v>723</v>
      </c>
      <c r="E439" s="15"/>
    </row>
    <row r="440" spans="1:5" x14ac:dyDescent="0.3">
      <c r="A440" s="9" t="s">
        <v>725</v>
      </c>
      <c r="B440" s="10" t="s">
        <v>726</v>
      </c>
      <c r="C440" s="4"/>
      <c r="D440" s="9" t="s">
        <v>725</v>
      </c>
      <c r="E440" s="15"/>
    </row>
    <row r="441" spans="1:5" x14ac:dyDescent="0.3">
      <c r="A441" s="9" t="s">
        <v>727</v>
      </c>
      <c r="B441" s="10" t="s">
        <v>728</v>
      </c>
      <c r="C441" s="4"/>
      <c r="D441" s="9" t="s">
        <v>727</v>
      </c>
      <c r="E441" s="15"/>
    </row>
    <row r="442" spans="1:5" x14ac:dyDescent="0.3">
      <c r="A442" s="9" t="s">
        <v>729</v>
      </c>
      <c r="B442" s="10" t="s">
        <v>730</v>
      </c>
      <c r="C442" s="4"/>
      <c r="D442" s="9" t="s">
        <v>729</v>
      </c>
      <c r="E442" s="15"/>
    </row>
    <row r="443" spans="1:5" x14ac:dyDescent="0.3">
      <c r="A443" s="9" t="s">
        <v>731</v>
      </c>
      <c r="B443" s="9" t="s">
        <v>732</v>
      </c>
      <c r="C443" s="4"/>
      <c r="D443" s="9" t="s">
        <v>731</v>
      </c>
      <c r="E443" s="15"/>
    </row>
    <row r="444" spans="1:5" x14ac:dyDescent="0.3">
      <c r="A444" s="9" t="s">
        <v>733</v>
      </c>
      <c r="B444" s="10" t="s">
        <v>734</v>
      </c>
      <c r="C444" s="4"/>
      <c r="D444" s="9" t="s">
        <v>733</v>
      </c>
      <c r="E444" s="15"/>
    </row>
    <row r="445" spans="1:5" x14ac:dyDescent="0.3">
      <c r="A445" s="9" t="s">
        <v>735</v>
      </c>
      <c r="B445" s="10" t="s">
        <v>736</v>
      </c>
      <c r="C445" s="4"/>
      <c r="D445" s="9" t="s">
        <v>735</v>
      </c>
      <c r="E445" s="15"/>
    </row>
    <row r="446" spans="1:5" x14ac:dyDescent="0.3">
      <c r="A446" s="9" t="s">
        <v>737</v>
      </c>
      <c r="B446" s="10" t="s">
        <v>738</v>
      </c>
      <c r="C446" s="4"/>
      <c r="D446" s="9" t="s">
        <v>737</v>
      </c>
      <c r="E446" s="15"/>
    </row>
    <row r="447" spans="1:5" x14ac:dyDescent="0.3">
      <c r="A447" s="9" t="s">
        <v>739</v>
      </c>
      <c r="B447" s="10" t="s">
        <v>740</v>
      </c>
      <c r="C447" s="4"/>
      <c r="D447" s="9" t="s">
        <v>739</v>
      </c>
      <c r="E447" s="15"/>
    </row>
    <row r="448" spans="1:5" x14ac:dyDescent="0.3">
      <c r="A448" s="9" t="s">
        <v>741</v>
      </c>
      <c r="B448" s="10" t="s">
        <v>742</v>
      </c>
      <c r="C448" s="4"/>
      <c r="D448" s="9" t="s">
        <v>741</v>
      </c>
      <c r="E448" s="15"/>
    </row>
    <row r="449" spans="1:5" x14ac:dyDescent="0.3">
      <c r="A449" s="9" t="s">
        <v>719</v>
      </c>
      <c r="B449" s="10" t="s">
        <v>743</v>
      </c>
      <c r="C449" s="4"/>
      <c r="D449" s="9" t="s">
        <v>719</v>
      </c>
      <c r="E449" s="15"/>
    </row>
    <row r="450" spans="1:5" x14ac:dyDescent="0.3">
      <c r="A450" s="9">
        <v>1970</v>
      </c>
      <c r="B450" s="10" t="s">
        <v>744</v>
      </c>
      <c r="C450" s="4">
        <v>2</v>
      </c>
      <c r="D450" s="9"/>
      <c r="E450" s="15"/>
    </row>
    <row r="451" spans="1:5" x14ac:dyDescent="0.3">
      <c r="A451" s="9">
        <v>1971</v>
      </c>
      <c r="B451" s="10" t="s">
        <v>745</v>
      </c>
      <c r="C451" s="4">
        <v>2</v>
      </c>
      <c r="D451" s="9"/>
      <c r="E451" s="15"/>
    </row>
    <row r="452" spans="1:5" x14ac:dyDescent="0.3">
      <c r="A452" s="9">
        <v>1972</v>
      </c>
      <c r="B452" s="10" t="s">
        <v>746</v>
      </c>
      <c r="C452" s="4">
        <v>2</v>
      </c>
      <c r="D452" s="9"/>
      <c r="E452" s="15"/>
    </row>
    <row r="453" spans="1:5" x14ac:dyDescent="0.3">
      <c r="A453" s="9">
        <v>1973</v>
      </c>
      <c r="B453" s="10" t="s">
        <v>747</v>
      </c>
      <c r="C453" s="4">
        <v>2</v>
      </c>
      <c r="D453" s="9"/>
      <c r="E453" s="15"/>
    </row>
    <row r="454" spans="1:5" x14ac:dyDescent="0.3">
      <c r="A454" s="4">
        <v>1975</v>
      </c>
      <c r="B454" s="4" t="s">
        <v>748</v>
      </c>
      <c r="C454" s="4">
        <v>6</v>
      </c>
      <c r="D454" s="4"/>
      <c r="E454" s="15"/>
    </row>
    <row r="455" spans="1:5" x14ac:dyDescent="0.3">
      <c r="A455" s="4">
        <v>2015</v>
      </c>
      <c r="B455" s="4" t="s">
        <v>479</v>
      </c>
      <c r="C455" s="4">
        <v>8</v>
      </c>
      <c r="D455" s="4" t="s">
        <v>480</v>
      </c>
      <c r="E455" s="15"/>
    </row>
  </sheetData>
  <autoFilter ref="A1:D455" xr:uid="{00000000-0009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0120-6758-46A8-A7F1-818B78C845D0}">
  <sheetPr>
    <pageSetUpPr fitToPage="1"/>
  </sheetPr>
  <dimension ref="A1:T359"/>
  <sheetViews>
    <sheetView zoomScale="90" zoomScaleNormal="90" workbookViewId="0">
      <pane ySplit="1" topLeftCell="A317" activePane="bottomLeft" state="frozen"/>
      <selection pane="bottomLeft" activeCell="M355" sqref="M355"/>
    </sheetView>
  </sheetViews>
  <sheetFormatPr baseColWidth="10" defaultRowHeight="14.4" x14ac:dyDescent="0.3"/>
  <cols>
    <col min="1" max="1" width="12.44140625" customWidth="1"/>
    <col min="2" max="2" width="15.88671875" style="11" customWidth="1"/>
    <col min="3" max="3" width="16.6640625" style="11" customWidth="1"/>
    <col min="4" max="4" width="35.109375" style="16" customWidth="1"/>
    <col min="5" max="5" width="13.44140625" hidden="1" customWidth="1"/>
    <col min="6" max="6" width="14.44140625" style="20" customWidth="1"/>
    <col min="7" max="7" width="9.44140625" style="20" customWidth="1"/>
    <col min="8" max="8" width="13.44140625" customWidth="1"/>
    <col min="9" max="9" width="15.6640625" hidden="1" customWidth="1"/>
    <col min="10" max="12" width="11.44140625" customWidth="1"/>
    <col min="13" max="13" width="12.88671875" customWidth="1"/>
    <col min="14" max="14" width="14.44140625" customWidth="1"/>
    <col min="15" max="15" width="16.6640625" style="57" customWidth="1"/>
    <col min="16" max="16" width="20.33203125" hidden="1" customWidth="1"/>
    <col min="17" max="17" width="17.33203125" hidden="1" customWidth="1"/>
    <col min="18" max="18" width="22.5546875" style="55" customWidth="1"/>
    <col min="19" max="19" width="21.6640625" customWidth="1"/>
    <col min="20" max="20" width="51.6640625" style="19" customWidth="1"/>
  </cols>
  <sheetData>
    <row r="1" spans="1:20" s="20" customFormat="1" ht="28.8" x14ac:dyDescent="0.3">
      <c r="A1" s="64" t="s">
        <v>2</v>
      </c>
      <c r="B1" s="65" t="s">
        <v>1</v>
      </c>
      <c r="C1" s="65" t="s">
        <v>3</v>
      </c>
      <c r="D1" s="47" t="s">
        <v>751</v>
      </c>
      <c r="E1" s="48" t="s">
        <v>777</v>
      </c>
      <c r="F1" s="47" t="s">
        <v>11</v>
      </c>
      <c r="G1" s="63" t="s">
        <v>886</v>
      </c>
      <c r="H1" s="47" t="s">
        <v>4</v>
      </c>
      <c r="I1" s="48" t="s">
        <v>0</v>
      </c>
      <c r="J1" s="47" t="s">
        <v>773</v>
      </c>
      <c r="K1" s="47" t="s">
        <v>774</v>
      </c>
      <c r="L1" s="47" t="s">
        <v>775</v>
      </c>
      <c r="M1" s="46" t="s">
        <v>852</v>
      </c>
      <c r="N1" s="63" t="s">
        <v>784</v>
      </c>
      <c r="O1" s="66" t="s">
        <v>846</v>
      </c>
      <c r="P1" s="66" t="s">
        <v>847</v>
      </c>
      <c r="Q1" s="66" t="s">
        <v>754</v>
      </c>
      <c r="R1" s="67" t="s">
        <v>931</v>
      </c>
      <c r="S1" s="63" t="s">
        <v>850</v>
      </c>
      <c r="T1" s="63" t="s">
        <v>750</v>
      </c>
    </row>
    <row r="2" spans="1:20" x14ac:dyDescent="0.3">
      <c r="A2" s="43">
        <v>44482</v>
      </c>
      <c r="B2" s="20" t="s">
        <v>759</v>
      </c>
      <c r="C2" s="20" t="s">
        <v>513</v>
      </c>
      <c r="D2" s="13" t="str">
        <f>VLOOKUP(C:C,'LListat referències'!A:B,2,FALSE)</f>
        <v>Tarro 150 ml</v>
      </c>
      <c r="E2" s="18" t="str">
        <f>VLOOKUP(C:C,'LListat referències'!A:D,4,FALSE)</f>
        <v>T057</v>
      </c>
      <c r="F2" s="49">
        <v>168</v>
      </c>
      <c r="G2" s="49"/>
      <c r="H2" s="1" t="s">
        <v>15</v>
      </c>
      <c r="I2" s="25" t="s">
        <v>749</v>
      </c>
      <c r="J2" s="25">
        <v>5574</v>
      </c>
      <c r="K2" s="25">
        <v>5970</v>
      </c>
      <c r="L2" s="25">
        <v>6472</v>
      </c>
      <c r="M2" s="20">
        <v>43</v>
      </c>
      <c r="N2" s="1">
        <f>Tabla13[[#This Row],[Noche]]-Tabla13[[#This Row],[Mañana ]]</f>
        <v>898</v>
      </c>
      <c r="O2" s="58">
        <v>30</v>
      </c>
      <c r="P2" s="34">
        <f t="shared" ref="P2:P33" si="0">SUM(O2:O2)</f>
        <v>30</v>
      </c>
      <c r="Q2" s="22">
        <f>Tabla13[[#This Row],[Merma Salas A &amp; B2]]*1000/Tabla13[[#This Row],[Peso gr.]]</f>
        <v>178.57142857142858</v>
      </c>
      <c r="R2" s="52"/>
      <c r="S2" s="24">
        <f>Tabla13[[#This Row],[Total piezas NOK]]/Tabla13[[#This Row],[Cant. Fabricada (uds)]]</f>
        <v>0.19885459751829462</v>
      </c>
      <c r="T2" s="19" t="s">
        <v>790</v>
      </c>
    </row>
    <row r="3" spans="1:20" x14ac:dyDescent="0.3">
      <c r="A3" s="43">
        <v>44482</v>
      </c>
      <c r="B3" s="35" t="s">
        <v>755</v>
      </c>
      <c r="C3" s="35">
        <v>1861</v>
      </c>
      <c r="D3" s="36" t="str">
        <f>VLOOKUP(C:C,'LListat referències'!A:B,2,FALSE)</f>
        <v>Tarro 50ml Standard 8 unitats</v>
      </c>
      <c r="E3" s="37" t="str">
        <f>VLOOKUP(C:C,'LListat referències'!A:D,4,FALSE)</f>
        <v>T022</v>
      </c>
      <c r="F3" s="49">
        <f>VLOOKUP(C:C,'LListat referències'!A:E,5,FALSE)</f>
        <v>92</v>
      </c>
      <c r="G3" s="49"/>
      <c r="H3" s="38" t="s">
        <v>7</v>
      </c>
      <c r="I3" s="39" t="s">
        <v>752</v>
      </c>
      <c r="J3" s="39">
        <v>41959</v>
      </c>
      <c r="K3" s="39">
        <v>43254</v>
      </c>
      <c r="L3" s="39">
        <v>44584</v>
      </c>
      <c r="M3" s="35">
        <v>40</v>
      </c>
      <c r="N3" s="1">
        <f>Tabla13[[#This Row],[Noche]]-Tabla13[[#This Row],[Mañana ]]</f>
        <v>2625</v>
      </c>
      <c r="O3" s="58">
        <v>15</v>
      </c>
      <c r="P3" s="34">
        <f t="shared" si="0"/>
        <v>15</v>
      </c>
      <c r="Q3" s="40">
        <f>Tabla13[[#This Row],[Merma Salas A &amp; B2]]*1000/Tabla13[[#This Row],[Peso gr.]]</f>
        <v>163.04347826086956</v>
      </c>
      <c r="R3" s="53"/>
      <c r="S3" s="41">
        <f>Tabla13[[#This Row],[Total piezas NOK]]/Tabla13[[#This Row],[Cant. Fabricada (uds)]]</f>
        <v>6.2111801242236024E-2</v>
      </c>
      <c r="T3" s="42"/>
    </row>
    <row r="4" spans="1:20" x14ac:dyDescent="0.3">
      <c r="A4" s="43">
        <v>44482</v>
      </c>
      <c r="B4" s="20" t="s">
        <v>756</v>
      </c>
      <c r="C4" s="20" t="s">
        <v>644</v>
      </c>
      <c r="D4" s="13" t="str">
        <f>VLOOKUP(C:C,'LListat referències'!A:B,2,FALSE)</f>
        <v>Tarro 200ml Quadrat estret (Tapa Rodona)</v>
      </c>
      <c r="E4" s="18">
        <f>VLOOKUP(C:C,'LListat referències'!A:D,4,FALSE)</f>
        <v>0</v>
      </c>
      <c r="F4" s="49">
        <f>VLOOKUP(C:C,'LListat referències'!A:E,5,FALSE)</f>
        <v>220.84</v>
      </c>
      <c r="G4" s="49"/>
      <c r="H4" s="1" t="s">
        <v>7</v>
      </c>
      <c r="I4" s="25"/>
      <c r="J4" s="25">
        <v>8899</v>
      </c>
      <c r="K4" s="25">
        <v>9129</v>
      </c>
      <c r="L4" s="25">
        <v>9366</v>
      </c>
      <c r="M4" s="20">
        <v>41</v>
      </c>
      <c r="N4" s="1">
        <f>Tabla13[[#This Row],[Noche]]-Tabla13[[#This Row],[Mañana ]]</f>
        <v>467</v>
      </c>
      <c r="O4" s="58">
        <v>3</v>
      </c>
      <c r="P4" s="21">
        <f t="shared" si="0"/>
        <v>3</v>
      </c>
      <c r="Q4" s="22">
        <f>Tabla13[[#This Row],[Merma Salas A &amp; B2]]*1000/Tabla13[[#This Row],[Peso gr.]]</f>
        <v>13.584495562398116</v>
      </c>
      <c r="R4" s="52"/>
      <c r="S4" s="24">
        <f>Tabla13[[#This Row],[Total piezas NOK]]/Tabla13[[#This Row],[Cant. Fabricada (uds)]]</f>
        <v>2.9088855594000249E-2</v>
      </c>
    </row>
    <row r="5" spans="1:20" x14ac:dyDescent="0.3">
      <c r="A5" s="43">
        <v>44487</v>
      </c>
      <c r="B5" s="20" t="s">
        <v>760</v>
      </c>
      <c r="C5" s="20">
        <v>1786</v>
      </c>
      <c r="D5" s="13" t="str">
        <f>VLOOKUP(C:C,'LListat referències'!A:B,2,FALSE)</f>
        <v>Tapa borghesse 50 ml</v>
      </c>
      <c r="E5" s="18" t="str">
        <f>VLOOKUP(C:C,'LListat referències'!A:D,4,FALSE)</f>
        <v>#7 (50 ml)</v>
      </c>
      <c r="F5" s="49">
        <v>8.39</v>
      </c>
      <c r="G5" s="49"/>
      <c r="H5" s="1" t="s">
        <v>763</v>
      </c>
      <c r="I5" s="25"/>
      <c r="J5" s="25">
        <v>960</v>
      </c>
      <c r="K5" s="25">
        <v>3158</v>
      </c>
      <c r="L5" s="25">
        <v>4992</v>
      </c>
      <c r="M5" s="20">
        <v>20</v>
      </c>
      <c r="N5" s="1">
        <f>Tabla13[[#This Row],[Noche]]-Tabla13[[#This Row],[Mañana ]]</f>
        <v>4032</v>
      </c>
      <c r="O5" s="58">
        <v>5</v>
      </c>
      <c r="P5" s="21">
        <f t="shared" si="0"/>
        <v>5</v>
      </c>
      <c r="Q5" s="22">
        <f>Tabla13[[#This Row],[Merma Salas A &amp; B2]]*1000/Tabla13[[#This Row],[Peso gr.]]</f>
        <v>595.94755661501779</v>
      </c>
      <c r="R5" s="52"/>
      <c r="S5" s="24">
        <f>Tabla13[[#This Row],[Total piezas NOK]]/Tabla13[[#This Row],[Cant. Fabricada (uds)]]</f>
        <v>0.14780445352555005</v>
      </c>
    </row>
    <row r="6" spans="1:20" x14ac:dyDescent="0.3">
      <c r="A6" s="43">
        <v>44487</v>
      </c>
      <c r="B6" s="20" t="s">
        <v>761</v>
      </c>
      <c r="C6" s="20" t="s">
        <v>657</v>
      </c>
      <c r="D6" s="13" t="str">
        <f>VLOOKUP(C:C,'LListat referències'!A:B,2,FALSE)</f>
        <v>Tapa simple 200ml baixa prima</v>
      </c>
      <c r="E6" s="18" t="str">
        <f>VLOOKUP(C:C,'LListat referències'!A:D,4,FALSE)</f>
        <v>#45</v>
      </c>
      <c r="F6" s="49">
        <v>17.399999999999999</v>
      </c>
      <c r="G6" s="49"/>
      <c r="H6" s="1" t="s">
        <v>764</v>
      </c>
      <c r="I6" s="25"/>
      <c r="J6" s="25">
        <v>0</v>
      </c>
      <c r="K6" s="25">
        <v>0</v>
      </c>
      <c r="L6" s="25">
        <v>287</v>
      </c>
      <c r="M6" s="20">
        <v>19</v>
      </c>
      <c r="N6" s="1">
        <f>Tabla13[[#This Row],[Noche]]-Tabla13[[#This Row],[Mañana ]]</f>
        <v>287</v>
      </c>
      <c r="O6" s="58">
        <v>5</v>
      </c>
      <c r="P6" s="21">
        <f t="shared" si="0"/>
        <v>5</v>
      </c>
      <c r="Q6" s="22">
        <f>Tabla13[[#This Row],[Merma Salas A &amp; B2]]*1000/Tabla13[[#This Row],[Peso gr.]]</f>
        <v>287.35632183908046</v>
      </c>
      <c r="R6" s="52"/>
      <c r="S6" s="24">
        <f>Tabla13[[#This Row],[Total piezas NOK]]/Tabla13[[#This Row],[Cant. Fabricada (uds)]]</f>
        <v>1.0012415395089911</v>
      </c>
    </row>
    <row r="7" spans="1:20" x14ac:dyDescent="0.3">
      <c r="A7" s="43">
        <v>44487</v>
      </c>
      <c r="B7" s="20" t="s">
        <v>755</v>
      </c>
      <c r="C7" s="20">
        <v>1861</v>
      </c>
      <c r="D7" s="13" t="str">
        <f>VLOOKUP(C:C,'LListat referències'!A:B,2,FALSE)</f>
        <v>Tarro 50ml Standard 8 unitats</v>
      </c>
      <c r="E7" s="18" t="str">
        <f>VLOOKUP(C:C,'LListat referències'!A:D,4,FALSE)</f>
        <v>T022</v>
      </c>
      <c r="F7" s="49">
        <f>VLOOKUP(C:C,'LListat referències'!A:E,5,FALSE)</f>
        <v>92</v>
      </c>
      <c r="G7" s="49"/>
      <c r="H7" s="1" t="s">
        <v>7</v>
      </c>
      <c r="I7" s="25"/>
      <c r="J7" s="25">
        <v>49876</v>
      </c>
      <c r="K7" s="25">
        <v>51157</v>
      </c>
      <c r="L7" s="25">
        <v>51836</v>
      </c>
      <c r="M7" s="20">
        <v>40</v>
      </c>
      <c r="N7" s="1">
        <f>Tabla13[[#This Row],[Noche]]-Tabla13[[#This Row],[Mañana ]]</f>
        <v>1960</v>
      </c>
      <c r="O7" s="58">
        <v>9</v>
      </c>
      <c r="P7" s="21">
        <f t="shared" si="0"/>
        <v>9</v>
      </c>
      <c r="Q7" s="22">
        <f>Tabla13[[#This Row],[Merma Salas A &amp; B2]]*1000/Tabla13[[#This Row],[Peso gr.]]</f>
        <v>97.826086956521735</v>
      </c>
      <c r="R7" s="52"/>
      <c r="S7" s="24">
        <f>Tabla13[[#This Row],[Total piezas NOK]]/Tabla13[[#This Row],[Cant. Fabricada (uds)]]</f>
        <v>4.9911268855368229E-2</v>
      </c>
    </row>
    <row r="8" spans="1:20" x14ac:dyDescent="0.3">
      <c r="A8" s="43">
        <v>44487</v>
      </c>
      <c r="B8" s="20" t="s">
        <v>762</v>
      </c>
      <c r="C8" s="20">
        <v>1985</v>
      </c>
      <c r="D8" s="13" t="str">
        <f>VLOOKUP(C:C,'LListat referències'!A:B,2,FALSE)</f>
        <v>Tarro 200ml 2 unitats</v>
      </c>
      <c r="E8" s="18" t="str">
        <f>VLOOKUP(C:C,'LListat referències'!A:D,4,FALSE)</f>
        <v>T050</v>
      </c>
      <c r="F8" s="49">
        <v>108.12</v>
      </c>
      <c r="G8" s="49"/>
      <c r="H8" s="1" t="s">
        <v>8</v>
      </c>
      <c r="I8" s="25"/>
      <c r="J8" s="25">
        <v>0</v>
      </c>
      <c r="K8" s="25">
        <v>0</v>
      </c>
      <c r="L8" s="25">
        <v>46</v>
      </c>
      <c r="M8" s="20">
        <v>52</v>
      </c>
      <c r="N8" s="1">
        <f>Tabla13[[#This Row],[Noche]]-Tabla13[[#This Row],[Mañana ]]</f>
        <v>46</v>
      </c>
      <c r="O8" s="58">
        <v>5</v>
      </c>
      <c r="P8" s="21">
        <f t="shared" si="0"/>
        <v>5</v>
      </c>
      <c r="Q8" s="22">
        <f>Tabla13[[#This Row],[Merma Salas A &amp; B2]]*1000/Tabla13[[#This Row],[Peso gr.]]</f>
        <v>46.244913059563444</v>
      </c>
      <c r="R8" s="52">
        <v>5</v>
      </c>
      <c r="S8" s="24">
        <f>Tabla13[[#This Row],[Total piezas NOK]]/Tabla13[[#This Row],[Cant. Fabricada (uds)]]</f>
        <v>1.0053241969470315</v>
      </c>
      <c r="T8" s="19" t="s">
        <v>783</v>
      </c>
    </row>
    <row r="9" spans="1:20" x14ac:dyDescent="0.3">
      <c r="A9" s="43">
        <v>44487</v>
      </c>
      <c r="B9" s="20" t="s">
        <v>756</v>
      </c>
      <c r="C9" s="20" t="s">
        <v>644</v>
      </c>
      <c r="D9" s="13" t="str">
        <f>VLOOKUP(C:C,'LListat referències'!A:B,2,FALSE)</f>
        <v>Tarro 200ml Quadrat estret (Tapa Rodona)</v>
      </c>
      <c r="E9" s="18">
        <f>VLOOKUP(C:C,'LListat referències'!A:D,4,FALSE)</f>
        <v>0</v>
      </c>
      <c r="F9" s="49">
        <f>VLOOKUP(C:C,'LListat referències'!A:E,5,FALSE)</f>
        <v>220.84</v>
      </c>
      <c r="G9" s="49"/>
      <c r="H9" s="1" t="s">
        <v>7</v>
      </c>
      <c r="I9" s="25"/>
      <c r="J9" s="25">
        <v>10929</v>
      </c>
      <c r="K9" s="25">
        <v>11140</v>
      </c>
      <c r="L9" s="25">
        <v>11374</v>
      </c>
      <c r="M9" s="20">
        <v>41</v>
      </c>
      <c r="N9" s="1">
        <f>Tabla13[[#This Row],[Noche]]-Tabla13[[#This Row],[Mañana ]]</f>
        <v>445</v>
      </c>
      <c r="O9" s="58">
        <v>3</v>
      </c>
      <c r="P9" s="21">
        <f t="shared" si="0"/>
        <v>3</v>
      </c>
      <c r="Q9" s="22">
        <f>Tabla13[[#This Row],[Merma Salas A &amp; B2]]*1000/Tabla13[[#This Row],[Peso gr.]]</f>
        <v>13.584495562398116</v>
      </c>
      <c r="R9" s="52"/>
      <c r="S9" s="24">
        <f>Tabla13[[#This Row],[Total piezas NOK]]/Tabla13[[#This Row],[Cant. Fabricada (uds)]]</f>
        <v>3.0526956319995767E-2</v>
      </c>
    </row>
    <row r="10" spans="1:20" x14ac:dyDescent="0.3">
      <c r="A10" s="43">
        <v>44488</v>
      </c>
      <c r="B10" s="20" t="s">
        <v>760</v>
      </c>
      <c r="C10" s="20">
        <v>1786</v>
      </c>
      <c r="D10" s="13" t="str">
        <f>VLOOKUP(C:C,'LListat referències'!A:B,2,FALSE)</f>
        <v>Tapa borghesse 50 ml</v>
      </c>
      <c r="E10" s="18" t="str">
        <f>VLOOKUP(C:C,'LListat referències'!A:D,4,FALSE)</f>
        <v>#7 (50 ml)</v>
      </c>
      <c r="F10" s="49">
        <f>VLOOKUP(C:C,'LListat referències'!A:E,5,FALSE)</f>
        <v>8.39</v>
      </c>
      <c r="G10" s="49"/>
      <c r="H10" s="1" t="s">
        <v>763</v>
      </c>
      <c r="I10" s="25"/>
      <c r="J10" s="25">
        <v>6630</v>
      </c>
      <c r="K10" s="25">
        <v>8908</v>
      </c>
      <c r="L10" s="25">
        <v>11232</v>
      </c>
      <c r="M10" s="20">
        <v>20</v>
      </c>
      <c r="N10" s="1">
        <f>Tabla13[[#This Row],[Noche]]-Tabla13[[#This Row],[Mañana ]]</f>
        <v>4602</v>
      </c>
      <c r="O10" s="58">
        <v>10</v>
      </c>
      <c r="P10" s="21">
        <f t="shared" si="0"/>
        <v>10</v>
      </c>
      <c r="Q10" s="22">
        <f>Tabla13[[#This Row],[Merma Salas A &amp; B2]]*1000/Tabla13[[#This Row],[Peso gr.]]</f>
        <v>1191.8951132300356</v>
      </c>
      <c r="R10" s="52"/>
      <c r="S10" s="24">
        <f>Tabla13[[#This Row],[Total piezas NOK]]/Tabla13[[#This Row],[Cant. Fabricada (uds)]]</f>
        <v>0.25899502677749581</v>
      </c>
      <c r="T10" s="19" t="s">
        <v>821</v>
      </c>
    </row>
    <row r="11" spans="1:20" x14ac:dyDescent="0.3">
      <c r="A11" s="43">
        <v>44488</v>
      </c>
      <c r="B11" s="20" t="s">
        <v>781</v>
      </c>
      <c r="C11" s="20" t="s">
        <v>10</v>
      </c>
      <c r="D11" s="13" t="str">
        <f>VLOOKUP(C:C,'LListat referències'!A:B,2,FALSE)</f>
        <v xml:space="preserve">Tapa 100 ml prima </v>
      </c>
      <c r="E11" s="18" t="str">
        <f>VLOOKUP(C:C,'LListat referències'!A:D,4,FALSE)</f>
        <v>#26(100 ml)</v>
      </c>
      <c r="F11" s="49">
        <f>VLOOKUP(C:C,'LListat referències'!A:E,5,FALSE)</f>
        <v>30.3</v>
      </c>
      <c r="G11" s="49"/>
      <c r="H11" s="1" t="s">
        <v>15</v>
      </c>
      <c r="I11" s="25"/>
      <c r="J11" s="25">
        <v>0</v>
      </c>
      <c r="K11" s="25">
        <v>0</v>
      </c>
      <c r="L11" s="25">
        <v>1057</v>
      </c>
      <c r="M11" s="20">
        <v>44</v>
      </c>
      <c r="N11" s="1">
        <f>Tabla13[[#This Row],[Noche]]-Tabla13[[#This Row],[Mañana ]]</f>
        <v>1057</v>
      </c>
      <c r="O11" s="58">
        <v>30</v>
      </c>
      <c r="P11" s="21">
        <f t="shared" si="0"/>
        <v>30</v>
      </c>
      <c r="Q11" s="22">
        <f>Tabla13[[#This Row],[Merma Salas A &amp; B2]]*1000/Tabla13[[#This Row],[Peso gr.]]</f>
        <v>990.09900990099004</v>
      </c>
      <c r="R11" s="52"/>
      <c r="S11" s="24">
        <f>Tabla13[[#This Row],[Total piezas NOK]]/Tabla13[[#This Row],[Cant. Fabricada (uds)]]</f>
        <v>0.93670672649100284</v>
      </c>
      <c r="T11" s="19" t="s">
        <v>782</v>
      </c>
    </row>
    <row r="12" spans="1:20" x14ac:dyDescent="0.3">
      <c r="A12" s="43">
        <v>44488</v>
      </c>
      <c r="B12" s="20" t="s">
        <v>759</v>
      </c>
      <c r="C12" s="20" t="s">
        <v>513</v>
      </c>
      <c r="D12" s="13" t="str">
        <f>VLOOKUP(C:C,'LListat referències'!A:B,2,FALSE)</f>
        <v>Tarro 150 ml</v>
      </c>
      <c r="E12" s="18" t="str">
        <f>VLOOKUP(C:C,'LListat referències'!A:D,4,FALSE)</f>
        <v>T057</v>
      </c>
      <c r="F12" s="49">
        <v>168</v>
      </c>
      <c r="G12" s="49"/>
      <c r="H12" s="1" t="s">
        <v>15</v>
      </c>
      <c r="I12" s="25"/>
      <c r="J12" s="25">
        <v>7008</v>
      </c>
      <c r="K12" s="25">
        <v>7468</v>
      </c>
      <c r="L12" s="25">
        <v>7996</v>
      </c>
      <c r="M12" s="20">
        <v>43</v>
      </c>
      <c r="N12" s="1">
        <f>Tabla13[[#This Row],[Noche]]-Tabla13[[#This Row],[Mañana ]]</f>
        <v>988</v>
      </c>
      <c r="O12" s="58">
        <v>50</v>
      </c>
      <c r="P12" s="21">
        <f t="shared" si="0"/>
        <v>50</v>
      </c>
      <c r="Q12" s="22">
        <f>Tabla13[[#This Row],[Merma Salas A &amp; B2]]*1000/Tabla13[[#This Row],[Peso gr.]]</f>
        <v>297.61904761904759</v>
      </c>
      <c r="R12" s="52"/>
      <c r="S12" s="24">
        <f>Tabla13[[#This Row],[Total piezas NOK]]/Tabla13[[#This Row],[Cant. Fabricada (uds)]]</f>
        <v>0.30123385386543278</v>
      </c>
      <c r="T12" s="19" t="s">
        <v>789</v>
      </c>
    </row>
    <row r="13" spans="1:20" x14ac:dyDescent="0.3">
      <c r="A13" s="43">
        <v>44488</v>
      </c>
      <c r="B13" s="20" t="s">
        <v>756</v>
      </c>
      <c r="C13" s="20" t="s">
        <v>644</v>
      </c>
      <c r="D13" s="13" t="str">
        <f>VLOOKUP(C:C,'LListat referències'!A:B,2,FALSE)</f>
        <v>Tarro 200ml Quadrat estret (Tapa Rodona)</v>
      </c>
      <c r="E13" s="18">
        <f>VLOOKUP(C:C,'LListat referències'!A:D,4,FALSE)</f>
        <v>0</v>
      </c>
      <c r="F13" s="49">
        <f>VLOOKUP(C:C,'LListat referències'!A:E,5,FALSE)</f>
        <v>220.84</v>
      </c>
      <c r="G13" s="49"/>
      <c r="H13" s="1" t="s">
        <v>8</v>
      </c>
      <c r="I13" s="25"/>
      <c r="J13" s="25">
        <v>11633</v>
      </c>
      <c r="K13" s="25">
        <v>11843</v>
      </c>
      <c r="L13" s="25">
        <v>12076</v>
      </c>
      <c r="M13" s="20">
        <v>41</v>
      </c>
      <c r="N13" s="1">
        <f>Tabla13[[#This Row],[Noche]]-Tabla13[[#This Row],[Mañana ]]</f>
        <v>443</v>
      </c>
      <c r="O13" s="58">
        <v>3</v>
      </c>
      <c r="P13" s="21">
        <f t="shared" si="0"/>
        <v>3</v>
      </c>
      <c r="Q13" s="22">
        <f>Tabla13[[#This Row],[Merma Salas A &amp; B2]]*1000/Tabla13[[#This Row],[Peso gr.]]</f>
        <v>13.584495562398116</v>
      </c>
      <c r="R13" s="52"/>
      <c r="S13" s="24">
        <f>Tabla13[[#This Row],[Total piezas NOK]]/Tabla13[[#This Row],[Cant. Fabricada (uds)]]</f>
        <v>3.0664775535887395E-2</v>
      </c>
    </row>
    <row r="14" spans="1:20" ht="14.4" customHeight="1" x14ac:dyDescent="0.3">
      <c r="A14" s="43">
        <v>44489</v>
      </c>
      <c r="B14" s="20" t="s">
        <v>765</v>
      </c>
      <c r="C14" s="20">
        <v>1861</v>
      </c>
      <c r="D14" s="13" t="str">
        <f>VLOOKUP(C:C,'LListat referències'!A:B,2,FALSE)</f>
        <v>Tarro 50ml Standard 8 unitats</v>
      </c>
      <c r="E14" s="18" t="str">
        <f>VLOOKUP(C:C,'LListat referències'!A:D,4,FALSE)</f>
        <v>T022</v>
      </c>
      <c r="F14" s="49">
        <f>VLOOKUP(C:C,'LListat referències'!A:E,5,FALSE)</f>
        <v>92</v>
      </c>
      <c r="G14" s="49"/>
      <c r="H14" s="1" t="s">
        <v>15</v>
      </c>
      <c r="I14" s="25"/>
      <c r="J14" s="25">
        <v>0</v>
      </c>
      <c r="K14" s="25">
        <v>0</v>
      </c>
      <c r="L14" s="25">
        <v>4444</v>
      </c>
      <c r="M14" s="20">
        <v>40</v>
      </c>
      <c r="N14" s="1">
        <f>Tabla13[[#This Row],[Noche]]-Tabla13[[#This Row],[Mañana ]]</f>
        <v>4444</v>
      </c>
      <c r="O14" s="58">
        <v>400</v>
      </c>
      <c r="P14" s="21">
        <f t="shared" si="0"/>
        <v>400</v>
      </c>
      <c r="Q14" s="22">
        <f>Tabla13[[#This Row],[Merma Salas A &amp; B2]]*1000/Tabla13[[#This Row],[Peso gr.]]</f>
        <v>4347.826086956522</v>
      </c>
      <c r="R14" s="52">
        <v>400</v>
      </c>
      <c r="S14" s="24">
        <f>Tabla13[[#This Row],[Total piezas NOK]]/Tabla13[[#This Row],[Cant. Fabricada (uds)]]</f>
        <v>0.97835870543576098</v>
      </c>
      <c r="T14" s="19" t="s">
        <v>849</v>
      </c>
    </row>
    <row r="15" spans="1:20" x14ac:dyDescent="0.3">
      <c r="A15" s="43">
        <v>44489</v>
      </c>
      <c r="B15" s="20" t="s">
        <v>760</v>
      </c>
      <c r="C15" s="20">
        <v>1786</v>
      </c>
      <c r="D15" s="13" t="str">
        <f>VLOOKUP(C:C,'LListat referències'!A:B,2,FALSE)</f>
        <v>Tapa borghesse 50 ml</v>
      </c>
      <c r="E15" s="18" t="str">
        <f>VLOOKUP(C:C,'LListat referències'!A:D,4,FALSE)</f>
        <v>#7 (50 ml)</v>
      </c>
      <c r="F15" s="49">
        <f>VLOOKUP(C:C,'LListat referències'!A:E,5,FALSE)</f>
        <v>8.39</v>
      </c>
      <c r="G15" s="49"/>
      <c r="H15" s="1" t="s">
        <v>763</v>
      </c>
      <c r="I15" s="25"/>
      <c r="J15" s="25">
        <v>13610</v>
      </c>
      <c r="K15" s="25">
        <v>15856</v>
      </c>
      <c r="L15" s="25">
        <v>18148</v>
      </c>
      <c r="M15" s="20">
        <v>20</v>
      </c>
      <c r="N15" s="1">
        <f>Tabla13[[#This Row],[Noche]]-Tabla13[[#This Row],[Mañana ]]</f>
        <v>4538</v>
      </c>
      <c r="O15" s="58">
        <v>5</v>
      </c>
      <c r="P15" s="21">
        <f t="shared" si="0"/>
        <v>5</v>
      </c>
      <c r="Q15" s="22">
        <f>Tabla13[[#This Row],[Merma Salas A &amp; B2]]*1000/Tabla13[[#This Row],[Peso gr.]]</f>
        <v>595.94755661501779</v>
      </c>
      <c r="R15" s="52"/>
      <c r="S15" s="24">
        <f>Tabla13[[#This Row],[Total piezas NOK]]/Tabla13[[#This Row],[Cant. Fabricada (uds)]]</f>
        <v>0.13132383354231331</v>
      </c>
    </row>
    <row r="16" spans="1:20" x14ac:dyDescent="0.3">
      <c r="A16" s="43">
        <v>44489</v>
      </c>
      <c r="B16" s="20" t="s">
        <v>756</v>
      </c>
      <c r="C16" s="20" t="s">
        <v>644</v>
      </c>
      <c r="D16" s="13" t="str">
        <f>VLOOKUP(C:C,'LListat referències'!A:B,2,FALSE)</f>
        <v>Tarro 200ml Quadrat estret (Tapa Rodona)</v>
      </c>
      <c r="E16" s="18">
        <f>VLOOKUP(C:C,'LListat referències'!A:D,4,FALSE)</f>
        <v>0</v>
      </c>
      <c r="F16" s="49">
        <f>VLOOKUP(C:C,'LListat referències'!A:E,5,FALSE)</f>
        <v>220.84</v>
      </c>
      <c r="G16" s="49"/>
      <c r="H16" s="1" t="s">
        <v>7</v>
      </c>
      <c r="I16" s="25"/>
      <c r="J16" s="25">
        <v>12320</v>
      </c>
      <c r="K16" s="25">
        <v>12545</v>
      </c>
      <c r="L16" s="25">
        <v>12780</v>
      </c>
      <c r="M16" s="20">
        <v>41</v>
      </c>
      <c r="N16" s="1">
        <f>Tabla13[[#This Row],[Noche]]-Tabla13[[#This Row],[Mañana ]]</f>
        <v>460</v>
      </c>
      <c r="O16" s="58">
        <v>5</v>
      </c>
      <c r="P16" s="21">
        <f t="shared" si="0"/>
        <v>5</v>
      </c>
      <c r="Q16" s="22">
        <f>Tabla13[[#This Row],[Merma Salas A &amp; B2]]*1000/Tabla13[[#This Row],[Peso gr.]]</f>
        <v>22.640825937330195</v>
      </c>
      <c r="R16" s="52"/>
      <c r="S16" s="24">
        <f>Tabla13[[#This Row],[Total piezas NOK]]/Tabla13[[#This Row],[Cant. Fabricada (uds)]]</f>
        <v>4.9219186820283034E-2</v>
      </c>
    </row>
    <row r="17" spans="1:20" x14ac:dyDescent="0.3">
      <c r="A17" s="43">
        <v>44489</v>
      </c>
      <c r="B17" s="20" t="s">
        <v>759</v>
      </c>
      <c r="C17" s="20" t="s">
        <v>507</v>
      </c>
      <c r="D17" s="13" t="str">
        <f>VLOOKUP(C:C,'LListat referències'!A:B,2,FALSE)</f>
        <v>Tarro 150 cc</v>
      </c>
      <c r="E17" s="18" t="str">
        <f>VLOOKUP(C:C,'LListat referències'!A:D,4,FALSE)</f>
        <v>T057</v>
      </c>
      <c r="F17" s="49">
        <v>168</v>
      </c>
      <c r="G17" s="49"/>
      <c r="H17" s="1" t="s">
        <v>15</v>
      </c>
      <c r="I17" s="25"/>
      <c r="J17" s="25">
        <v>8540</v>
      </c>
      <c r="K17" s="25">
        <v>9042</v>
      </c>
      <c r="L17" s="25">
        <v>9568</v>
      </c>
      <c r="M17" s="20">
        <v>43</v>
      </c>
      <c r="N17" s="1">
        <f>Tabla13[[#This Row],[Noche]]-Tabla13[[#This Row],[Mañana ]]</f>
        <v>1028</v>
      </c>
      <c r="O17" s="58">
        <v>15</v>
      </c>
      <c r="P17" s="21">
        <f t="shared" si="0"/>
        <v>15</v>
      </c>
      <c r="Q17" s="22">
        <f>Tabla13[[#This Row],[Merma Salas A &amp; B2]]*1000/Tabla13[[#This Row],[Peso gr.]]</f>
        <v>89.285714285714292</v>
      </c>
      <c r="R17" s="52"/>
      <c r="S17" s="24">
        <f>Tabla13[[#This Row],[Total piezas NOK]]/Tabla13[[#This Row],[Cant. Fabricada (uds)]]</f>
        <v>8.6853807670928304E-2</v>
      </c>
    </row>
    <row r="18" spans="1:20" x14ac:dyDescent="0.3">
      <c r="A18" s="43">
        <v>44489</v>
      </c>
      <c r="B18" s="20" t="s">
        <v>766</v>
      </c>
      <c r="C18" s="20" t="s">
        <v>295</v>
      </c>
      <c r="D18" s="13" t="str">
        <f>VLOOKUP(C:C,'LListat referències'!A:B,2,FALSE)</f>
        <v>Tarro 15 ml. Tinter Quadrat</v>
      </c>
      <c r="E18" s="18" t="str">
        <f>VLOOKUP(C:C,'LListat referències'!A:D,4,FALSE)</f>
        <v>T124</v>
      </c>
      <c r="F18" s="49">
        <f>VLOOKUP(C:C,'LListat referències'!A:E,5,FALSE)</f>
        <v>69.75</v>
      </c>
      <c r="G18" s="49"/>
      <c r="H18" s="1" t="s">
        <v>8</v>
      </c>
      <c r="I18" s="25"/>
      <c r="J18" s="25">
        <v>8128</v>
      </c>
      <c r="K18" s="25">
        <v>8610</v>
      </c>
      <c r="L18" s="25">
        <v>9128</v>
      </c>
      <c r="M18" s="20">
        <v>38</v>
      </c>
      <c r="N18" s="1">
        <f>Tabla13[[#This Row],[Noche]]-Tabla13[[#This Row],[Mañana ]]</f>
        <v>1000</v>
      </c>
      <c r="O18" s="58">
        <v>3.5</v>
      </c>
      <c r="P18" s="21">
        <f t="shared" si="0"/>
        <v>3.5</v>
      </c>
      <c r="Q18" s="22">
        <f>Tabla13[[#This Row],[Merma Salas A &amp; B2]]*1000/Tabla13[[#This Row],[Peso gr.]]</f>
        <v>50.179211469534053</v>
      </c>
      <c r="R18" s="52"/>
      <c r="S18" s="24">
        <f>Tabla13[[#This Row],[Total piezas NOK]]/Tabla13[[#This Row],[Cant. Fabricada (uds)]]</f>
        <v>5.0179211469534052E-2</v>
      </c>
    </row>
    <row r="19" spans="1:20" x14ac:dyDescent="0.3">
      <c r="A19" s="43">
        <v>44490</v>
      </c>
      <c r="B19" s="20" t="s">
        <v>767</v>
      </c>
      <c r="C19" s="20">
        <v>1790</v>
      </c>
      <c r="D19" s="13" t="str">
        <f>VLOOKUP(C:C,'LListat referències'!A:B,2,FALSE)</f>
        <v>Tarro 100ml</v>
      </c>
      <c r="E19" s="18" t="str">
        <f>VLOOKUP(C:C,'LListat referències'!A:D,4,FALSE)</f>
        <v>T029</v>
      </c>
      <c r="F19" s="49">
        <f>VLOOKUP(C:C,'LListat referències'!A:E,5,FALSE)</f>
        <v>151</v>
      </c>
      <c r="G19" s="49"/>
      <c r="H19" s="1" t="s">
        <v>7</v>
      </c>
      <c r="I19" s="25"/>
      <c r="J19" s="25">
        <v>568</v>
      </c>
      <c r="K19" s="25">
        <v>753</v>
      </c>
      <c r="L19" s="25">
        <v>926</v>
      </c>
      <c r="M19" s="20">
        <v>51</v>
      </c>
      <c r="N19" s="1">
        <f>Tabla13[[#This Row],[Noche]]-Tabla13[[#This Row],[Mañana ]]</f>
        <v>358</v>
      </c>
      <c r="O19" s="58">
        <v>20</v>
      </c>
      <c r="P19" s="21">
        <f t="shared" si="0"/>
        <v>20</v>
      </c>
      <c r="Q19" s="22">
        <f>Tabla13[[#This Row],[Merma Salas A &amp; B2]]*1000/Tabla13[[#This Row],[Peso gr.]]</f>
        <v>132.4503311258278</v>
      </c>
      <c r="R19" s="52"/>
      <c r="S19" s="24">
        <f>Tabla13[[#This Row],[Total piezas NOK]]/Tabla13[[#This Row],[Cant. Fabricada (uds)]]</f>
        <v>0.36997299197158606</v>
      </c>
    </row>
    <row r="20" spans="1:20" x14ac:dyDescent="0.3">
      <c r="A20" s="43">
        <v>44490</v>
      </c>
      <c r="B20" s="20" t="s">
        <v>759</v>
      </c>
      <c r="C20" s="20" t="s">
        <v>513</v>
      </c>
      <c r="D20" s="13" t="str">
        <f>VLOOKUP(C:C,'LListat referències'!A:B,2,FALSE)</f>
        <v>Tarro 150 ml</v>
      </c>
      <c r="E20" s="18" t="str">
        <f>VLOOKUP(C:C,'LListat referències'!A:D,4,FALSE)</f>
        <v>T057</v>
      </c>
      <c r="F20" s="49">
        <v>168</v>
      </c>
      <c r="G20" s="49"/>
      <c r="H20" s="1" t="s">
        <v>15</v>
      </c>
      <c r="I20" s="25"/>
      <c r="J20" s="25">
        <v>10134</v>
      </c>
      <c r="K20" s="25">
        <v>10608</v>
      </c>
      <c r="L20" s="25">
        <v>11140</v>
      </c>
      <c r="M20" s="20">
        <v>43</v>
      </c>
      <c r="N20" s="1">
        <f>Tabla13[[#This Row],[Noche]]-Tabla13[[#This Row],[Mañana ]]</f>
        <v>1006</v>
      </c>
      <c r="O20" s="58">
        <v>2.5</v>
      </c>
      <c r="P20" s="21">
        <f t="shared" si="0"/>
        <v>2.5</v>
      </c>
      <c r="Q20" s="22">
        <f>Tabla13[[#This Row],[Merma Salas A &amp; B2]]*1000/Tabla13[[#This Row],[Peso gr.]]</f>
        <v>14.880952380952381</v>
      </c>
      <c r="R20" s="52"/>
      <c r="S20" s="24">
        <f>Tabla13[[#This Row],[Total piezas NOK]]/Tabla13[[#This Row],[Cant. Fabricada (uds)]]</f>
        <v>1.4792199185837357E-2</v>
      </c>
    </row>
    <row r="21" spans="1:20" x14ac:dyDescent="0.3">
      <c r="A21" s="43">
        <v>44490</v>
      </c>
      <c r="B21" s="20" t="s">
        <v>766</v>
      </c>
      <c r="C21" s="20" t="s">
        <v>295</v>
      </c>
      <c r="D21" s="13" t="str">
        <f>VLOOKUP(C:C,'LListat referències'!A:B,2,FALSE)</f>
        <v>Tarro 15 ml. Tinter Quadrat</v>
      </c>
      <c r="E21" s="18" t="str">
        <f>VLOOKUP(C:C,'LListat referències'!A:D,4,FALSE)</f>
        <v>T124</v>
      </c>
      <c r="F21" s="49">
        <f>VLOOKUP(C:C,'LListat referències'!A:E,5,FALSE)</f>
        <v>69.75</v>
      </c>
      <c r="G21" s="49"/>
      <c r="H21" s="1" t="s">
        <v>8</v>
      </c>
      <c r="I21" s="25"/>
      <c r="J21" s="25">
        <v>9678</v>
      </c>
      <c r="K21" s="25">
        <v>10138</v>
      </c>
      <c r="L21" s="25">
        <v>10656</v>
      </c>
      <c r="M21" s="20">
        <v>38</v>
      </c>
      <c r="N21" s="1">
        <f>Tabla13[[#This Row],[Noche]]-Tabla13[[#This Row],[Mañana ]]</f>
        <v>978</v>
      </c>
      <c r="O21" s="58">
        <v>5</v>
      </c>
      <c r="P21" s="21">
        <f t="shared" si="0"/>
        <v>5</v>
      </c>
      <c r="Q21" s="22">
        <f>Tabla13[[#This Row],[Merma Salas A &amp; B2]]*1000/Tabla13[[#This Row],[Peso gr.]]</f>
        <v>71.68458781362007</v>
      </c>
      <c r="R21" s="52"/>
      <c r="S21" s="24">
        <f>Tabla13[[#This Row],[Total piezas NOK]]/Tabla13[[#This Row],[Cant. Fabricada (uds)]]</f>
        <v>7.3297124553803758E-2</v>
      </c>
    </row>
    <row r="22" spans="1:20" ht="14.4" customHeight="1" x14ac:dyDescent="0.3">
      <c r="A22" s="43">
        <v>44490</v>
      </c>
      <c r="B22" s="20" t="s">
        <v>765</v>
      </c>
      <c r="C22" s="20">
        <v>1861</v>
      </c>
      <c r="D22" s="13" t="str">
        <f>VLOOKUP(C:C,'LListat referències'!A:B,2,FALSE)</f>
        <v>Tarro 50ml Standard 8 unitats</v>
      </c>
      <c r="E22" s="18" t="str">
        <f>VLOOKUP(C:C,'LListat referències'!A:D,4,FALSE)</f>
        <v>T022</v>
      </c>
      <c r="F22" s="49">
        <f>VLOOKUP(C:C,'LListat referències'!A:E,5,FALSE)</f>
        <v>92</v>
      </c>
      <c r="G22" s="49"/>
      <c r="H22" s="1" t="s">
        <v>15</v>
      </c>
      <c r="I22" s="25"/>
      <c r="J22" s="25">
        <v>0</v>
      </c>
      <c r="K22" s="25">
        <v>0</v>
      </c>
      <c r="L22" s="25">
        <v>3333</v>
      </c>
      <c r="M22" s="20">
        <v>40</v>
      </c>
      <c r="N22" s="1">
        <f>Tabla13[[#This Row],[Noche]]-Tabla13[[#This Row],[Mañana ]]</f>
        <v>3333</v>
      </c>
      <c r="O22" s="58">
        <v>300</v>
      </c>
      <c r="P22" s="21">
        <f t="shared" si="0"/>
        <v>300</v>
      </c>
      <c r="Q22" s="22">
        <f>Tabla13[[#This Row],[Merma Salas A &amp; B2]]*1000/Tabla13[[#This Row],[Peso gr.]]</f>
        <v>3260.8695652173915</v>
      </c>
      <c r="R22" s="52">
        <v>300</v>
      </c>
      <c r="S22" s="24">
        <f>Tabla13[[#This Row],[Total piezas NOK]]/Tabla13[[#This Row],[Cant. Fabricada (uds)]]</f>
        <v>0.97835870543576098</v>
      </c>
      <c r="T22" s="19" t="s">
        <v>779</v>
      </c>
    </row>
    <row r="23" spans="1:20" x14ac:dyDescent="0.3">
      <c r="A23" s="43">
        <v>44490</v>
      </c>
      <c r="B23" s="20" t="s">
        <v>756</v>
      </c>
      <c r="C23" s="20" t="s">
        <v>644</v>
      </c>
      <c r="D23" s="13" t="str">
        <f>VLOOKUP(C:C,'LListat referències'!A:B,2,FALSE)</f>
        <v>Tarro 200ml Quadrat estret (Tapa Rodona)</v>
      </c>
      <c r="E23" s="18">
        <f>VLOOKUP(C:C,'LListat referències'!A:D,4,FALSE)</f>
        <v>0</v>
      </c>
      <c r="F23" s="49">
        <f>VLOOKUP(C:C,'LListat referències'!A:E,5,FALSE)</f>
        <v>220.84</v>
      </c>
      <c r="G23" s="49"/>
      <c r="H23" s="1" t="s">
        <v>7</v>
      </c>
      <c r="I23" s="25"/>
      <c r="J23" s="25">
        <v>13032</v>
      </c>
      <c r="K23" s="25">
        <v>13248</v>
      </c>
      <c r="L23" s="25">
        <v>13484</v>
      </c>
      <c r="M23" s="20">
        <v>41</v>
      </c>
      <c r="N23" s="1">
        <f>Tabla13[[#This Row],[Noche]]-Tabla13[[#This Row],[Mañana ]]</f>
        <v>452</v>
      </c>
      <c r="O23" s="58">
        <v>3</v>
      </c>
      <c r="P23" s="21">
        <f t="shared" si="0"/>
        <v>3</v>
      </c>
      <c r="Q23" s="22">
        <f>Tabla13[[#This Row],[Merma Salas A &amp; B2]]*1000/Tabla13[[#This Row],[Peso gr.]]</f>
        <v>13.584495562398116</v>
      </c>
      <c r="R23" s="52"/>
      <c r="S23" s="24">
        <f>Tabla13[[#This Row],[Total piezas NOK]]/Tabla13[[#This Row],[Cant. Fabricada (uds)]]</f>
        <v>3.0054193722119725E-2</v>
      </c>
    </row>
    <row r="24" spans="1:20" x14ac:dyDescent="0.3">
      <c r="A24" s="43">
        <v>44490</v>
      </c>
      <c r="B24" s="20" t="s">
        <v>781</v>
      </c>
      <c r="C24" s="20" t="s">
        <v>10</v>
      </c>
      <c r="D24" s="13" t="str">
        <f>VLOOKUP(C:C,'LListat referències'!A:B,2,FALSE)</f>
        <v xml:space="preserve">Tapa 100 ml prima </v>
      </c>
      <c r="E24" s="18" t="str">
        <f>VLOOKUP(C:C,'LListat referències'!A:D,4,FALSE)</f>
        <v>#26(100 ml)</v>
      </c>
      <c r="F24" s="49">
        <f>VLOOKUP(C:C,'LListat referències'!A:E,5,FALSE)</f>
        <v>30.3</v>
      </c>
      <c r="G24" s="49"/>
      <c r="H24" s="1" t="s">
        <v>15</v>
      </c>
      <c r="I24" s="25"/>
      <c r="J24" s="25">
        <v>0</v>
      </c>
      <c r="K24" s="25">
        <v>0</v>
      </c>
      <c r="L24" s="25">
        <v>528</v>
      </c>
      <c r="M24" s="20">
        <v>44</v>
      </c>
      <c r="N24" s="1">
        <f>Tabla13[[#This Row],[Noche]]-Tabla13[[#This Row],[Mañana ]]</f>
        <v>528</v>
      </c>
      <c r="O24" s="58">
        <v>15</v>
      </c>
      <c r="P24" s="21">
        <f t="shared" si="0"/>
        <v>15</v>
      </c>
      <c r="Q24" s="22">
        <f>Tabla13[[#This Row],[Merma Salas A &amp; B2]]*1000/Tabla13[[#This Row],[Peso gr.]]</f>
        <v>495.04950495049502</v>
      </c>
      <c r="R24" s="52">
        <v>15</v>
      </c>
      <c r="S24" s="24">
        <f>Tabla13[[#This Row],[Total piezas NOK]]/Tabla13[[#This Row],[Cant. Fabricada (uds)]]</f>
        <v>0.93759375937593759</v>
      </c>
      <c r="T24" s="19" t="s">
        <v>782</v>
      </c>
    </row>
    <row r="25" spans="1:20" x14ac:dyDescent="0.3">
      <c r="A25" s="43">
        <v>44491</v>
      </c>
      <c r="B25" s="20" t="s">
        <v>759</v>
      </c>
      <c r="C25" s="20" t="s">
        <v>513</v>
      </c>
      <c r="D25" s="13" t="str">
        <f>VLOOKUP(C:C,'LListat referències'!A:B,2,FALSE)</f>
        <v>Tarro 150 ml</v>
      </c>
      <c r="E25" s="18" t="str">
        <f>VLOOKUP(C:C,'LListat referències'!A:D,4,FALSE)</f>
        <v>T057</v>
      </c>
      <c r="F25" s="49">
        <v>168</v>
      </c>
      <c r="G25" s="49"/>
      <c r="H25" s="1" t="s">
        <v>15</v>
      </c>
      <c r="I25" s="25"/>
      <c r="J25" s="25">
        <v>11670</v>
      </c>
      <c r="K25" s="25">
        <v>12196</v>
      </c>
      <c r="L25" s="25">
        <v>12634</v>
      </c>
      <c r="M25" s="20">
        <v>43</v>
      </c>
      <c r="N25" s="1">
        <f>Tabla13[[#This Row],[Noche]]-Tabla13[[#This Row],[Mañana ]]</f>
        <v>964</v>
      </c>
      <c r="O25" s="58">
        <v>2.5</v>
      </c>
      <c r="P25" s="21">
        <f t="shared" si="0"/>
        <v>2.5</v>
      </c>
      <c r="Q25" s="22">
        <f>Tabla13[[#This Row],[Merma Salas A &amp; B2]]*1000/Tabla13[[#This Row],[Peso gr.]]</f>
        <v>14.880952380952381</v>
      </c>
      <c r="R25" s="52"/>
      <c r="S25" s="24">
        <f>Tabla13[[#This Row],[Total piezas NOK]]/Tabla13[[#This Row],[Cant. Fabricada (uds)]]</f>
        <v>1.5436672594348944E-2</v>
      </c>
    </row>
    <row r="26" spans="1:20" x14ac:dyDescent="0.3">
      <c r="A26" s="43">
        <v>44491</v>
      </c>
      <c r="B26" s="20" t="s">
        <v>756</v>
      </c>
      <c r="C26" s="20" t="s">
        <v>644</v>
      </c>
      <c r="D26" s="13" t="str">
        <f>VLOOKUP(C:C,'LListat referències'!A:B,2,FALSE)</f>
        <v>Tarro 200ml Quadrat estret (Tapa Rodona)</v>
      </c>
      <c r="E26" s="18">
        <f>VLOOKUP(C:C,'LListat referències'!A:D,4,FALSE)</f>
        <v>0</v>
      </c>
      <c r="F26" s="49">
        <f>VLOOKUP(C:C,'LListat referències'!A:E,5,FALSE)</f>
        <v>220.84</v>
      </c>
      <c r="G26" s="49"/>
      <c r="H26" s="1" t="s">
        <v>7</v>
      </c>
      <c r="I26" s="25"/>
      <c r="J26" s="25">
        <v>13721</v>
      </c>
      <c r="K26" s="25">
        <v>13951</v>
      </c>
      <c r="L26" s="25">
        <v>14137</v>
      </c>
      <c r="M26" s="20">
        <v>41</v>
      </c>
      <c r="N26" s="1">
        <f>Tabla13[[#This Row],[Noche]]-Tabla13[[#This Row],[Mañana ]]</f>
        <v>416</v>
      </c>
      <c r="O26" s="58">
        <v>3</v>
      </c>
      <c r="P26" s="21">
        <f t="shared" si="0"/>
        <v>3</v>
      </c>
      <c r="Q26" s="22">
        <f>Tabla13[[#This Row],[Merma Salas A &amp; B2]]*1000/Tabla13[[#This Row],[Peso gr.]]</f>
        <v>13.584495562398116</v>
      </c>
      <c r="R26" s="52"/>
      <c r="S26" s="24">
        <f>Tabla13[[#This Row],[Total piezas NOK]]/Tabla13[[#This Row],[Cant. Fabricada (uds)]]</f>
        <v>3.2655037409610857E-2</v>
      </c>
    </row>
    <row r="27" spans="1:20" x14ac:dyDescent="0.3">
      <c r="A27" s="43">
        <v>44491</v>
      </c>
      <c r="B27" s="20" t="s">
        <v>768</v>
      </c>
      <c r="C27" s="20">
        <v>1786</v>
      </c>
      <c r="D27" s="13" t="str">
        <f>VLOOKUP(C:C,'LListat referències'!A:B,2,FALSE)</f>
        <v>Tapa borghesse 50 ml</v>
      </c>
      <c r="E27" s="18" t="str">
        <f>VLOOKUP(C:C,'LListat referències'!A:D,4,FALSE)</f>
        <v>#7 (50 ml)</v>
      </c>
      <c r="F27" s="49">
        <f>VLOOKUP(C:C,'LListat referències'!A:E,5,FALSE)</f>
        <v>8.39</v>
      </c>
      <c r="G27" s="49"/>
      <c r="H27" s="1" t="s">
        <v>763</v>
      </c>
      <c r="I27" s="25"/>
      <c r="J27" s="25">
        <v>0</v>
      </c>
      <c r="K27" s="25">
        <v>1372</v>
      </c>
      <c r="L27" s="25">
        <v>3880</v>
      </c>
      <c r="M27" s="20">
        <v>20</v>
      </c>
      <c r="N27" s="1">
        <f>Tabla13[[#This Row],[Noche]]-Tabla13[[#This Row],[Mañana ]]</f>
        <v>3880</v>
      </c>
      <c r="O27" s="58">
        <v>5</v>
      </c>
      <c r="P27" s="21">
        <f t="shared" si="0"/>
        <v>5</v>
      </c>
      <c r="Q27" s="22">
        <f>Tabla13[[#This Row],[Merma Salas A &amp; B2]]*1000/Tabla13[[#This Row],[Peso gr.]]</f>
        <v>595.94755661501779</v>
      </c>
      <c r="R27" s="52"/>
      <c r="S27" s="24">
        <f>Tabla13[[#This Row],[Total piezas NOK]]/Tabla13[[#This Row],[Cant. Fabricada (uds)]]</f>
        <v>0.1535947310863448</v>
      </c>
    </row>
    <row r="28" spans="1:20" x14ac:dyDescent="0.3">
      <c r="A28" s="43">
        <v>44491</v>
      </c>
      <c r="B28" s="20" t="s">
        <v>766</v>
      </c>
      <c r="C28" s="20" t="s">
        <v>295</v>
      </c>
      <c r="D28" s="13" t="str">
        <f>VLOOKUP(C:C,'LListat referències'!A:B,2,FALSE)</f>
        <v>Tarro 15 ml. Tinter Quadrat</v>
      </c>
      <c r="E28" s="18" t="str">
        <f>VLOOKUP(C:C,'LListat referències'!A:D,4,FALSE)</f>
        <v>T124</v>
      </c>
      <c r="F28" s="49">
        <f>VLOOKUP(C:C,'LListat referències'!A:E,5,FALSE)</f>
        <v>69.75</v>
      </c>
      <c r="G28" s="49"/>
      <c r="H28" s="1" t="s">
        <v>8</v>
      </c>
      <c r="I28" s="25"/>
      <c r="J28" s="25">
        <v>11168</v>
      </c>
      <c r="K28" s="25">
        <v>11504</v>
      </c>
      <c r="L28" s="25">
        <v>11504</v>
      </c>
      <c r="M28" s="20">
        <v>38</v>
      </c>
      <c r="N28" s="1">
        <f>Tabla13[[#This Row],[Noche]]-Tabla13[[#This Row],[Mañana ]]</f>
        <v>336</v>
      </c>
      <c r="O28" s="58">
        <v>10</v>
      </c>
      <c r="P28" s="21">
        <f t="shared" si="0"/>
        <v>10</v>
      </c>
      <c r="Q28" s="22">
        <f>Tabla13[[#This Row],[Merma Salas A &amp; B2]]*1000/Tabla13[[#This Row],[Peso gr.]]</f>
        <v>143.36917562724014</v>
      </c>
      <c r="R28" s="52"/>
      <c r="S28" s="24">
        <f>Tabla13[[#This Row],[Total piezas NOK]]/Tabla13[[#This Row],[Cant. Fabricada (uds)]]</f>
        <v>0.42669397508107182</v>
      </c>
    </row>
    <row r="29" spans="1:20" x14ac:dyDescent="0.3">
      <c r="A29" s="43">
        <v>44494</v>
      </c>
      <c r="B29" s="20" t="s">
        <v>753</v>
      </c>
      <c r="C29" s="20">
        <v>1945</v>
      </c>
      <c r="D29" s="13" t="str">
        <f>VLOOKUP(C:C,'LListat referències'!A:B,2,FALSE)</f>
        <v>Tarro 400 ml</v>
      </c>
      <c r="E29" s="18" t="str">
        <f>VLOOKUP(C:C,'LListat referències'!A:D,4,FALSE)</f>
        <v>T113</v>
      </c>
      <c r="F29" s="49">
        <v>208.4</v>
      </c>
      <c r="G29" s="49"/>
      <c r="H29" s="1" t="s">
        <v>15</v>
      </c>
      <c r="I29" s="25"/>
      <c r="J29" s="25">
        <v>0</v>
      </c>
      <c r="K29" s="25">
        <v>0</v>
      </c>
      <c r="L29" s="25">
        <v>168</v>
      </c>
      <c r="M29" s="20">
        <v>7</v>
      </c>
      <c r="N29" s="1">
        <f>Tabla13[[#This Row],[Noche]]-Tabla13[[#This Row],[Mañana ]]</f>
        <v>168</v>
      </c>
      <c r="O29" s="58">
        <v>35</v>
      </c>
      <c r="P29" s="21">
        <f t="shared" si="0"/>
        <v>35</v>
      </c>
      <c r="Q29" s="22">
        <f>Tabla13[[#This Row],[Merma Salas A &amp; B2]]*1000/Tabla13[[#This Row],[Peso gr.]]</f>
        <v>167.94625719769672</v>
      </c>
      <c r="R29" s="52">
        <v>35</v>
      </c>
      <c r="S29" s="24">
        <f>Tabla13[[#This Row],[Total piezas NOK]]/Tabla13[[#This Row],[Cant. Fabricada (uds)]]</f>
        <v>0.99968010236724236</v>
      </c>
      <c r="T29" s="19" t="s">
        <v>780</v>
      </c>
    </row>
    <row r="30" spans="1:20" x14ac:dyDescent="0.3">
      <c r="A30" s="43">
        <v>44494</v>
      </c>
      <c r="B30" s="20" t="s">
        <v>759</v>
      </c>
      <c r="C30" s="20" t="s">
        <v>513</v>
      </c>
      <c r="D30" s="13" t="str">
        <f>VLOOKUP(C:C,'LListat referències'!A:B,2,FALSE)</f>
        <v>Tarro 150 ml</v>
      </c>
      <c r="E30" s="18" t="str">
        <f>VLOOKUP(C:C,'LListat referències'!A:D,4,FALSE)</f>
        <v>T057</v>
      </c>
      <c r="F30" s="49">
        <v>168</v>
      </c>
      <c r="G30" s="49"/>
      <c r="H30" s="1" t="s">
        <v>15</v>
      </c>
      <c r="I30" s="25"/>
      <c r="J30" s="25">
        <v>12968</v>
      </c>
      <c r="K30" s="25">
        <v>13468</v>
      </c>
      <c r="L30" s="25">
        <v>14020</v>
      </c>
      <c r="M30" s="20">
        <v>43</v>
      </c>
      <c r="N30" s="1">
        <f>Tabla13[[#This Row],[Noche]]-Tabla13[[#This Row],[Mañana ]]</f>
        <v>1052</v>
      </c>
      <c r="O30" s="58">
        <v>2.5</v>
      </c>
      <c r="P30" s="21">
        <f t="shared" si="0"/>
        <v>2.5</v>
      </c>
      <c r="Q30" s="22">
        <f>Tabla13[[#This Row],[Merma Salas A &amp; B2]]*1000/Tabla13[[#This Row],[Peso gr.]]</f>
        <v>14.880952380952381</v>
      </c>
      <c r="R30" s="52"/>
      <c r="S30" s="24">
        <f>Tabla13[[#This Row],[Total piezas NOK]]/Tabla13[[#This Row],[Cant. Fabricada (uds)]]</f>
        <v>1.4145391997103024E-2</v>
      </c>
    </row>
    <row r="31" spans="1:20" x14ac:dyDescent="0.3">
      <c r="A31" s="43">
        <v>44494</v>
      </c>
      <c r="B31" s="20" t="s">
        <v>767</v>
      </c>
      <c r="C31" s="20">
        <v>1790</v>
      </c>
      <c r="D31" s="13" t="str">
        <f>VLOOKUP(C:C,'LListat referències'!A:B,2,FALSE)</f>
        <v>Tarro 100ml</v>
      </c>
      <c r="E31" s="18" t="str">
        <f>VLOOKUP(C:C,'LListat referències'!A:D,4,FALSE)</f>
        <v>T029</v>
      </c>
      <c r="F31" s="49">
        <f>VLOOKUP(C:C,'LListat referències'!A:E,5,FALSE)</f>
        <v>151</v>
      </c>
      <c r="G31" s="49"/>
      <c r="H31" s="1" t="s">
        <v>7</v>
      </c>
      <c r="I31" s="25"/>
      <c r="J31" s="25">
        <v>1138</v>
      </c>
      <c r="K31" s="25">
        <v>1322</v>
      </c>
      <c r="L31" s="25">
        <v>1550</v>
      </c>
      <c r="M31" s="20">
        <v>51</v>
      </c>
      <c r="N31" s="1">
        <f>Tabla13[[#This Row],[Noche]]-Tabla13[[#This Row],[Mañana ]]</f>
        <v>412</v>
      </c>
      <c r="O31" s="58">
        <v>0.3</v>
      </c>
      <c r="P31" s="21">
        <f t="shared" si="0"/>
        <v>0.3</v>
      </c>
      <c r="Q31" s="22">
        <f>Tabla13[[#This Row],[Merma Salas A &amp; B2]]*1000/Tabla13[[#This Row],[Peso gr.]]</f>
        <v>1.9867549668874172</v>
      </c>
      <c r="R31" s="52"/>
      <c r="S31" s="24">
        <f>Tabla13[[#This Row],[Total piezas NOK]]/Tabla13[[#This Row],[Cant. Fabricada (uds)]]</f>
        <v>4.8222207934160615E-3</v>
      </c>
      <c r="T31" s="19" t="s">
        <v>815</v>
      </c>
    </row>
    <row r="32" spans="1:20" x14ac:dyDescent="0.3">
      <c r="A32" s="43">
        <v>44494</v>
      </c>
      <c r="B32" s="20" t="s">
        <v>776</v>
      </c>
      <c r="C32" s="20">
        <v>1879</v>
      </c>
      <c r="D32" s="13" t="str">
        <f>VLOOKUP(C:C,'LListat referències'!A:B,2,FALSE)</f>
        <v>Tapa tarro rectagular 50 ml</v>
      </c>
      <c r="E32" s="18" t="str">
        <f>VLOOKUP(C:C,'LListat referències'!A:D,4,FALSE)</f>
        <v>#23 (50 ml)</v>
      </c>
      <c r="F32" s="49">
        <f>VLOOKUP(C:C,'LListat referències'!A:E,5,FALSE)</f>
        <v>22.6</v>
      </c>
      <c r="G32" s="49"/>
      <c r="H32" s="1" t="s">
        <v>8</v>
      </c>
      <c r="I32" s="25"/>
      <c r="J32" s="25">
        <v>0</v>
      </c>
      <c r="K32" s="25">
        <v>0</v>
      </c>
      <c r="L32" s="25">
        <v>581</v>
      </c>
      <c r="M32" s="20">
        <v>20</v>
      </c>
      <c r="N32" s="1">
        <f>Tabla13[[#This Row],[Noche]]-Tabla13[[#This Row],[Mañana ]]</f>
        <v>581</v>
      </c>
      <c r="O32" s="58">
        <v>5</v>
      </c>
      <c r="P32" s="21">
        <f t="shared" si="0"/>
        <v>5</v>
      </c>
      <c r="Q32" s="22">
        <f>Tabla13[[#This Row],[Merma Salas A &amp; B2]]*1000/Tabla13[[#This Row],[Peso gr.]]</f>
        <v>221.23893805309734</v>
      </c>
      <c r="R32" s="52"/>
      <c r="S32" s="24">
        <f>Tabla13[[#This Row],[Total piezas NOK]]/Tabla13[[#This Row],[Cant. Fabricada (uds)]]</f>
        <v>0.38078991059052897</v>
      </c>
      <c r="T32" s="19" t="s">
        <v>822</v>
      </c>
    </row>
    <row r="33" spans="1:20" x14ac:dyDescent="0.3">
      <c r="A33" s="43">
        <v>44494</v>
      </c>
      <c r="B33" s="20" t="s">
        <v>805</v>
      </c>
      <c r="C33" s="20">
        <v>1880</v>
      </c>
      <c r="D33" s="13" t="str">
        <f>VLOOKUP(C:C,'LListat referències'!A:B,2,FALSE)</f>
        <v>Int. tapa tarro rectangular 50ml</v>
      </c>
      <c r="E33" s="18" t="str">
        <f>VLOOKUP(C:C,'LListat referències'!A:D,4,FALSE)</f>
        <v/>
      </c>
      <c r="F33" s="49">
        <v>22.33</v>
      </c>
      <c r="G33" s="49"/>
      <c r="H33" s="1" t="s">
        <v>797</v>
      </c>
      <c r="I33" s="25"/>
      <c r="J33" s="25">
        <v>3870</v>
      </c>
      <c r="K33" s="25">
        <v>6654</v>
      </c>
      <c r="L33" s="25">
        <v>9598</v>
      </c>
      <c r="M33" s="20">
        <v>19</v>
      </c>
      <c r="N33" s="1">
        <f>Tabla13[[#This Row],[Noche]]-Tabla13[[#This Row],[Mañana ]]</f>
        <v>5728</v>
      </c>
      <c r="O33" s="58">
        <v>0.1</v>
      </c>
      <c r="P33" s="21">
        <f t="shared" si="0"/>
        <v>0.1</v>
      </c>
      <c r="Q33" s="22">
        <f>Tabla13[[#This Row],[Merma Salas A &amp; B2]]*1000/Tabla13[[#This Row],[Peso gr.]]</f>
        <v>4.4782803403493059</v>
      </c>
      <c r="R33" s="52"/>
      <c r="S33" s="24">
        <f>Tabla13[[#This Row],[Total piezas NOK]]/Tabla13[[#This Row],[Cant. Fabricada (uds)]]</f>
        <v>7.8182268511684807E-4</v>
      </c>
    </row>
    <row r="34" spans="1:20" x14ac:dyDescent="0.3">
      <c r="A34" s="43">
        <v>44494</v>
      </c>
      <c r="B34" s="20" t="s">
        <v>807</v>
      </c>
      <c r="C34" s="20">
        <v>1825</v>
      </c>
      <c r="D34" s="13" t="str">
        <f>VLOOKUP(C:C,'LListat referències'!A:B,2,FALSE)</f>
        <v>OBTURADOR 200 A/ LLENG.</v>
      </c>
      <c r="E34" s="18" t="str">
        <f>VLOOKUP(C:C,'LListat referències'!A:D,4,FALSE)</f>
        <v/>
      </c>
      <c r="F34" s="49">
        <v>2.73</v>
      </c>
      <c r="G34" s="49"/>
      <c r="H34" s="1" t="s">
        <v>797</v>
      </c>
      <c r="I34" s="25"/>
      <c r="J34" s="25">
        <v>11102</v>
      </c>
      <c r="K34" s="25">
        <v>12866</v>
      </c>
      <c r="L34" s="25">
        <v>15816</v>
      </c>
      <c r="M34" s="20">
        <v>48</v>
      </c>
      <c r="N34" s="1">
        <f>Tabla13[[#This Row],[Noche]]-Tabla13[[#This Row],[Mañana ]]</f>
        <v>4714</v>
      </c>
      <c r="O34" s="58">
        <v>0.1</v>
      </c>
      <c r="P34" s="21">
        <f t="shared" ref="P34:P65" si="1">SUM(O34:O34)</f>
        <v>0.1</v>
      </c>
      <c r="Q34" s="22">
        <f>Tabla13[[#This Row],[Merma Salas A &amp; B2]]*1000/Tabla13[[#This Row],[Peso gr.]]</f>
        <v>36.630036630036628</v>
      </c>
      <c r="R34" s="52"/>
      <c r="S34" s="24">
        <f>Tabla13[[#This Row],[Total piezas NOK]]/Tabla13[[#This Row],[Cant. Fabricada (uds)]]</f>
        <v>7.7704787081112918E-3</v>
      </c>
    </row>
    <row r="35" spans="1:20" x14ac:dyDescent="0.3">
      <c r="A35" s="43">
        <v>44494</v>
      </c>
      <c r="B35" s="20">
        <v>20135</v>
      </c>
      <c r="C35" s="20">
        <v>1997</v>
      </c>
      <c r="D35" s="13">
        <f>VLOOKUP(C:C,'LListat referències'!A:B,2,FALSE)</f>
        <v>0</v>
      </c>
      <c r="E35" s="18">
        <f>VLOOKUP(C:C,'LListat referències'!A:D,4,FALSE)</f>
        <v>0</v>
      </c>
      <c r="F35" s="49">
        <v>2.65</v>
      </c>
      <c r="G35" s="49"/>
      <c r="H35" s="1" t="s">
        <v>797</v>
      </c>
      <c r="I35" s="25"/>
      <c r="J35" s="25">
        <v>725481</v>
      </c>
      <c r="K35" s="25">
        <v>729873</v>
      </c>
      <c r="L35" s="25">
        <v>734403</v>
      </c>
      <c r="M35" s="20">
        <v>9</v>
      </c>
      <c r="N35" s="1">
        <f>Tabla13[[#This Row],[Noche]]-Tabla13[[#This Row],[Mañana ]]</f>
        <v>8922</v>
      </c>
      <c r="O35" s="58">
        <v>0.01</v>
      </c>
      <c r="P35" s="21">
        <f t="shared" si="1"/>
        <v>0.01</v>
      </c>
      <c r="Q35" s="22">
        <f>Tabla13[[#This Row],[Merma Salas A &amp; B2]]*1000/Tabla13[[#This Row],[Peso gr.]]</f>
        <v>3.7735849056603774</v>
      </c>
      <c r="R35" s="52"/>
      <c r="S35" s="24">
        <f>Tabla13[[#This Row],[Total piezas NOK]]/Tabla13[[#This Row],[Cant. Fabricada (uds)]]</f>
        <v>4.2295280269674706E-4</v>
      </c>
    </row>
    <row r="36" spans="1:20" x14ac:dyDescent="0.3">
      <c r="A36" s="43">
        <v>44495</v>
      </c>
      <c r="B36" s="20" t="s">
        <v>759</v>
      </c>
      <c r="C36" s="20" t="s">
        <v>513</v>
      </c>
      <c r="D36" s="13" t="str">
        <f>VLOOKUP(C:C,'LListat referències'!A:B,2,FALSE)</f>
        <v>Tarro 150 ml</v>
      </c>
      <c r="E36" s="18" t="str">
        <f>VLOOKUP(C:C,'LListat referències'!A:D,4,FALSE)</f>
        <v>T057</v>
      </c>
      <c r="F36" s="49">
        <v>168</v>
      </c>
      <c r="G36" s="49"/>
      <c r="H36" s="1" t="s">
        <v>15</v>
      </c>
      <c r="I36" s="25"/>
      <c r="J36" s="25">
        <v>14624</v>
      </c>
      <c r="K36" s="25">
        <v>15098</v>
      </c>
      <c r="L36" s="25">
        <v>15648</v>
      </c>
      <c r="M36" s="20">
        <v>43</v>
      </c>
      <c r="N36" s="1">
        <f>Tabla13[[#This Row],[Noche]]-Tabla13[[#This Row],[Mañana ]]</f>
        <v>1024</v>
      </c>
      <c r="O36" s="58">
        <v>8.5</v>
      </c>
      <c r="P36" s="21">
        <f t="shared" si="1"/>
        <v>8.5</v>
      </c>
      <c r="Q36" s="22">
        <f>Tabla13[[#This Row],[Merma Salas A &amp; B2]]*1000/Tabla13[[#This Row],[Peso gr.]]</f>
        <v>50.595238095238095</v>
      </c>
      <c r="R36" s="52"/>
      <c r="S36" s="24">
        <f>Tabla13[[#This Row],[Total piezas NOK]]/Tabla13[[#This Row],[Cant. Fabricada (uds)]]</f>
        <v>4.9409412202380952E-2</v>
      </c>
    </row>
    <row r="37" spans="1:20" x14ac:dyDescent="0.3">
      <c r="A37" s="43">
        <v>44495</v>
      </c>
      <c r="B37" s="20" t="s">
        <v>756</v>
      </c>
      <c r="C37" s="20" t="s">
        <v>644</v>
      </c>
      <c r="D37" s="13" t="str">
        <f>VLOOKUP(C:C,'LListat referències'!A:B,2,FALSE)</f>
        <v>Tarro 200ml Quadrat estret (Tapa Rodona)</v>
      </c>
      <c r="E37" s="18">
        <f>VLOOKUP(C:C,'LListat referències'!A:D,4,FALSE)</f>
        <v>0</v>
      </c>
      <c r="F37" s="49">
        <f>VLOOKUP(C:C,'LListat referències'!A:E,5,FALSE)</f>
        <v>220.84</v>
      </c>
      <c r="G37" s="49"/>
      <c r="H37" s="1" t="s">
        <v>7</v>
      </c>
      <c r="I37" s="25"/>
      <c r="J37" s="25">
        <v>15045</v>
      </c>
      <c r="K37" s="25">
        <v>15248</v>
      </c>
      <c r="L37" s="25">
        <v>15486</v>
      </c>
      <c r="M37" s="20">
        <v>41</v>
      </c>
      <c r="N37" s="1">
        <f>Tabla13[[#This Row],[Noche]]-Tabla13[[#This Row],[Mañana ]]</f>
        <v>441</v>
      </c>
      <c r="O37" s="58">
        <v>3</v>
      </c>
      <c r="P37" s="21">
        <f t="shared" si="1"/>
        <v>3</v>
      </c>
      <c r="Q37" s="22">
        <f>Tabla13[[#This Row],[Merma Salas A &amp; B2]]*1000/Tabla13[[#This Row],[Peso gr.]]</f>
        <v>13.584495562398116</v>
      </c>
      <c r="R37" s="52"/>
      <c r="S37" s="24">
        <f>Tabla13[[#This Row],[Total piezas NOK]]/Tabla13[[#This Row],[Cant. Fabricada (uds)]]</f>
        <v>3.0803844812694142E-2</v>
      </c>
    </row>
    <row r="38" spans="1:20" x14ac:dyDescent="0.3">
      <c r="A38" s="43">
        <v>44495</v>
      </c>
      <c r="B38" s="20" t="s">
        <v>767</v>
      </c>
      <c r="C38" s="20">
        <v>1790</v>
      </c>
      <c r="D38" s="13" t="str">
        <f>VLOOKUP(C:C,'LListat referències'!A:B,2,FALSE)</f>
        <v>Tarro 100ml</v>
      </c>
      <c r="E38" s="18" t="str">
        <f>VLOOKUP(C:C,'LListat referències'!A:D,4,FALSE)</f>
        <v>T029</v>
      </c>
      <c r="F38" s="49">
        <f>VLOOKUP(C:C,'LListat referències'!A:E,5,FALSE)</f>
        <v>151</v>
      </c>
      <c r="G38" s="49"/>
      <c r="H38" s="1" t="s">
        <v>7</v>
      </c>
      <c r="I38" s="25"/>
      <c r="J38" s="25">
        <v>1758</v>
      </c>
      <c r="K38" s="25">
        <v>1944</v>
      </c>
      <c r="L38" s="25">
        <v>2127</v>
      </c>
      <c r="M38" s="20">
        <v>51</v>
      </c>
      <c r="N38" s="1">
        <f>Tabla13[[#This Row],[Noche]]-Tabla13[[#This Row],[Mañana ]]</f>
        <v>369</v>
      </c>
      <c r="O38" s="58">
        <v>0.3</v>
      </c>
      <c r="P38" s="21">
        <f t="shared" si="1"/>
        <v>0.3</v>
      </c>
      <c r="Q38" s="22">
        <f>Tabla13[[#This Row],[Merma Salas A &amp; B2]]*1000/Tabla13[[#This Row],[Peso gr.]]</f>
        <v>1.9867549668874172</v>
      </c>
      <c r="R38" s="52"/>
      <c r="S38" s="24">
        <f>Tabla13[[#This Row],[Total piezas NOK]]/Tabla13[[#This Row],[Cant. Fabricada (uds)]]</f>
        <v>5.3841598018629193E-3</v>
      </c>
      <c r="T38" s="19" t="s">
        <v>816</v>
      </c>
    </row>
    <row r="39" spans="1:20" x14ac:dyDescent="0.3">
      <c r="A39" s="43">
        <v>44495</v>
      </c>
      <c r="B39" s="20" t="s">
        <v>769</v>
      </c>
      <c r="C39" s="20" t="s">
        <v>12</v>
      </c>
      <c r="D39" s="13" t="str">
        <f>VLOOKUP(C:C,'LListat referències'!A:B,2,FALSE)</f>
        <v>Tapa 50 ml mar-mar prima</v>
      </c>
      <c r="E39" s="18" t="str">
        <f>VLOOKUP(C:C,'LListat referències'!A:D,4,FALSE)</f>
        <v>#24</v>
      </c>
      <c r="F39" s="49">
        <v>20.86</v>
      </c>
      <c r="G39" s="49"/>
      <c r="H39" s="1" t="s">
        <v>15</v>
      </c>
      <c r="I39" s="25"/>
      <c r="J39" s="25">
        <v>0</v>
      </c>
      <c r="K39" s="25">
        <v>650</v>
      </c>
      <c r="L39" s="25">
        <v>1548</v>
      </c>
      <c r="M39" s="20">
        <v>45</v>
      </c>
      <c r="N39" s="1">
        <f>Tabla13[[#This Row],[Noche]]-Tabla13[[#This Row],[Mañana ]]</f>
        <v>1548</v>
      </c>
      <c r="O39" s="58">
        <v>10</v>
      </c>
      <c r="P39" s="21">
        <f t="shared" si="1"/>
        <v>10</v>
      </c>
      <c r="Q39" s="22">
        <f>Tabla13[[#This Row],[Merma Salas A &amp; B2]]*1000/Tabla13[[#This Row],[Peso gr.]]</f>
        <v>479.38638542665387</v>
      </c>
      <c r="R39" s="52"/>
      <c r="S39" s="24">
        <f>Tabla13[[#This Row],[Total piezas NOK]]/Tabla13[[#This Row],[Cant. Fabricada (uds)]]</f>
        <v>0.3096811275365981</v>
      </c>
      <c r="T39" s="19" t="s">
        <v>814</v>
      </c>
    </row>
    <row r="40" spans="1:20" x14ac:dyDescent="0.3">
      <c r="A40" s="43">
        <v>44495</v>
      </c>
      <c r="B40" s="20" t="s">
        <v>805</v>
      </c>
      <c r="C40" s="20">
        <v>1880</v>
      </c>
      <c r="D40" s="13" t="str">
        <f>VLOOKUP(C:C,'LListat referències'!A:B,2,FALSE)</f>
        <v>Int. tapa tarro rectangular 50ml</v>
      </c>
      <c r="E40" s="18" t="str">
        <f>VLOOKUP(C:C,'LListat referències'!A:D,4,FALSE)</f>
        <v/>
      </c>
      <c r="F40" s="49">
        <v>22.33</v>
      </c>
      <c r="G40" s="49"/>
      <c r="H40" s="1" t="s">
        <v>797</v>
      </c>
      <c r="I40" s="25"/>
      <c r="J40" s="25">
        <v>12644</v>
      </c>
      <c r="K40" s="25">
        <v>15326</v>
      </c>
      <c r="L40" s="25">
        <v>18286</v>
      </c>
      <c r="M40" s="20">
        <v>19</v>
      </c>
      <c r="N40" s="1">
        <f>Tabla13[[#This Row],[Noche]]-Tabla13[[#This Row],[Mañana ]]</f>
        <v>5642</v>
      </c>
      <c r="O40" s="58">
        <v>0.1</v>
      </c>
      <c r="P40" s="21">
        <f t="shared" si="1"/>
        <v>0.1</v>
      </c>
      <c r="Q40" s="22">
        <f>Tabla13[[#This Row],[Merma Salas A &amp; B2]]*1000/Tabla13[[#This Row],[Peso gr.]]</f>
        <v>4.4782803403493059</v>
      </c>
      <c r="R40" s="52"/>
      <c r="S40" s="24">
        <f>Tabla13[[#This Row],[Total piezas NOK]]/Tabla13[[#This Row],[Cant. Fabricada (uds)]]</f>
        <v>7.9373986890274827E-4</v>
      </c>
    </row>
    <row r="41" spans="1:20" x14ac:dyDescent="0.3">
      <c r="A41" s="43">
        <v>44495</v>
      </c>
      <c r="B41" s="20" t="s">
        <v>806</v>
      </c>
      <c r="C41" s="20">
        <v>1884</v>
      </c>
      <c r="D41" s="13" t="str">
        <f>VLOOKUP(C:C,'LListat referències'!A:B,2,FALSE)</f>
        <v xml:space="preserve">Cubilet 200ml bola </v>
      </c>
      <c r="E41" s="18" t="str">
        <f>VLOOKUP(C:C,'LListat referències'!A:D,4,FALSE)</f>
        <v/>
      </c>
      <c r="F41" s="49">
        <v>20.09</v>
      </c>
      <c r="G41" s="49"/>
      <c r="H41" s="1" t="s">
        <v>797</v>
      </c>
      <c r="I41" s="25"/>
      <c r="J41" s="25">
        <v>1310</v>
      </c>
      <c r="K41" s="25">
        <v>3126</v>
      </c>
      <c r="L41" s="25">
        <v>5102</v>
      </c>
      <c r="M41" s="20">
        <v>24</v>
      </c>
      <c r="N41" s="1">
        <f>Tabla13[[#This Row],[Noche]]-Tabla13[[#This Row],[Mañana ]]</f>
        <v>3792</v>
      </c>
      <c r="O41" s="58">
        <v>0.1</v>
      </c>
      <c r="P41" s="21">
        <f t="shared" si="1"/>
        <v>0.1</v>
      </c>
      <c r="Q41" s="22">
        <f>Tabla13[[#This Row],[Merma Salas A &amp; B2]]*1000/Tabla13[[#This Row],[Peso gr.]]</f>
        <v>4.9776007964161275</v>
      </c>
      <c r="R41" s="52"/>
      <c r="S41" s="24">
        <f>Tabla13[[#This Row],[Total piezas NOK]]/Tabla13[[#This Row],[Cant. Fabricada (uds)]]</f>
        <v>1.3126584378734514E-3</v>
      </c>
    </row>
    <row r="42" spans="1:20" x14ac:dyDescent="0.3">
      <c r="A42" s="43">
        <v>44495</v>
      </c>
      <c r="B42" s="20" t="s">
        <v>807</v>
      </c>
      <c r="C42" s="20">
        <v>1825</v>
      </c>
      <c r="D42" s="13" t="str">
        <f>VLOOKUP(C:C,'LListat referències'!A:B,2,FALSE)</f>
        <v>OBTURADOR 200 A/ LLENG.</v>
      </c>
      <c r="E42" s="18" t="str">
        <f>VLOOKUP(C:C,'LListat referències'!A:D,4,FALSE)</f>
        <v/>
      </c>
      <c r="F42" s="49">
        <f>VLOOKUP(C:C,'LListat referències'!A:E,5,FALSE)</f>
        <v>2.73</v>
      </c>
      <c r="G42" s="49"/>
      <c r="H42" s="1" t="s">
        <v>797</v>
      </c>
      <c r="I42" s="25"/>
      <c r="J42" s="25">
        <v>19122</v>
      </c>
      <c r="K42" s="25">
        <v>22140</v>
      </c>
      <c r="L42" s="25">
        <v>25006</v>
      </c>
      <c r="M42" s="20">
        <v>48</v>
      </c>
      <c r="N42" s="1">
        <f>Tabla13[[#This Row],[Noche]]-Tabla13[[#This Row],[Mañana ]]</f>
        <v>5884</v>
      </c>
      <c r="O42" s="58">
        <v>0.1</v>
      </c>
      <c r="P42" s="21">
        <f t="shared" si="1"/>
        <v>0.1</v>
      </c>
      <c r="Q42" s="22">
        <f>Tabla13[[#This Row],[Merma Salas A &amp; B2]]*1000/Tabla13[[#This Row],[Peso gr.]]</f>
        <v>36.630036630036628</v>
      </c>
      <c r="R42" s="52"/>
      <c r="S42" s="24">
        <f>Tabla13[[#This Row],[Total piezas NOK]]/Tabla13[[#This Row],[Cant. Fabricada (uds)]]</f>
        <v>6.2253631254311059E-3</v>
      </c>
    </row>
    <row r="43" spans="1:20" x14ac:dyDescent="0.3">
      <c r="A43" s="43">
        <v>44495</v>
      </c>
      <c r="B43" s="20">
        <v>20135</v>
      </c>
      <c r="C43" s="20">
        <v>1997</v>
      </c>
      <c r="D43" s="13">
        <f>VLOOKUP(C:C,'LListat referències'!A:B,2,FALSE)</f>
        <v>0</v>
      </c>
      <c r="E43" s="18">
        <f>VLOOKUP(C:C,'LListat referències'!A:D,4,FALSE)</f>
        <v>0</v>
      </c>
      <c r="F43" s="49">
        <v>2.65</v>
      </c>
      <c r="G43" s="49"/>
      <c r="H43" s="1" t="s">
        <v>797</v>
      </c>
      <c r="I43" s="25"/>
      <c r="J43" s="25">
        <v>739389</v>
      </c>
      <c r="K43" s="25">
        <v>743331</v>
      </c>
      <c r="L43" s="25">
        <v>747681</v>
      </c>
      <c r="M43" s="20">
        <v>9</v>
      </c>
      <c r="N43" s="1">
        <f>Tabla13[[#This Row],[Noche]]-Tabla13[[#This Row],[Mañana ]]</f>
        <v>8292</v>
      </c>
      <c r="O43" s="58">
        <v>0.01</v>
      </c>
      <c r="P43" s="21">
        <f t="shared" si="1"/>
        <v>0.01</v>
      </c>
      <c r="Q43" s="22">
        <f>Tabla13[[#This Row],[Merma Salas A &amp; B2]]*1000/Tabla13[[#This Row],[Peso gr.]]</f>
        <v>3.7735849056603774</v>
      </c>
      <c r="R43" s="52"/>
      <c r="S43" s="24">
        <f>Tabla13[[#This Row],[Total piezas NOK]]/Tabla13[[#This Row],[Cant. Fabricada (uds)]]</f>
        <v>4.5508742229382265E-4</v>
      </c>
    </row>
    <row r="44" spans="1:20" x14ac:dyDescent="0.3">
      <c r="A44" s="43">
        <v>44496</v>
      </c>
      <c r="B44" s="20" t="s">
        <v>759</v>
      </c>
      <c r="C44" s="20" t="s">
        <v>513</v>
      </c>
      <c r="D44" s="13" t="str">
        <f>VLOOKUP(C:C,'LListat referències'!A:B,2,FALSE)</f>
        <v>Tarro 150 ml</v>
      </c>
      <c r="E44" s="18" t="str">
        <f>VLOOKUP(C:C,'LListat referències'!A:D,4,FALSE)</f>
        <v>T057</v>
      </c>
      <c r="F44" s="49">
        <v>168</v>
      </c>
      <c r="G44" s="49"/>
      <c r="H44" s="1" t="s">
        <v>15</v>
      </c>
      <c r="I44" s="25"/>
      <c r="J44" s="25">
        <v>16244</v>
      </c>
      <c r="K44" s="25">
        <v>16720</v>
      </c>
      <c r="L44" s="25">
        <v>17280</v>
      </c>
      <c r="M44" s="20">
        <v>43</v>
      </c>
      <c r="N44" s="1">
        <f>Tabla13[[#This Row],[Noche]]-Tabla13[[#This Row],[Mañana ]]</f>
        <v>1036</v>
      </c>
      <c r="O44" s="58">
        <v>2.5</v>
      </c>
      <c r="P44" s="21">
        <f t="shared" si="1"/>
        <v>2.5</v>
      </c>
      <c r="Q44" s="22">
        <f>Tabla13[[#This Row],[Merma Salas A &amp; B2]]*1000/Tabla13[[#This Row],[Peso gr.]]</f>
        <v>14.880952380952381</v>
      </c>
      <c r="R44" s="52"/>
      <c r="S44" s="24">
        <f>Tabla13[[#This Row],[Total piezas NOK]]/Tabla13[[#This Row],[Cant. Fabricada (uds)]]</f>
        <v>1.4363853649567935E-2</v>
      </c>
    </row>
    <row r="45" spans="1:20" ht="14.4" customHeight="1" x14ac:dyDescent="0.3">
      <c r="A45" s="43">
        <v>44496</v>
      </c>
      <c r="B45" s="20" t="s">
        <v>767</v>
      </c>
      <c r="C45" s="20">
        <v>1790</v>
      </c>
      <c r="D45" s="13" t="str">
        <f>VLOOKUP(C:C,'LListat referències'!A:B,2,FALSE)</f>
        <v>Tarro 100ml</v>
      </c>
      <c r="E45" s="18" t="str">
        <f>VLOOKUP(C:C,'LListat referències'!A:D,4,FALSE)</f>
        <v>T029</v>
      </c>
      <c r="F45" s="49">
        <f>VLOOKUP(C:C,'LListat referències'!A:E,5,FALSE)</f>
        <v>151</v>
      </c>
      <c r="G45" s="49"/>
      <c r="H45" s="1" t="s">
        <v>7</v>
      </c>
      <c r="I45" s="25"/>
      <c r="J45" s="25">
        <v>2127</v>
      </c>
      <c r="K45" s="25">
        <v>2550</v>
      </c>
      <c r="L45" s="25">
        <v>2783</v>
      </c>
      <c r="M45" s="20">
        <v>51</v>
      </c>
      <c r="N45" s="1">
        <f>Tabla13[[#This Row],[Noche]]-Tabla13[[#This Row],[Mañana ]]</f>
        <v>656</v>
      </c>
      <c r="O45" s="58">
        <v>0.2</v>
      </c>
      <c r="P45" s="21">
        <f t="shared" si="1"/>
        <v>0.2</v>
      </c>
      <c r="Q45" s="22">
        <f>Tabla13[[#This Row],[Merma Salas A &amp; B2]]*1000/Tabla13[[#This Row],[Peso gr.]]</f>
        <v>1.3245033112582782</v>
      </c>
      <c r="R45" s="52"/>
      <c r="S45" s="24">
        <f>Tabla13[[#This Row],[Total piezas NOK]]/Tabla13[[#This Row],[Cant. Fabricada (uds)]]</f>
        <v>2.0190599256985947E-3</v>
      </c>
    </row>
    <row r="46" spans="1:20" x14ac:dyDescent="0.3">
      <c r="A46" s="43">
        <v>44496</v>
      </c>
      <c r="B46" s="20" t="s">
        <v>756</v>
      </c>
      <c r="C46" s="20" t="s">
        <v>644</v>
      </c>
      <c r="D46" s="13" t="str">
        <f>VLOOKUP(C:C,'LListat referències'!A:B,2,FALSE)</f>
        <v>Tarro 200ml Quadrat estret (Tapa Rodona)</v>
      </c>
      <c r="E46" s="18">
        <f>VLOOKUP(C:C,'LListat referències'!A:D,4,FALSE)</f>
        <v>0</v>
      </c>
      <c r="F46" s="49">
        <f>VLOOKUP(C:C,'LListat referències'!A:E,5,FALSE)</f>
        <v>220.84</v>
      </c>
      <c r="G46" s="49"/>
      <c r="H46" s="1" t="s">
        <v>7</v>
      </c>
      <c r="I46" s="25"/>
      <c r="J46" s="25">
        <v>15473</v>
      </c>
      <c r="K46" s="25">
        <v>15950</v>
      </c>
      <c r="L46" s="25">
        <v>16192</v>
      </c>
      <c r="M46" s="20">
        <v>41</v>
      </c>
      <c r="N46" s="1">
        <f>Tabla13[[#This Row],[Noche]]-Tabla13[[#This Row],[Mañana ]]</f>
        <v>719</v>
      </c>
      <c r="O46" s="58">
        <v>10</v>
      </c>
      <c r="P46" s="21">
        <f t="shared" si="1"/>
        <v>10</v>
      </c>
      <c r="Q46" s="22">
        <f>Tabla13[[#This Row],[Merma Salas A &amp; B2]]*1000/Tabla13[[#This Row],[Peso gr.]]</f>
        <v>45.28165187466039</v>
      </c>
      <c r="R46" s="52"/>
      <c r="S46" s="24">
        <f>Tabla13[[#This Row],[Total piezas NOK]]/Tabla13[[#This Row],[Cant. Fabricada (uds)]]</f>
        <v>6.2978653511349639E-2</v>
      </c>
    </row>
    <row r="47" spans="1:20" s="20" customFormat="1" ht="28.8" x14ac:dyDescent="0.3">
      <c r="A47" s="43">
        <v>44496</v>
      </c>
      <c r="B47" s="20" t="s">
        <v>770</v>
      </c>
      <c r="C47" s="20" t="s">
        <v>438</v>
      </c>
      <c r="D47" s="13" t="str">
        <f>VLOOKUP(C:C,'LListat referències'!A:B,2,FALSE)</f>
        <v>Tapa 7 ml gruixuda</v>
      </c>
      <c r="E47" s="18" t="str">
        <f>VLOOKUP(C:C,'LListat referències'!A:D,4,FALSE)</f>
        <v>#6(7 ml)</v>
      </c>
      <c r="F47" s="49">
        <f>VLOOKUP(C:C,'LListat referències'!A:E,5,FALSE)</f>
        <v>3.3</v>
      </c>
      <c r="G47" s="49"/>
      <c r="H47" s="20" t="s">
        <v>763</v>
      </c>
      <c r="I47" s="25"/>
      <c r="J47" s="25">
        <v>4944</v>
      </c>
      <c r="K47" s="25">
        <v>7860</v>
      </c>
      <c r="L47" s="25">
        <v>7860</v>
      </c>
      <c r="M47" s="20">
        <v>47</v>
      </c>
      <c r="N47" s="20">
        <f>Tabla13[[#This Row],[Noche]]-Tabla13[[#This Row],[Mañana ]]</f>
        <v>2916</v>
      </c>
      <c r="O47" s="59">
        <v>9.5</v>
      </c>
      <c r="P47" s="21">
        <f t="shared" si="1"/>
        <v>9.5</v>
      </c>
      <c r="Q47" s="22">
        <f>Tabla13[[#This Row],[Merma Salas A &amp; B2]]*1000/Tabla13[[#This Row],[Peso gr.]]</f>
        <v>2878.787878787879</v>
      </c>
      <c r="R47" s="52">
        <v>9.5</v>
      </c>
      <c r="S47" s="24">
        <f>Tabla13[[#This Row],[Total piezas NOK]]/Tabla13[[#This Row],[Cant. Fabricada (uds)]]</f>
        <v>0.98723864155962926</v>
      </c>
      <c r="T47" s="51" t="s">
        <v>818</v>
      </c>
    </row>
    <row r="48" spans="1:20" ht="14.4" customHeight="1" x14ac:dyDescent="0.3">
      <c r="A48" s="43">
        <v>44496</v>
      </c>
      <c r="B48" s="20" t="s">
        <v>771</v>
      </c>
      <c r="C48" s="20" t="s">
        <v>615</v>
      </c>
      <c r="D48" s="13" t="str">
        <f>VLOOKUP(C:C,'LListat referències'!A:B,2,FALSE)</f>
        <v>Tarro 50ml Tinter Quadrat</v>
      </c>
      <c r="E48" s="18" t="str">
        <f>VLOOKUP(C:C,'LListat referències'!A:D,4,FALSE)</f>
        <v>T116</v>
      </c>
      <c r="F48" s="49">
        <v>121.5</v>
      </c>
      <c r="G48" s="49"/>
      <c r="H48" s="1" t="s">
        <v>8</v>
      </c>
      <c r="I48" s="25"/>
      <c r="J48" s="25">
        <v>0</v>
      </c>
      <c r="K48" s="25">
        <v>422</v>
      </c>
      <c r="L48" s="25">
        <v>862</v>
      </c>
      <c r="M48" s="20">
        <v>30</v>
      </c>
      <c r="N48" s="1">
        <f>Tabla13[[#This Row],[Noche]]-Tabla13[[#This Row],[Mañana ]]</f>
        <v>862</v>
      </c>
      <c r="O48" s="58">
        <v>20</v>
      </c>
      <c r="P48" s="21">
        <f t="shared" si="1"/>
        <v>20</v>
      </c>
      <c r="Q48" s="22">
        <f>Tabla13[[#This Row],[Merma Salas A &amp; B2]]*1000/Tabla13[[#This Row],[Peso gr.]]</f>
        <v>164.6090534979424</v>
      </c>
      <c r="R48" s="52"/>
      <c r="S48" s="24">
        <f>Tabla13[[#This Row],[Total piezas NOK]]/Tabla13[[#This Row],[Cant. Fabricada (uds)]]</f>
        <v>0.19096177899993316</v>
      </c>
      <c r="T48" s="19" t="s">
        <v>803</v>
      </c>
    </row>
    <row r="49" spans="1:20" x14ac:dyDescent="0.3">
      <c r="A49" s="43">
        <v>44496</v>
      </c>
      <c r="B49" s="20" t="s">
        <v>801</v>
      </c>
      <c r="C49" s="20">
        <v>1597</v>
      </c>
      <c r="D49" s="13" t="e">
        <f>VLOOKUP(C:C,'LListat referències'!A:B,2,FALSE)</f>
        <v>#N/A</v>
      </c>
      <c r="E49" s="18" t="e">
        <f>VLOOKUP(C:C,'LListat referències'!A:D,4,FALSE)</f>
        <v>#N/A</v>
      </c>
      <c r="F49" s="49">
        <v>65</v>
      </c>
      <c r="G49" s="49"/>
      <c r="H49" s="1" t="s">
        <v>797</v>
      </c>
      <c r="I49" s="25"/>
      <c r="J49" s="25">
        <v>0</v>
      </c>
      <c r="K49" s="25"/>
      <c r="L49" s="25">
        <v>100</v>
      </c>
      <c r="M49" s="20">
        <v>31</v>
      </c>
      <c r="N49" s="1">
        <f>Tabla13[[#This Row],[Noche]]-Tabla13[[#This Row],[Mañana ]]</f>
        <v>100</v>
      </c>
      <c r="O49" s="58">
        <v>0.1</v>
      </c>
      <c r="P49" s="21">
        <f t="shared" si="1"/>
        <v>0.1</v>
      </c>
      <c r="Q49" s="22">
        <f>Tabla13[[#This Row],[Merma Salas A &amp; B2]]*1000/Tabla13[[#This Row],[Peso gr.]]</f>
        <v>1.5384615384615385</v>
      </c>
      <c r="R49" s="52"/>
      <c r="S49" s="24">
        <f>Tabla13[[#This Row],[Total piezas NOK]]/Tabla13[[#This Row],[Cant. Fabricada (uds)]]</f>
        <v>1.5384615384615385E-2</v>
      </c>
    </row>
    <row r="50" spans="1:20" x14ac:dyDescent="0.3">
      <c r="A50" s="43">
        <v>44496</v>
      </c>
      <c r="B50" s="20" t="s">
        <v>805</v>
      </c>
      <c r="C50" s="20">
        <v>1880</v>
      </c>
      <c r="D50" s="13" t="str">
        <f>VLOOKUP(C:C,'LListat referències'!A:B,2,FALSE)</f>
        <v>Int. tapa tarro rectangular 50ml</v>
      </c>
      <c r="E50" s="18" t="str">
        <f>VLOOKUP(C:C,'LListat referències'!A:D,4,FALSE)</f>
        <v/>
      </c>
      <c r="F50" s="49">
        <f>VLOOKUP(C:C,'LListat referències'!A:E,5,FALSE)</f>
        <v>22.33</v>
      </c>
      <c r="G50" s="49"/>
      <c r="H50" s="1" t="s">
        <v>797</v>
      </c>
      <c r="I50" s="25"/>
      <c r="J50" s="25">
        <v>21224</v>
      </c>
      <c r="K50" s="25">
        <v>21434</v>
      </c>
      <c r="L50" s="25">
        <v>21434</v>
      </c>
      <c r="M50" s="20">
        <v>19</v>
      </c>
      <c r="N50" s="1">
        <f>Tabla13[[#This Row],[Noche]]-Tabla13[[#This Row],[Mañana ]]</f>
        <v>210</v>
      </c>
      <c r="O50" s="58">
        <v>0.01</v>
      </c>
      <c r="P50" s="21">
        <f t="shared" si="1"/>
        <v>0.01</v>
      </c>
      <c r="Q50" s="22">
        <f>Tabla13[[#This Row],[Merma Salas A &amp; B2]]*1000/Tabla13[[#This Row],[Peso gr.]]</f>
        <v>0.4478280340349306</v>
      </c>
      <c r="R50" s="52"/>
      <c r="S50" s="24">
        <f>Tabla13[[#This Row],[Total piezas NOK]]/Tabla13[[#This Row],[Cant. Fabricada (uds)]]</f>
        <v>2.1325144477853837E-3</v>
      </c>
    </row>
    <row r="51" spans="1:20" x14ac:dyDescent="0.3">
      <c r="A51" s="43">
        <v>44496</v>
      </c>
      <c r="B51" s="20" t="s">
        <v>806</v>
      </c>
      <c r="C51" s="20">
        <v>1884</v>
      </c>
      <c r="D51" s="13" t="str">
        <f>VLOOKUP(C:C,'LListat referències'!A:B,2,FALSE)</f>
        <v xml:space="preserve">Cubilet 200ml bola </v>
      </c>
      <c r="E51" s="18" t="str">
        <f>VLOOKUP(C:C,'LListat referències'!A:D,4,FALSE)</f>
        <v/>
      </c>
      <c r="F51" s="49">
        <f>VLOOKUP(C:C,'LListat referències'!A:E,5,FALSE)</f>
        <v>20.09</v>
      </c>
      <c r="G51" s="49"/>
      <c r="H51" s="1" t="s">
        <v>797</v>
      </c>
      <c r="I51" s="25"/>
      <c r="J51" s="25">
        <v>0</v>
      </c>
      <c r="K51" s="25">
        <v>0</v>
      </c>
      <c r="L51" s="25">
        <v>5922</v>
      </c>
      <c r="M51" s="20">
        <v>22</v>
      </c>
      <c r="N51" s="1">
        <f>Tabla13[[#This Row],[Noche]]-Tabla13[[#This Row],[Mañana ]]</f>
        <v>5922</v>
      </c>
      <c r="O51" s="58">
        <v>0.1</v>
      </c>
      <c r="P51" s="21">
        <f t="shared" si="1"/>
        <v>0.1</v>
      </c>
      <c r="Q51" s="22">
        <f>Tabla13[[#This Row],[Merma Salas A &amp; B2]]*1000/Tabla13[[#This Row],[Peso gr.]]</f>
        <v>4.9776007964161275</v>
      </c>
      <c r="R51" s="52"/>
      <c r="S51" s="24">
        <f>Tabla13[[#This Row],[Total piezas NOK]]/Tabla13[[#This Row],[Cant. Fabricada (uds)]]</f>
        <v>8.4052698352180477E-4</v>
      </c>
    </row>
    <row r="52" spans="1:20" x14ac:dyDescent="0.3">
      <c r="A52" s="43">
        <v>44496</v>
      </c>
      <c r="B52" s="20" t="s">
        <v>807</v>
      </c>
      <c r="C52" s="20">
        <v>1825</v>
      </c>
      <c r="D52" s="13" t="str">
        <f>VLOOKUP(C:C,'LListat referències'!A:B,2,FALSE)</f>
        <v>OBTURADOR 200 A/ LLENG.</v>
      </c>
      <c r="E52" s="18" t="str">
        <f>VLOOKUP(C:C,'LListat referències'!A:D,4,FALSE)</f>
        <v/>
      </c>
      <c r="F52" s="49">
        <f>VLOOKUP(C:C,'LListat referències'!A:E,5,FALSE)</f>
        <v>2.73</v>
      </c>
      <c r="G52" s="49"/>
      <c r="H52" s="1" t="s">
        <v>797</v>
      </c>
      <c r="I52" s="25"/>
      <c r="J52" s="25">
        <v>28222</v>
      </c>
      <c r="K52" s="25">
        <v>31180</v>
      </c>
      <c r="L52" s="25">
        <v>34336</v>
      </c>
      <c r="M52" s="20">
        <v>48</v>
      </c>
      <c r="N52" s="1">
        <f>Tabla13[[#This Row],[Noche]]-Tabla13[[#This Row],[Mañana ]]</f>
        <v>6114</v>
      </c>
      <c r="O52" s="58">
        <v>0.01</v>
      </c>
      <c r="P52" s="21">
        <f t="shared" si="1"/>
        <v>0.01</v>
      </c>
      <c r="Q52" s="22">
        <f>Tabla13[[#This Row],[Merma Salas A &amp; B2]]*1000/Tabla13[[#This Row],[Peso gr.]]</f>
        <v>3.6630036630036629</v>
      </c>
      <c r="R52" s="52"/>
      <c r="S52" s="24">
        <f>Tabla13[[#This Row],[Total piezas NOK]]/Tabla13[[#This Row],[Cant. Fabricada (uds)]]</f>
        <v>5.9911738027537827E-4</v>
      </c>
    </row>
    <row r="53" spans="1:20" x14ac:dyDescent="0.3">
      <c r="A53" s="43">
        <v>44496</v>
      </c>
      <c r="B53" s="20">
        <v>20135</v>
      </c>
      <c r="C53" s="20">
        <v>1997</v>
      </c>
      <c r="D53" s="13">
        <f>VLOOKUP(C:C,'LListat referències'!A:B,2,FALSE)</f>
        <v>0</v>
      </c>
      <c r="E53" s="18">
        <f>VLOOKUP(C:C,'LListat referències'!A:D,4,FALSE)</f>
        <v>0</v>
      </c>
      <c r="F53" s="49">
        <v>2.65</v>
      </c>
      <c r="G53" s="49"/>
      <c r="H53" s="1" t="s">
        <v>797</v>
      </c>
      <c r="I53" s="25"/>
      <c r="J53" s="25">
        <v>752583</v>
      </c>
      <c r="K53" s="25"/>
      <c r="L53" s="25">
        <v>756399</v>
      </c>
      <c r="M53" s="20">
        <v>9</v>
      </c>
      <c r="N53" s="1">
        <f>Tabla13[[#This Row],[Noche]]-Tabla13[[#This Row],[Mañana ]]</f>
        <v>3816</v>
      </c>
      <c r="O53" s="58">
        <v>0.01</v>
      </c>
      <c r="P53" s="21">
        <f t="shared" si="1"/>
        <v>0.01</v>
      </c>
      <c r="Q53" s="22">
        <f>Tabla13[[#This Row],[Merma Salas A &amp; B2]]*1000/Tabla13[[#This Row],[Peso gr.]]</f>
        <v>3.7735849056603774</v>
      </c>
      <c r="R53" s="52"/>
      <c r="S53" s="24">
        <f>Tabla13[[#This Row],[Total piezas NOK]]/Tabla13[[#This Row],[Cant. Fabricada (uds)]]</f>
        <v>9.8888493334915555E-4</v>
      </c>
    </row>
    <row r="54" spans="1:20" x14ac:dyDescent="0.3">
      <c r="A54" s="43">
        <v>44496</v>
      </c>
      <c r="B54" s="20" t="s">
        <v>811</v>
      </c>
      <c r="C54" s="20" t="s">
        <v>579</v>
      </c>
      <c r="D54" s="13" t="str">
        <f>VLOOKUP(C:C,'LListat referències'!A:B,2,FALSE)</f>
        <v>Tapeta difusor 30/50ml</v>
      </c>
      <c r="E54" s="18" t="str">
        <f>VLOOKUP(C:C,'LListat referències'!A:D,4,FALSE)</f>
        <v/>
      </c>
      <c r="F54" s="49">
        <v>2.95</v>
      </c>
      <c r="G54" s="49"/>
      <c r="H54" s="1" t="s">
        <v>7</v>
      </c>
      <c r="I54" s="25"/>
      <c r="J54" s="25">
        <v>87</v>
      </c>
      <c r="K54" s="25">
        <v>823</v>
      </c>
      <c r="L54" s="25">
        <v>1342</v>
      </c>
      <c r="M54" s="20">
        <v>9</v>
      </c>
      <c r="N54" s="1">
        <f>Tabla13[[#This Row],[Noche]]-Tabla13[[#This Row],[Mañana ]]</f>
        <v>1255</v>
      </c>
      <c r="O54" s="58">
        <v>0.01</v>
      </c>
      <c r="P54" s="21">
        <f t="shared" si="1"/>
        <v>0.01</v>
      </c>
      <c r="Q54" s="22">
        <f>Tabla13[[#This Row],[Merma Salas A &amp; B2]]*1000/Tabla13[[#This Row],[Peso gr.]]</f>
        <v>3.3898305084745761</v>
      </c>
      <c r="R54" s="52"/>
      <c r="S54" s="24">
        <f>Tabla13[[#This Row],[Total piezas NOK]]/Tabla13[[#This Row],[Cant. Fabricada (uds)]]</f>
        <v>2.7010601661152001E-3</v>
      </c>
    </row>
    <row r="55" spans="1:20" x14ac:dyDescent="0.3">
      <c r="A55" s="43">
        <v>44497</v>
      </c>
      <c r="B55" s="20" t="s">
        <v>771</v>
      </c>
      <c r="C55" s="20" t="s">
        <v>615</v>
      </c>
      <c r="D55" s="13" t="str">
        <f>VLOOKUP(C:C,'LListat referències'!A:B,2,FALSE)</f>
        <v>Tarro 50ml Tinter Quadrat</v>
      </c>
      <c r="E55" s="18" t="str">
        <f>VLOOKUP(C:C,'LListat referències'!A:D,4,FALSE)</f>
        <v>T116</v>
      </c>
      <c r="F55" s="49">
        <v>121.5</v>
      </c>
      <c r="G55" s="49"/>
      <c r="H55" s="1" t="s">
        <v>8</v>
      </c>
      <c r="I55" s="25"/>
      <c r="J55" s="25">
        <v>1264</v>
      </c>
      <c r="K55" s="25">
        <v>1526</v>
      </c>
      <c r="L55" s="25">
        <v>1956</v>
      </c>
      <c r="M55" s="20">
        <v>30</v>
      </c>
      <c r="N55" s="1">
        <f>Tabla13[[#This Row],[Noche]]-Tabla13[[#This Row],[Mañana ]]</f>
        <v>692</v>
      </c>
      <c r="O55" s="58">
        <v>10</v>
      </c>
      <c r="P55" s="21">
        <f t="shared" si="1"/>
        <v>10</v>
      </c>
      <c r="Q55" s="22">
        <f>Tabla13[[#This Row],[Merma Salas A &amp; B2]]*1000/Tabla13[[#This Row],[Peso gr.]]</f>
        <v>82.304526748971199</v>
      </c>
      <c r="R55" s="52"/>
      <c r="S55" s="24">
        <f>Tabla13[[#This Row],[Total piezas NOK]]/Tabla13[[#This Row],[Cant. Fabricada (uds)]]</f>
        <v>0.11893717738290635</v>
      </c>
      <c r="T55" s="19" t="s">
        <v>795</v>
      </c>
    </row>
    <row r="56" spans="1:20" x14ac:dyDescent="0.3">
      <c r="A56" s="43">
        <v>44497</v>
      </c>
      <c r="B56" s="20" t="s">
        <v>759</v>
      </c>
      <c r="C56" s="20" t="s">
        <v>513</v>
      </c>
      <c r="D56" s="13" t="str">
        <f>VLOOKUP(C:C,'LListat referències'!A:B,2,FALSE)</f>
        <v>Tarro 150 ml</v>
      </c>
      <c r="E56" s="18" t="str">
        <f>VLOOKUP(C:C,'LListat referències'!A:D,4,FALSE)</f>
        <v>T057</v>
      </c>
      <c r="F56" s="49">
        <v>168</v>
      </c>
      <c r="G56" s="49"/>
      <c r="H56" s="1" t="s">
        <v>15</v>
      </c>
      <c r="I56" s="25"/>
      <c r="J56" s="25">
        <v>17832</v>
      </c>
      <c r="K56" s="25">
        <v>18352</v>
      </c>
      <c r="L56" s="25">
        <v>18914</v>
      </c>
      <c r="M56" s="20">
        <v>43</v>
      </c>
      <c r="N56" s="1">
        <f>Tabla13[[#This Row],[Noche]]-Tabla13[[#This Row],[Mañana ]]</f>
        <v>1082</v>
      </c>
      <c r="O56" s="58">
        <v>2.5</v>
      </c>
      <c r="P56" s="21">
        <f t="shared" si="1"/>
        <v>2.5</v>
      </c>
      <c r="Q56" s="22">
        <f>Tabla13[[#This Row],[Merma Salas A &amp; B2]]*1000/Tabla13[[#This Row],[Peso gr.]]</f>
        <v>14.880952380952381</v>
      </c>
      <c r="R56" s="52"/>
      <c r="S56" s="24">
        <f>Tabla13[[#This Row],[Total piezas NOK]]/Tabla13[[#This Row],[Cant. Fabricada (uds)]]</f>
        <v>1.3753190740251739E-2</v>
      </c>
    </row>
    <row r="57" spans="1:20" x14ac:dyDescent="0.3">
      <c r="A57" s="43">
        <v>44497</v>
      </c>
      <c r="B57" s="20" t="s">
        <v>765</v>
      </c>
      <c r="C57" s="20">
        <v>1861</v>
      </c>
      <c r="D57" s="13" t="str">
        <f>VLOOKUP(C:C,'LListat referències'!A:B,2,FALSE)</f>
        <v>Tarro 50ml Standard 8 unitats</v>
      </c>
      <c r="E57" s="18" t="str">
        <f>VLOOKUP(C:C,'LListat referències'!A:D,4,FALSE)</f>
        <v>T022</v>
      </c>
      <c r="F57" s="49">
        <f>VLOOKUP(C:C,'LListat referències'!A:E,5,FALSE)</f>
        <v>92</v>
      </c>
      <c r="G57" s="49"/>
      <c r="H57" s="1" t="s">
        <v>15</v>
      </c>
      <c r="I57" s="25"/>
      <c r="J57" s="25">
        <v>0</v>
      </c>
      <c r="K57" s="25">
        <v>1792</v>
      </c>
      <c r="L57" s="25">
        <v>3912</v>
      </c>
      <c r="M57" s="20">
        <v>40</v>
      </c>
      <c r="N57" s="1">
        <f>Tabla13[[#This Row],[Noche]]-Tabla13[[#This Row],[Mañana ]]</f>
        <v>3912</v>
      </c>
      <c r="O57" s="58">
        <v>55</v>
      </c>
      <c r="P57" s="21">
        <f t="shared" si="1"/>
        <v>55</v>
      </c>
      <c r="Q57" s="22">
        <f>Tabla13[[#This Row],[Merma Salas A &amp; B2]]*1000/Tabla13[[#This Row],[Peso gr.]]</f>
        <v>597.82608695652175</v>
      </c>
      <c r="R57" s="52"/>
      <c r="S57" s="24">
        <f>Tabla13[[#This Row],[Total piezas NOK]]/Tabla13[[#This Row],[Cant. Fabricada (uds)]]</f>
        <v>0.15281852938561394</v>
      </c>
      <c r="T57" s="19" t="s">
        <v>785</v>
      </c>
    </row>
    <row r="58" spans="1:20" x14ac:dyDescent="0.3">
      <c r="A58" s="43">
        <v>44497</v>
      </c>
      <c r="B58" s="20" t="s">
        <v>772</v>
      </c>
      <c r="C58" s="20">
        <v>1897</v>
      </c>
      <c r="D58" s="13" t="str">
        <f>VLOOKUP(C:C,'LListat referències'!A:B,2,FALSE)</f>
        <v>Tapa 50 cc mar mar (6 unit)</v>
      </c>
      <c r="E58" s="18" t="str">
        <f>VLOOKUP(C:C,'LListat referències'!A:D,4,FALSE)</f>
        <v>#6(50 ml)</v>
      </c>
      <c r="F58" s="49">
        <f>VLOOKUP(C:C,'LListat referències'!A:E,5,FALSE)</f>
        <v>32</v>
      </c>
      <c r="G58" s="49"/>
      <c r="H58" s="1" t="s">
        <v>8</v>
      </c>
      <c r="I58" s="25"/>
      <c r="J58" s="25">
        <v>582</v>
      </c>
      <c r="K58" s="25">
        <v>2580</v>
      </c>
      <c r="L58" s="25">
        <v>4770</v>
      </c>
      <c r="M58" s="20">
        <v>52</v>
      </c>
      <c r="N58" s="1">
        <f>Tabla13[[#This Row],[Noche]]-Tabla13[[#This Row],[Mañana ]]</f>
        <v>4188</v>
      </c>
      <c r="O58" s="58">
        <v>120</v>
      </c>
      <c r="P58" s="21">
        <f t="shared" si="1"/>
        <v>120</v>
      </c>
      <c r="Q58" s="22">
        <f>Tabla13[[#This Row],[Merma Salas A &amp; B2]]*1000/Tabla13[[#This Row],[Peso gr.]]</f>
        <v>3750</v>
      </c>
      <c r="R58" s="52">
        <v>120</v>
      </c>
      <c r="S58" s="24">
        <f>Tabla13[[#This Row],[Total piezas NOK]]/Tabla13[[#This Row],[Cant. Fabricada (uds)]]</f>
        <v>0.89541547277936961</v>
      </c>
      <c r="T58" s="19" t="s">
        <v>792</v>
      </c>
    </row>
    <row r="59" spans="1:20" x14ac:dyDescent="0.3">
      <c r="A59" s="43">
        <v>44497</v>
      </c>
      <c r="B59" s="20" t="s">
        <v>807</v>
      </c>
      <c r="C59" s="20">
        <v>1825</v>
      </c>
      <c r="D59" s="13" t="str">
        <f>VLOOKUP(C:C,'LListat referències'!A:B,2,FALSE)</f>
        <v>OBTURADOR 200 A/ LLENG.</v>
      </c>
      <c r="E59" s="18" t="str">
        <f>VLOOKUP(C:C,'LListat referències'!A:D,4,FALSE)</f>
        <v/>
      </c>
      <c r="F59" s="49">
        <f>VLOOKUP(C:C,'LListat referències'!A:E,5,FALSE)</f>
        <v>2.73</v>
      </c>
      <c r="G59" s="49"/>
      <c r="H59" s="1" t="s">
        <v>797</v>
      </c>
      <c r="I59" s="25"/>
      <c r="J59" s="25">
        <v>37496</v>
      </c>
      <c r="K59" s="25">
        <v>38666</v>
      </c>
      <c r="L59" s="25">
        <v>38666</v>
      </c>
      <c r="M59" s="20">
        <v>48</v>
      </c>
      <c r="N59" s="1">
        <f>Tabla13[[#This Row],[Noche]]-Tabla13[[#This Row],[Mañana ]]</f>
        <v>1170</v>
      </c>
      <c r="O59" s="58">
        <v>0.01</v>
      </c>
      <c r="P59" s="21">
        <f t="shared" si="1"/>
        <v>0.01</v>
      </c>
      <c r="Q59" s="22">
        <f>Tabla13[[#This Row],[Merma Salas A &amp; B2]]*1000/Tabla13[[#This Row],[Peso gr.]]</f>
        <v>3.6630036630036629</v>
      </c>
      <c r="R59" s="52"/>
      <c r="S59" s="24">
        <f>Tabla13[[#This Row],[Total piezas NOK]]/Tabla13[[#This Row],[Cant. Fabricada (uds)]]</f>
        <v>3.1307723615415922E-3</v>
      </c>
    </row>
    <row r="60" spans="1:20" x14ac:dyDescent="0.3">
      <c r="A60" s="43">
        <v>44497</v>
      </c>
      <c r="B60" s="20" t="s">
        <v>808</v>
      </c>
      <c r="C60" s="20">
        <v>1825</v>
      </c>
      <c r="D60" s="13" t="str">
        <f>VLOOKUP(C:C,'LListat referències'!A:B,2,FALSE)</f>
        <v>OBTURADOR 200 A/ LLENG.</v>
      </c>
      <c r="E60" s="18" t="str">
        <f>VLOOKUP(C:C,'LListat referències'!A:D,4,FALSE)</f>
        <v/>
      </c>
      <c r="F60" s="49">
        <f>VLOOKUP(C:C,'LListat referències'!A:E,5,FALSE)</f>
        <v>2.73</v>
      </c>
      <c r="G60" s="49"/>
      <c r="H60" s="1" t="s">
        <v>797</v>
      </c>
      <c r="I60" s="25"/>
      <c r="J60" s="25">
        <v>0</v>
      </c>
      <c r="K60" s="25">
        <v>1508</v>
      </c>
      <c r="L60" s="25">
        <v>4646</v>
      </c>
      <c r="M60" s="20">
        <v>48</v>
      </c>
      <c r="N60" s="1">
        <f>Tabla13[[#This Row],[Noche]]-Tabla13[[#This Row],[Mañana ]]</f>
        <v>4646</v>
      </c>
      <c r="O60" s="58">
        <v>0.01</v>
      </c>
      <c r="P60" s="21">
        <f t="shared" si="1"/>
        <v>0.01</v>
      </c>
      <c r="Q60" s="22">
        <f>Tabla13[[#This Row],[Merma Salas A &amp; B2]]*1000/Tabla13[[#This Row],[Peso gr.]]</f>
        <v>3.6630036630036629</v>
      </c>
      <c r="R60" s="52"/>
      <c r="S60" s="24">
        <f>Tabla13[[#This Row],[Total piezas NOK]]/Tabla13[[#This Row],[Cant. Fabricada (uds)]]</f>
        <v>7.8842093478339714E-4</v>
      </c>
    </row>
    <row r="61" spans="1:20" x14ac:dyDescent="0.3">
      <c r="A61" s="43">
        <v>44497</v>
      </c>
      <c r="B61" s="20" t="s">
        <v>812</v>
      </c>
      <c r="C61" s="20">
        <v>1305</v>
      </c>
      <c r="D61" s="13" t="str">
        <f>VLOOKUP(C:C,'LListat referències'!A:B,2,FALSE)</f>
        <v>Funda cruz verde 400 ml</v>
      </c>
      <c r="E61" s="18" t="str">
        <f>VLOOKUP(C:C,'LListat referències'!A:D,4,FALSE)</f>
        <v/>
      </c>
      <c r="F61" s="49">
        <v>9.01</v>
      </c>
      <c r="G61" s="49"/>
      <c r="H61" s="1" t="s">
        <v>797</v>
      </c>
      <c r="I61" s="25"/>
      <c r="J61" s="25">
        <v>0</v>
      </c>
      <c r="K61" s="25">
        <v>1196</v>
      </c>
      <c r="L61" s="25">
        <v>4860</v>
      </c>
      <c r="M61" s="20">
        <v>39</v>
      </c>
      <c r="N61" s="1">
        <f>Tabla13[[#This Row],[Noche]]-Tabla13[[#This Row],[Mañana ]]</f>
        <v>4860</v>
      </c>
      <c r="O61" s="58">
        <v>0.01</v>
      </c>
      <c r="P61" s="21">
        <f t="shared" si="1"/>
        <v>0.01</v>
      </c>
      <c r="Q61" s="22">
        <f>Tabla13[[#This Row],[Merma Salas A &amp; B2]]*1000/Tabla13[[#This Row],[Peso gr.]]</f>
        <v>1.1098779134295227</v>
      </c>
      <c r="R61" s="52"/>
      <c r="S61" s="24">
        <f>Tabla13[[#This Row],[Total piezas NOK]]/Tabla13[[#This Row],[Cant. Fabricada (uds)]]</f>
        <v>2.283699410348812E-4</v>
      </c>
    </row>
    <row r="62" spans="1:20" x14ac:dyDescent="0.3">
      <c r="A62" s="43">
        <v>44498</v>
      </c>
      <c r="B62" s="20" t="s">
        <v>759</v>
      </c>
      <c r="C62" s="20" t="s">
        <v>513</v>
      </c>
      <c r="D62" s="13" t="str">
        <f>VLOOKUP(C:C,'LListat referències'!A:B,2,FALSE)</f>
        <v>Tarro 150 ml</v>
      </c>
      <c r="E62" s="18" t="str">
        <f>VLOOKUP(C:C,'LListat referències'!A:D,4,FALSE)</f>
        <v>T057</v>
      </c>
      <c r="F62" s="49">
        <v>168</v>
      </c>
      <c r="G62" s="49"/>
      <c r="H62" s="1" t="s">
        <v>15</v>
      </c>
      <c r="I62" s="25"/>
      <c r="J62" s="25">
        <v>19484</v>
      </c>
      <c r="K62" s="25">
        <v>19980</v>
      </c>
      <c r="L62" s="25">
        <v>20418</v>
      </c>
      <c r="M62" s="20">
        <v>43</v>
      </c>
      <c r="N62" s="1">
        <f>Tabla13[[#This Row],[Noche]]-Tabla13[[#This Row],[Mañana ]]</f>
        <v>934</v>
      </c>
      <c r="O62" s="58">
        <v>2.5</v>
      </c>
      <c r="P62" s="21">
        <f t="shared" si="1"/>
        <v>2.5</v>
      </c>
      <c r="Q62" s="22">
        <f>Tabla13[[#This Row],[Merma Salas A &amp; B2]]*1000/Tabla13[[#This Row],[Peso gr.]]</f>
        <v>14.880952380952381</v>
      </c>
      <c r="R62" s="52"/>
      <c r="S62" s="24">
        <f>Tabla13[[#This Row],[Total piezas NOK]]/Tabla13[[#This Row],[Cant. Fabricada (uds)]]</f>
        <v>1.5932497195880493E-2</v>
      </c>
    </row>
    <row r="63" spans="1:20" x14ac:dyDescent="0.3">
      <c r="A63" s="43">
        <v>44498</v>
      </c>
      <c r="B63" s="20" t="s">
        <v>765</v>
      </c>
      <c r="C63" s="20">
        <v>1861</v>
      </c>
      <c r="D63" s="13" t="str">
        <f>VLOOKUP(C:C,'LListat referències'!A:B,2,FALSE)</f>
        <v>Tarro 50ml Standard 8 unitats</v>
      </c>
      <c r="E63" s="18" t="str">
        <f>VLOOKUP(C:C,'LListat referències'!A:D,4,FALSE)</f>
        <v>T022</v>
      </c>
      <c r="F63" s="49">
        <f>VLOOKUP(C:C,'LListat referències'!A:E,5,FALSE)</f>
        <v>92</v>
      </c>
      <c r="G63" s="49"/>
      <c r="H63" s="1" t="s">
        <v>15</v>
      </c>
      <c r="I63" s="25"/>
      <c r="J63" s="25">
        <v>5774</v>
      </c>
      <c r="K63" s="25">
        <v>7244</v>
      </c>
      <c r="L63" s="25">
        <v>8133</v>
      </c>
      <c r="M63" s="20">
        <v>40</v>
      </c>
      <c r="N63" s="1">
        <f>Tabla13[[#This Row],[Noche]]-Tabla13[[#This Row],[Mañana ]]</f>
        <v>2359</v>
      </c>
      <c r="O63" s="58">
        <v>60</v>
      </c>
      <c r="P63" s="21">
        <f t="shared" si="1"/>
        <v>60</v>
      </c>
      <c r="Q63" s="22">
        <f>Tabla13[[#This Row],[Merma Salas A &amp; B2]]*1000/Tabla13[[#This Row],[Peso gr.]]</f>
        <v>652.17391304347825</v>
      </c>
      <c r="R63" s="52"/>
      <c r="S63" s="24">
        <f>Tabla13[[#This Row],[Total piezas NOK]]/Tabla13[[#This Row],[Cant. Fabricada (uds)]]</f>
        <v>0.27646202333339476</v>
      </c>
      <c r="T63" s="19" t="s">
        <v>787</v>
      </c>
    </row>
    <row r="64" spans="1:20" x14ac:dyDescent="0.3">
      <c r="A64" s="43">
        <v>44498</v>
      </c>
      <c r="B64" s="20" t="s">
        <v>771</v>
      </c>
      <c r="C64" s="20" t="s">
        <v>615</v>
      </c>
      <c r="D64" s="13" t="str">
        <f>VLOOKUP(C:C,'LListat referències'!A:B,2,FALSE)</f>
        <v>Tarro 50ml Tinter Quadrat</v>
      </c>
      <c r="E64" s="18" t="str">
        <f>VLOOKUP(C:C,'LListat referències'!A:D,4,FALSE)</f>
        <v>T116</v>
      </c>
      <c r="F64" s="49">
        <v>121.5</v>
      </c>
      <c r="G64" s="49"/>
      <c r="H64" s="1" t="s">
        <v>8</v>
      </c>
      <c r="I64" s="25"/>
      <c r="J64" s="25">
        <v>2376</v>
      </c>
      <c r="K64" s="25">
        <v>2774</v>
      </c>
      <c r="L64" s="25">
        <v>3118</v>
      </c>
      <c r="M64" s="20">
        <v>30</v>
      </c>
      <c r="N64" s="1">
        <f>Tabla13[[#This Row],[Noche]]-Tabla13[[#This Row],[Mañana ]]</f>
        <v>742</v>
      </c>
      <c r="O64" s="58">
        <v>20</v>
      </c>
      <c r="P64" s="21">
        <f t="shared" si="1"/>
        <v>20</v>
      </c>
      <c r="Q64" s="22">
        <f>Tabla13[[#This Row],[Merma Salas A &amp; B2]]*1000/Tabla13[[#This Row],[Peso gr.]]</f>
        <v>164.6090534979424</v>
      </c>
      <c r="R64" s="52"/>
      <c r="S64" s="24">
        <f>Tabla13[[#This Row],[Total piezas NOK]]/Tabla13[[#This Row],[Cant. Fabricada (uds)]]</f>
        <v>0.22184508557674176</v>
      </c>
      <c r="T64" s="19" t="s">
        <v>794</v>
      </c>
    </row>
    <row r="65" spans="1:20" x14ac:dyDescent="0.3">
      <c r="A65" s="43">
        <v>44498</v>
      </c>
      <c r="B65" s="20" t="s">
        <v>756</v>
      </c>
      <c r="C65" s="20" t="s">
        <v>644</v>
      </c>
      <c r="D65" s="13" t="str">
        <f>VLOOKUP(C:C,'LListat referències'!A:B,2,FALSE)</f>
        <v>Tarro 200ml Quadrat estret (Tapa Rodona)</v>
      </c>
      <c r="E65" s="18">
        <f>VLOOKUP(C:C,'LListat referències'!A:D,4,FALSE)</f>
        <v>0</v>
      </c>
      <c r="F65" s="49">
        <f>VLOOKUP(C:C,'LListat referències'!A:E,5,FALSE)</f>
        <v>220.84</v>
      </c>
      <c r="G65" s="49"/>
      <c r="H65" s="1" t="s">
        <v>7</v>
      </c>
      <c r="I65" s="25"/>
      <c r="J65" s="25">
        <v>17145</v>
      </c>
      <c r="K65" s="25">
        <v>17359</v>
      </c>
      <c r="L65" s="25">
        <v>17539</v>
      </c>
      <c r="M65" s="20">
        <v>41</v>
      </c>
      <c r="N65" s="1">
        <f>Tabla13[[#This Row],[Noche]]-Tabla13[[#This Row],[Mañana ]]</f>
        <v>394</v>
      </c>
      <c r="O65" s="58">
        <v>3</v>
      </c>
      <c r="P65" s="21">
        <f t="shared" si="1"/>
        <v>3</v>
      </c>
      <c r="Q65" s="22">
        <f>Tabla13[[#This Row],[Merma Salas A &amp; B2]]*1000/Tabla13[[#This Row],[Peso gr.]]</f>
        <v>13.584495562398116</v>
      </c>
      <c r="R65" s="52"/>
      <c r="S65" s="24">
        <f>Tabla13[[#This Row],[Total piezas NOK]]/Tabla13[[#This Row],[Cant. Fabricada (uds)]]</f>
        <v>3.4478415132990145E-2</v>
      </c>
    </row>
    <row r="66" spans="1:20" x14ac:dyDescent="0.3">
      <c r="A66" s="43">
        <v>44498</v>
      </c>
      <c r="B66" s="20" t="s">
        <v>767</v>
      </c>
      <c r="C66" s="20">
        <v>1790</v>
      </c>
      <c r="D66" s="13" t="str">
        <f>VLOOKUP(C:C,'LListat referències'!A:B,2,FALSE)</f>
        <v>Tarro 100ml</v>
      </c>
      <c r="E66" s="18" t="str">
        <f>VLOOKUP(C:C,'LListat referències'!A:D,4,FALSE)</f>
        <v>T029</v>
      </c>
      <c r="F66" s="49">
        <f>VLOOKUP(C:C,'LListat referències'!A:E,5,FALSE)</f>
        <v>151</v>
      </c>
      <c r="G66" s="49"/>
      <c r="H66" s="1" t="s">
        <v>7</v>
      </c>
      <c r="I66" s="25"/>
      <c r="J66" s="25">
        <v>2951</v>
      </c>
      <c r="K66" s="25">
        <v>3121</v>
      </c>
      <c r="L66" s="25">
        <v>3281</v>
      </c>
      <c r="M66" s="20">
        <v>51</v>
      </c>
      <c r="N66" s="1">
        <f>Tabla13[[#This Row],[Noche]]-Tabla13[[#This Row],[Mañana ]]</f>
        <v>330</v>
      </c>
      <c r="O66" s="58">
        <v>0.2</v>
      </c>
      <c r="P66" s="21">
        <f t="shared" ref="P66:P97" si="2">SUM(O66:O66)</f>
        <v>0.2</v>
      </c>
      <c r="Q66" s="22">
        <f>Tabla13[[#This Row],[Merma Salas A &amp; B2]]*1000/Tabla13[[#This Row],[Peso gr.]]</f>
        <v>1.3245033112582782</v>
      </c>
      <c r="R66" s="52"/>
      <c r="S66" s="24">
        <f>Tabla13[[#This Row],[Total piezas NOK]]/Tabla13[[#This Row],[Cant. Fabricada (uds)]]</f>
        <v>4.013646397752358E-3</v>
      </c>
      <c r="T66" s="19" t="s">
        <v>817</v>
      </c>
    </row>
    <row r="67" spans="1:20" x14ac:dyDescent="0.3">
      <c r="A67" s="43">
        <v>44498</v>
      </c>
      <c r="B67" s="20" t="s">
        <v>772</v>
      </c>
      <c r="C67" s="20">
        <v>1897</v>
      </c>
      <c r="D67" s="13" t="str">
        <f>VLOOKUP(C:C,'LListat referències'!A:B,2,FALSE)</f>
        <v>Tapa 50 cc mar mar (6 unit)</v>
      </c>
      <c r="E67" s="18" t="str">
        <f>VLOOKUP(C:C,'LListat referències'!A:D,4,FALSE)</f>
        <v>#6(50 ml)</v>
      </c>
      <c r="F67" s="49">
        <f>VLOOKUP(C:C,'LListat referències'!A:E,5,FALSE)</f>
        <v>32</v>
      </c>
      <c r="G67" s="49"/>
      <c r="H67" s="1" t="s">
        <v>8</v>
      </c>
      <c r="I67" s="25"/>
      <c r="J67" s="25">
        <v>6972</v>
      </c>
      <c r="K67" s="25">
        <v>8874</v>
      </c>
      <c r="L67" s="25">
        <v>10644</v>
      </c>
      <c r="M67" s="20">
        <v>52</v>
      </c>
      <c r="N67" s="1">
        <f>Tabla13[[#This Row],[Noche]]-Tabla13[[#This Row],[Mañana ]]</f>
        <v>3672</v>
      </c>
      <c r="O67" s="58">
        <v>5</v>
      </c>
      <c r="P67" s="21">
        <f t="shared" si="2"/>
        <v>5</v>
      </c>
      <c r="Q67" s="22">
        <f>Tabla13[[#This Row],[Merma Salas A &amp; B2]]*1000/Tabla13[[#This Row],[Peso gr.]]</f>
        <v>156.25</v>
      </c>
      <c r="R67" s="52"/>
      <c r="S67" s="24">
        <f>Tabla13[[#This Row],[Total piezas NOK]]/Tabla13[[#This Row],[Cant. Fabricada (uds)]]</f>
        <v>4.2551742919389977E-2</v>
      </c>
    </row>
    <row r="68" spans="1:20" x14ac:dyDescent="0.3">
      <c r="A68" s="43">
        <v>44498</v>
      </c>
      <c r="B68" s="20" t="s">
        <v>769</v>
      </c>
      <c r="C68" s="20" t="s">
        <v>12</v>
      </c>
      <c r="D68" s="13" t="str">
        <f>VLOOKUP(C:C,'LListat referències'!A:B,2,FALSE)</f>
        <v>Tapa 50 ml mar-mar prima</v>
      </c>
      <c r="E68" s="18" t="str">
        <f>VLOOKUP(C:C,'LListat referències'!A:D,4,FALSE)</f>
        <v>#24</v>
      </c>
      <c r="F68" s="49">
        <v>20.86</v>
      </c>
      <c r="G68" s="49"/>
      <c r="H68" s="1" t="s">
        <v>15</v>
      </c>
      <c r="I68" s="25"/>
      <c r="J68" s="25">
        <v>1548</v>
      </c>
      <c r="K68" s="25">
        <v>3652</v>
      </c>
      <c r="L68" s="25">
        <v>4558</v>
      </c>
      <c r="M68" s="20">
        <v>45</v>
      </c>
      <c r="N68" s="1">
        <f>Tabla13[[#This Row],[Noche]]-Tabla13[[#This Row],[Mañana ]]</f>
        <v>3010</v>
      </c>
      <c r="O68" s="58">
        <v>5</v>
      </c>
      <c r="P68" s="21">
        <f t="shared" si="2"/>
        <v>5</v>
      </c>
      <c r="Q68" s="22">
        <f>Tabla13[[#This Row],[Merma Salas A &amp; B2]]*1000/Tabla13[[#This Row],[Peso gr.]]</f>
        <v>239.69319271332694</v>
      </c>
      <c r="R68" s="52"/>
      <c r="S68" s="24">
        <f>Tabla13[[#This Row],[Total piezas NOK]]/Tabla13[[#This Row],[Cant. Fabricada (uds)]]</f>
        <v>7.9632289937982367E-2</v>
      </c>
    </row>
    <row r="69" spans="1:20" x14ac:dyDescent="0.3">
      <c r="A69" s="43">
        <v>44498</v>
      </c>
      <c r="B69" s="20" t="s">
        <v>808</v>
      </c>
      <c r="C69" s="20">
        <v>1825</v>
      </c>
      <c r="D69" s="13" t="str">
        <f>VLOOKUP(C:C,'LListat referències'!A:B,2,FALSE)</f>
        <v>OBTURADOR 200 A/ LLENG.</v>
      </c>
      <c r="E69" s="18" t="str">
        <f>VLOOKUP(C:C,'LListat referències'!A:D,4,FALSE)</f>
        <v/>
      </c>
      <c r="F69" s="49">
        <f>VLOOKUP(C:C,'LListat referències'!A:E,5,FALSE)</f>
        <v>2.73</v>
      </c>
      <c r="G69" s="49"/>
      <c r="H69" s="1" t="s">
        <v>797</v>
      </c>
      <c r="I69" s="25"/>
      <c r="J69" s="25">
        <v>7752</v>
      </c>
      <c r="K69" s="25">
        <v>10516</v>
      </c>
      <c r="L69" s="25">
        <v>13046</v>
      </c>
      <c r="M69" s="20">
        <v>48</v>
      </c>
      <c r="N69" s="1">
        <f>Tabla13[[#This Row],[Noche]]-Tabla13[[#This Row],[Mañana ]]</f>
        <v>5294</v>
      </c>
      <c r="O69" s="58">
        <v>0.01</v>
      </c>
      <c r="P69" s="21">
        <f t="shared" si="2"/>
        <v>0.01</v>
      </c>
      <c r="Q69" s="22">
        <f>Tabla13[[#This Row],[Merma Salas A &amp; B2]]*1000/Tabla13[[#This Row],[Peso gr.]]</f>
        <v>3.6630036630036629</v>
      </c>
      <c r="R69" s="52"/>
      <c r="S69" s="24">
        <f>Tabla13[[#This Row],[Total piezas NOK]]/Tabla13[[#This Row],[Cant. Fabricada (uds)]]</f>
        <v>6.9191606781330997E-4</v>
      </c>
    </row>
    <row r="70" spans="1:20" x14ac:dyDescent="0.3">
      <c r="A70" s="43">
        <v>44498</v>
      </c>
      <c r="B70" s="20" t="s">
        <v>813</v>
      </c>
      <c r="C70" s="20">
        <v>1305</v>
      </c>
      <c r="D70" s="13" t="str">
        <f>VLOOKUP(C:C,'LListat referències'!A:B,2,FALSE)</f>
        <v>Funda cruz verde 400 ml</v>
      </c>
      <c r="E70" s="18" t="str">
        <f>VLOOKUP(C:C,'LListat referències'!A:D,4,FALSE)</f>
        <v/>
      </c>
      <c r="F70" s="49">
        <v>9.01</v>
      </c>
      <c r="G70" s="49"/>
      <c r="H70" s="1" t="s">
        <v>797</v>
      </c>
      <c r="I70" s="25"/>
      <c r="J70" s="25">
        <v>8592</v>
      </c>
      <c r="K70" s="25"/>
      <c r="L70" s="25">
        <v>8900</v>
      </c>
      <c r="M70" s="20">
        <v>39</v>
      </c>
      <c r="N70" s="1">
        <f>Tabla13[[#This Row],[Noche]]-Tabla13[[#This Row],[Mañana ]]</f>
        <v>308</v>
      </c>
      <c r="O70" s="58">
        <v>0.01</v>
      </c>
      <c r="P70" s="21">
        <f t="shared" si="2"/>
        <v>0.01</v>
      </c>
      <c r="Q70" s="22">
        <f>Tabla13[[#This Row],[Merma Salas A &amp; B2]]*1000/Tabla13[[#This Row],[Peso gr.]]</f>
        <v>1.1098779134295227</v>
      </c>
      <c r="R70" s="52"/>
      <c r="S70" s="24">
        <f>Tabla13[[#This Row],[Total piezas NOK]]/Tabla13[[#This Row],[Cant. Fabricada (uds)]]</f>
        <v>3.6034997189270217E-3</v>
      </c>
    </row>
    <row r="71" spans="1:20" x14ac:dyDescent="0.3">
      <c r="A71" s="43">
        <v>44502</v>
      </c>
      <c r="B71" s="20" t="s">
        <v>765</v>
      </c>
      <c r="C71" s="20">
        <v>1861</v>
      </c>
      <c r="D71" s="13" t="str">
        <f>VLOOKUP(C:C,'LListat referències'!A:B,2,FALSE)</f>
        <v>Tarro 50ml Standard 8 unitats</v>
      </c>
      <c r="E71" s="18" t="str">
        <f>VLOOKUP(C:C,'LListat referències'!A:D,4,FALSE)</f>
        <v>T022</v>
      </c>
      <c r="F71" s="49">
        <f>VLOOKUP(C:C,'LListat referències'!A:E,5,FALSE)</f>
        <v>92</v>
      </c>
      <c r="G71" s="49"/>
      <c r="H71" s="1" t="s">
        <v>15</v>
      </c>
      <c r="I71" s="25"/>
      <c r="J71" s="25">
        <v>9183</v>
      </c>
      <c r="K71" s="25">
        <v>10828</v>
      </c>
      <c r="L71" s="25">
        <v>12669</v>
      </c>
      <c r="M71" s="20">
        <v>40</v>
      </c>
      <c r="N71" s="1">
        <f>Tabla13[[#This Row],[Noche]]-Tabla13[[#This Row],[Mañana ]]</f>
        <v>3486</v>
      </c>
      <c r="O71" s="58">
        <v>85</v>
      </c>
      <c r="P71" s="21">
        <f t="shared" si="2"/>
        <v>85</v>
      </c>
      <c r="Q71" s="22">
        <f>Tabla13[[#This Row],[Merma Salas A &amp; B2]]*1000/Tabla13[[#This Row],[Peso gr.]]</f>
        <v>923.91304347826087</v>
      </c>
      <c r="R71" s="52"/>
      <c r="S71" s="24">
        <f>Tabla13[[#This Row],[Total piezas NOK]]/Tabla13[[#This Row],[Cant. Fabricada (uds)]]</f>
        <v>0.26503529646536456</v>
      </c>
      <c r="T71" s="19" t="s">
        <v>786</v>
      </c>
    </row>
    <row r="72" spans="1:20" x14ac:dyDescent="0.3">
      <c r="A72" s="43">
        <v>44502</v>
      </c>
      <c r="B72" s="20" t="s">
        <v>767</v>
      </c>
      <c r="C72" s="20">
        <v>1790</v>
      </c>
      <c r="D72" s="13" t="str">
        <f>VLOOKUP(C:C,'LListat referències'!A:B,2,FALSE)</f>
        <v>Tarro 100ml</v>
      </c>
      <c r="E72" s="18" t="str">
        <f>VLOOKUP(C:C,'LListat referències'!A:D,4,FALSE)</f>
        <v>T029</v>
      </c>
      <c r="F72" s="49">
        <f>VLOOKUP(C:C,'LListat referències'!A:E,5,FALSE)</f>
        <v>151</v>
      </c>
      <c r="G72" s="49"/>
      <c r="H72" s="1" t="s">
        <v>7</v>
      </c>
      <c r="I72" s="25"/>
      <c r="J72" s="25">
        <v>3403</v>
      </c>
      <c r="K72" s="25">
        <v>3598</v>
      </c>
      <c r="L72" s="25">
        <v>3817</v>
      </c>
      <c r="M72" s="20">
        <v>51</v>
      </c>
      <c r="N72" s="1">
        <f>Tabla13[[#This Row],[Noche]]-Tabla13[[#This Row],[Mañana ]]</f>
        <v>414</v>
      </c>
      <c r="O72" s="58">
        <v>0.2</v>
      </c>
      <c r="P72" s="21">
        <f t="shared" si="2"/>
        <v>0.2</v>
      </c>
      <c r="Q72" s="22">
        <f>Tabla13[[#This Row],[Merma Salas A &amp; B2]]*1000/Tabla13[[#This Row],[Peso gr.]]</f>
        <v>1.3245033112582782</v>
      </c>
      <c r="R72" s="52"/>
      <c r="S72" s="24">
        <f>Tabla13[[#This Row],[Total piezas NOK]]/Tabla13[[#This Row],[Cant. Fabricada (uds)]]</f>
        <v>3.199283360527242E-3</v>
      </c>
    </row>
    <row r="73" spans="1:20" x14ac:dyDescent="0.3">
      <c r="A73" s="43">
        <v>44502</v>
      </c>
      <c r="B73" s="20" t="s">
        <v>759</v>
      </c>
      <c r="C73" s="20" t="s">
        <v>513</v>
      </c>
      <c r="D73" s="13" t="str">
        <f>VLOOKUP(C:C,'LListat referències'!A:B,2,FALSE)</f>
        <v>Tarro 150 ml</v>
      </c>
      <c r="E73" s="18" t="str">
        <f>VLOOKUP(C:C,'LListat referències'!A:D,4,FALSE)</f>
        <v>T057</v>
      </c>
      <c r="F73" s="49">
        <v>168</v>
      </c>
      <c r="G73" s="49"/>
      <c r="H73" s="1" t="s">
        <v>15</v>
      </c>
      <c r="I73" s="25"/>
      <c r="J73" s="25">
        <v>20830</v>
      </c>
      <c r="K73" s="25">
        <v>21322</v>
      </c>
      <c r="L73" s="25">
        <v>21872</v>
      </c>
      <c r="M73" s="20">
        <v>43</v>
      </c>
      <c r="N73" s="1">
        <f>Tabla13[[#This Row],[Noche]]-Tabla13[[#This Row],[Mañana ]]</f>
        <v>1042</v>
      </c>
      <c r="O73" s="58">
        <v>2.5</v>
      </c>
      <c r="P73" s="21">
        <f t="shared" si="2"/>
        <v>2.5</v>
      </c>
      <c r="Q73" s="22">
        <f>Tabla13[[#This Row],[Merma Salas A &amp; B2]]*1000/Tabla13[[#This Row],[Peso gr.]]</f>
        <v>14.880952380952381</v>
      </c>
      <c r="R73" s="52"/>
      <c r="S73" s="24">
        <f>Tabla13[[#This Row],[Total piezas NOK]]/Tabla13[[#This Row],[Cant. Fabricada (uds)]]</f>
        <v>1.4281144319532035E-2</v>
      </c>
    </row>
    <row r="74" spans="1:20" x14ac:dyDescent="0.3">
      <c r="A74" s="43">
        <v>44502</v>
      </c>
      <c r="B74" s="20" t="s">
        <v>788</v>
      </c>
      <c r="C74" s="20" t="s">
        <v>644</v>
      </c>
      <c r="D74" s="13" t="str">
        <f>VLOOKUP(C:C,'LListat referències'!A:B,2,FALSE)</f>
        <v>Tarro 200ml Quadrat estret (Tapa Rodona)</v>
      </c>
      <c r="E74" s="18">
        <f>VLOOKUP(C:C,'LListat referències'!A:D,4,FALSE)</f>
        <v>0</v>
      </c>
      <c r="F74" s="49">
        <f>VLOOKUP(C:C,'LListat referències'!A:E,5,FALSE)</f>
        <v>220.84</v>
      </c>
      <c r="G74" s="49"/>
      <c r="H74" s="1" t="s">
        <v>7</v>
      </c>
      <c r="I74" s="25"/>
      <c r="J74" s="25">
        <v>17739</v>
      </c>
      <c r="K74" s="25">
        <v>17953</v>
      </c>
      <c r="L74" s="25">
        <v>18190</v>
      </c>
      <c r="M74" s="20">
        <v>41</v>
      </c>
      <c r="N74" s="1">
        <f>Tabla13[[#This Row],[Noche]]-Tabla13[[#This Row],[Mañana ]]</f>
        <v>451</v>
      </c>
      <c r="O74" s="58">
        <v>3</v>
      </c>
      <c r="P74" s="21">
        <f t="shared" si="2"/>
        <v>3</v>
      </c>
      <c r="Q74" s="22">
        <f>Tabla13[[#This Row],[Merma Salas A &amp; B2]]*1000/Tabla13[[#This Row],[Peso gr.]]</f>
        <v>13.584495562398116</v>
      </c>
      <c r="R74" s="52"/>
      <c r="S74" s="24">
        <f>Tabla13[[#This Row],[Total piezas NOK]]/Tabla13[[#This Row],[Cant. Fabricada (uds)]]</f>
        <v>3.0120832732590058E-2</v>
      </c>
    </row>
    <row r="75" spans="1:20" x14ac:dyDescent="0.3">
      <c r="A75" s="43">
        <v>44502</v>
      </c>
      <c r="B75" s="20" t="s">
        <v>769</v>
      </c>
      <c r="C75" s="20" t="s">
        <v>12</v>
      </c>
      <c r="D75" s="13" t="str">
        <f>VLOOKUP(C:C,'LListat referències'!A:B,2,FALSE)</f>
        <v>Tapa 50 ml mar-mar prima</v>
      </c>
      <c r="E75" s="18" t="str">
        <f>VLOOKUP(C:C,'LListat referències'!A:D,4,FALSE)</f>
        <v>#24</v>
      </c>
      <c r="F75" s="49">
        <f>VLOOKUP(C:C,'LListat referències'!A:E,5,FALSE)</f>
        <v>20.86</v>
      </c>
      <c r="G75" s="49"/>
      <c r="H75" s="1" t="s">
        <v>15</v>
      </c>
      <c r="I75" s="25"/>
      <c r="J75" s="25">
        <v>7296</v>
      </c>
      <c r="K75" s="25">
        <v>9364</v>
      </c>
      <c r="L75" s="25">
        <v>11688</v>
      </c>
      <c r="M75" s="20">
        <v>45</v>
      </c>
      <c r="N75" s="1">
        <f>Tabla13[[#This Row],[Noche]]-Tabla13[[#This Row],[Mañana ]]</f>
        <v>4392</v>
      </c>
      <c r="O75" s="58">
        <v>4.5</v>
      </c>
      <c r="P75" s="21">
        <f t="shared" si="2"/>
        <v>4.5</v>
      </c>
      <c r="Q75" s="22">
        <f>Tabla13[[#This Row],[Merma Salas A &amp; B2]]*1000/Tabla13[[#This Row],[Peso gr.]]</f>
        <v>215.72387344199424</v>
      </c>
      <c r="R75" s="52"/>
      <c r="S75" s="24">
        <f>Tabla13[[#This Row],[Total piezas NOK]]/Tabla13[[#This Row],[Cant. Fabricada (uds)]]</f>
        <v>4.9117457523222732E-2</v>
      </c>
    </row>
    <row r="76" spans="1:20" x14ac:dyDescent="0.3">
      <c r="A76" s="43">
        <v>44502</v>
      </c>
      <c r="B76" s="20" t="s">
        <v>772</v>
      </c>
      <c r="C76" s="20">
        <v>1897</v>
      </c>
      <c r="D76" s="13" t="str">
        <f>VLOOKUP(C:C,'LListat referències'!A:B,2,FALSE)</f>
        <v>Tapa 50 cc mar mar (6 unit)</v>
      </c>
      <c r="E76" s="18" t="str">
        <f>VLOOKUP(C:C,'LListat referències'!A:D,4,FALSE)</f>
        <v>#6(50 ml)</v>
      </c>
      <c r="F76" s="49">
        <f>VLOOKUP(C:C,'LListat referències'!A:E,5,FALSE)</f>
        <v>32</v>
      </c>
      <c r="G76" s="49"/>
      <c r="H76" s="1" t="s">
        <v>8</v>
      </c>
      <c r="I76" s="25"/>
      <c r="J76" s="25">
        <v>12252</v>
      </c>
      <c r="K76" s="25">
        <v>14124</v>
      </c>
      <c r="L76" s="25">
        <v>16188</v>
      </c>
      <c r="M76" s="20">
        <v>52</v>
      </c>
      <c r="N76" s="1">
        <f>Tabla13[[#This Row],[Noche]]-Tabla13[[#This Row],[Mañana ]]</f>
        <v>3936</v>
      </c>
      <c r="O76" s="58">
        <v>5</v>
      </c>
      <c r="P76" s="21">
        <f t="shared" si="2"/>
        <v>5</v>
      </c>
      <c r="Q76" s="22">
        <f>Tabla13[[#This Row],[Merma Salas A &amp; B2]]*1000/Tabla13[[#This Row],[Peso gr.]]</f>
        <v>156.25</v>
      </c>
      <c r="R76" s="52"/>
      <c r="S76" s="24">
        <f>Tabla13[[#This Row],[Total piezas NOK]]/Tabla13[[#This Row],[Cant. Fabricada (uds)]]</f>
        <v>3.9697662601626015E-2</v>
      </c>
    </row>
    <row r="77" spans="1:20" x14ac:dyDescent="0.3">
      <c r="A77" s="43">
        <v>44502</v>
      </c>
      <c r="B77" s="20" t="s">
        <v>771</v>
      </c>
      <c r="C77" s="20" t="s">
        <v>615</v>
      </c>
      <c r="D77" s="13" t="str">
        <f>VLOOKUP(C:C,'LListat referències'!A:B,2,FALSE)</f>
        <v>Tarro 50ml Tinter Quadrat</v>
      </c>
      <c r="E77" s="18" t="str">
        <f>VLOOKUP(C:C,'LListat referències'!A:D,4,FALSE)</f>
        <v>T116</v>
      </c>
      <c r="F77" s="49">
        <f>VLOOKUP(C:C,'LListat referències'!A:E,5,FALSE)</f>
        <v>121.5</v>
      </c>
      <c r="G77" s="49"/>
      <c r="H77" s="1" t="s">
        <v>8</v>
      </c>
      <c r="I77" s="25"/>
      <c r="J77" s="25">
        <v>3118</v>
      </c>
      <c r="K77" s="25">
        <v>3896</v>
      </c>
      <c r="L77" s="25">
        <v>4338</v>
      </c>
      <c r="M77" s="20">
        <v>30</v>
      </c>
      <c r="N77" s="1">
        <f>Tabla13[[#This Row],[Noche]]-Tabla13[[#This Row],[Mañana ]]</f>
        <v>1220</v>
      </c>
      <c r="O77" s="58">
        <v>5</v>
      </c>
      <c r="P77" s="21">
        <f t="shared" si="2"/>
        <v>5</v>
      </c>
      <c r="Q77" s="22">
        <f>Tabla13[[#This Row],[Merma Salas A &amp; B2]]*1000/Tabla13[[#This Row],[Peso gr.]]</f>
        <v>41.152263374485599</v>
      </c>
      <c r="R77" s="52"/>
      <c r="S77" s="24">
        <f>Tabla13[[#This Row],[Total piezas NOK]]/Tabla13[[#This Row],[Cant. Fabricada (uds)]]</f>
        <v>3.3731363421709508E-2</v>
      </c>
    </row>
    <row r="78" spans="1:20" x14ac:dyDescent="0.3">
      <c r="A78" s="43">
        <v>44502</v>
      </c>
      <c r="B78" s="20" t="s">
        <v>796</v>
      </c>
      <c r="C78" s="20" t="s">
        <v>684</v>
      </c>
      <c r="D78" s="13" t="str">
        <f>VLOOKUP(C:C,'LListat referències'!A:B,2,FALSE)</f>
        <v>Obturador 50 ml</v>
      </c>
      <c r="E78" s="18" t="str">
        <f>VLOOKUP(C:C,'LListat referències'!A:D,4,FALSE)</f>
        <v/>
      </c>
      <c r="F78" s="49">
        <f>VLOOKUP(C:C,'LListat referències'!A:E,5,FALSE)</f>
        <v>1.88</v>
      </c>
      <c r="G78" s="49"/>
      <c r="H78" s="1" t="s">
        <v>797</v>
      </c>
      <c r="I78" s="25"/>
      <c r="J78" s="25">
        <v>42834</v>
      </c>
      <c r="K78" s="25">
        <v>0</v>
      </c>
      <c r="L78" s="25">
        <v>43950</v>
      </c>
      <c r="M78" s="20">
        <v>46</v>
      </c>
      <c r="N78" s="1">
        <f>Tabla13[[#This Row],[Noche]]-Tabla13[[#This Row],[Mañana ]]</f>
        <v>1116</v>
      </c>
      <c r="O78" s="58">
        <v>0</v>
      </c>
      <c r="P78" s="21">
        <f t="shared" si="2"/>
        <v>0</v>
      </c>
      <c r="Q78" s="22">
        <f>Tabla13[[#This Row],[Merma Salas A &amp; B2]]*1000/Tabla13[[#This Row],[Peso gr.]]</f>
        <v>0</v>
      </c>
      <c r="R78" s="52"/>
      <c r="S78" s="24">
        <f>Tabla13[[#This Row],[Total piezas NOK]]/Tabla13[[#This Row],[Cant. Fabricada (uds)]]</f>
        <v>0</v>
      </c>
      <c r="T78" s="19" t="s">
        <v>798</v>
      </c>
    </row>
    <row r="79" spans="1:20" x14ac:dyDescent="0.3">
      <c r="A79" s="43">
        <v>44502</v>
      </c>
      <c r="B79" s="20" t="s">
        <v>799</v>
      </c>
      <c r="C79" s="20" t="s">
        <v>684</v>
      </c>
      <c r="D79" s="13" t="str">
        <f>VLOOKUP(C:C,'LListat referències'!A:B,2,FALSE)</f>
        <v>Obturador 50 ml</v>
      </c>
      <c r="E79" s="18" t="str">
        <f>VLOOKUP(C:C,'LListat referències'!A:D,4,FALSE)</f>
        <v/>
      </c>
      <c r="F79" s="49">
        <f>VLOOKUP(C:C,'LListat referències'!A:E,5,FALSE)</f>
        <v>1.88</v>
      </c>
      <c r="G79" s="49"/>
      <c r="H79" s="1" t="s">
        <v>797</v>
      </c>
      <c r="I79" s="25"/>
      <c r="J79" s="25"/>
      <c r="K79" s="25">
        <v>1396</v>
      </c>
      <c r="L79" s="25">
        <v>4720</v>
      </c>
      <c r="M79" s="20">
        <v>46</v>
      </c>
      <c r="N79" s="1">
        <f>Tabla13[[#This Row],[Noche]]-Tabla13[[#This Row],[Mañana ]]</f>
        <v>4720</v>
      </c>
      <c r="O79" s="58">
        <v>0</v>
      </c>
      <c r="P79" s="21">
        <f t="shared" si="2"/>
        <v>0</v>
      </c>
      <c r="Q79" s="22">
        <f>Tabla13[[#This Row],[Merma Salas A &amp; B2]]*1000/Tabla13[[#This Row],[Peso gr.]]</f>
        <v>0</v>
      </c>
      <c r="R79" s="52"/>
      <c r="S79" s="24">
        <f>Tabla13[[#This Row],[Total piezas NOK]]/Tabla13[[#This Row],[Cant. Fabricada (uds)]]</f>
        <v>0</v>
      </c>
      <c r="T79" s="19" t="s">
        <v>800</v>
      </c>
    </row>
    <row r="80" spans="1:20" x14ac:dyDescent="0.3">
      <c r="A80" s="43">
        <v>44502</v>
      </c>
      <c r="B80" s="20" t="s">
        <v>802</v>
      </c>
      <c r="C80" s="20">
        <v>1607</v>
      </c>
      <c r="D80" s="13" t="str">
        <f>VLOOKUP(C:C,'LListat referències'!A:B,2,FALSE)</f>
        <v>Cubilet 50 recte</v>
      </c>
      <c r="E80" s="18" t="str">
        <f>VLOOKUP(C:C,'LListat referències'!A:D,4,FALSE)</f>
        <v/>
      </c>
      <c r="F80" s="49">
        <f>VLOOKUP(C:C,'LListat referències'!A:E,5,FALSE)</f>
        <v>8.5399999999999991</v>
      </c>
      <c r="G80" s="49"/>
      <c r="H80" s="1" t="s">
        <v>797</v>
      </c>
      <c r="I80" s="25"/>
      <c r="J80" s="25">
        <v>20890</v>
      </c>
      <c r="K80" s="25">
        <v>22620</v>
      </c>
      <c r="L80" s="25">
        <v>24608</v>
      </c>
      <c r="M80" s="20">
        <v>17</v>
      </c>
      <c r="N80" s="1">
        <f>Tabla13[[#This Row],[Noche]]-Tabla13[[#This Row],[Mañana ]]</f>
        <v>3718</v>
      </c>
      <c r="O80" s="58">
        <v>0.1</v>
      </c>
      <c r="P80" s="21">
        <f t="shared" si="2"/>
        <v>0.1</v>
      </c>
      <c r="Q80" s="22">
        <f>Tabla13[[#This Row],[Merma Salas A &amp; B2]]*1000/Tabla13[[#This Row],[Peso gr.]]</f>
        <v>11.7096018735363</v>
      </c>
      <c r="R80" s="52"/>
      <c r="S80" s="24">
        <f>Tabla13[[#This Row],[Total piezas NOK]]/Tabla13[[#This Row],[Cant. Fabricada (uds)]]</f>
        <v>3.1494356841141207E-3</v>
      </c>
    </row>
    <row r="81" spans="1:20" x14ac:dyDescent="0.3">
      <c r="A81" s="43">
        <v>44502</v>
      </c>
      <c r="B81" s="20" t="s">
        <v>808</v>
      </c>
      <c r="C81" s="20">
        <v>1825</v>
      </c>
      <c r="D81" s="13" t="str">
        <f>VLOOKUP(C:C,'LListat referències'!A:B,2,FALSE)</f>
        <v>OBTURADOR 200 A/ LLENG.</v>
      </c>
      <c r="E81" s="18" t="str">
        <f>VLOOKUP(C:C,'LListat referències'!A:D,4,FALSE)</f>
        <v/>
      </c>
      <c r="F81" s="49">
        <f>VLOOKUP(C:C,'LListat referències'!A:E,5,FALSE)</f>
        <v>2.73</v>
      </c>
      <c r="G81" s="49"/>
      <c r="H81" s="1" t="s">
        <v>797</v>
      </c>
      <c r="I81" s="25"/>
      <c r="J81" s="25">
        <v>16330</v>
      </c>
      <c r="K81" s="25">
        <v>19274</v>
      </c>
      <c r="L81" s="25">
        <v>22338</v>
      </c>
      <c r="M81" s="20">
        <v>48</v>
      </c>
      <c r="N81" s="1">
        <f>Tabla13[[#This Row],[Noche]]-Tabla13[[#This Row],[Mañana ]]</f>
        <v>6008</v>
      </c>
      <c r="O81" s="58">
        <v>0.01</v>
      </c>
      <c r="P81" s="21">
        <f t="shared" si="2"/>
        <v>0.01</v>
      </c>
      <c r="Q81" s="22">
        <f>Tabla13[[#This Row],[Merma Salas A &amp; B2]]*1000/Tabla13[[#This Row],[Peso gr.]]</f>
        <v>3.6630036630036629</v>
      </c>
      <c r="R81" s="52"/>
      <c r="S81" s="24">
        <f>Tabla13[[#This Row],[Total piezas NOK]]/Tabla13[[#This Row],[Cant. Fabricada (uds)]]</f>
        <v>6.0968769357584273E-4</v>
      </c>
    </row>
    <row r="82" spans="1:20" ht="28.8" x14ac:dyDescent="0.3">
      <c r="A82" s="43">
        <v>44503</v>
      </c>
      <c r="B82" s="20" t="s">
        <v>765</v>
      </c>
      <c r="C82" s="20">
        <v>1861</v>
      </c>
      <c r="D82" s="13" t="str">
        <f>VLOOKUP(C:C,'LListat referències'!A:B,2,FALSE)</f>
        <v>Tarro 50ml Standard 8 unitats</v>
      </c>
      <c r="E82" s="18" t="str">
        <f>VLOOKUP(C:C,'LListat referències'!A:D,4,FALSE)</f>
        <v>T022</v>
      </c>
      <c r="F82" s="49">
        <f>VLOOKUP(C:C,'LListat referències'!A:E,5,FALSE)</f>
        <v>92</v>
      </c>
      <c r="G82" s="49"/>
      <c r="H82" s="20" t="s">
        <v>15</v>
      </c>
      <c r="I82" s="25"/>
      <c r="J82" s="25">
        <v>14552</v>
      </c>
      <c r="K82" s="25">
        <v>16302</v>
      </c>
      <c r="L82" s="25">
        <v>18108</v>
      </c>
      <c r="M82" s="20">
        <v>40</v>
      </c>
      <c r="N82" s="20">
        <f>Tabla13[[#This Row],[Noche]]-Tabla13[[#This Row],[Mañana ]]</f>
        <v>3556</v>
      </c>
      <c r="O82" s="59">
        <v>95</v>
      </c>
      <c r="P82" s="21">
        <f t="shared" si="2"/>
        <v>95</v>
      </c>
      <c r="Q82" s="22">
        <f>Tabla13[[#This Row],[Merma Salas A &amp; B2]]*1000/Tabla13[[#This Row],[Peso gr.]]</f>
        <v>1032.608695652174</v>
      </c>
      <c r="R82" s="52"/>
      <c r="S82" s="24">
        <f>Tabla13[[#This Row],[Total piezas NOK]]/Tabla13[[#This Row],[Cant. Fabricada (uds)]]</f>
        <v>0.29038489753998142</v>
      </c>
      <c r="T82" s="19" t="s">
        <v>819</v>
      </c>
    </row>
    <row r="83" spans="1:20" x14ac:dyDescent="0.3">
      <c r="A83" s="43">
        <v>44503</v>
      </c>
      <c r="B83" s="20" t="s">
        <v>767</v>
      </c>
      <c r="C83" s="20">
        <v>1790</v>
      </c>
      <c r="D83" s="13" t="str">
        <f>VLOOKUP(C:C,'LListat referències'!A:B,2,FALSE)</f>
        <v>Tarro 100ml</v>
      </c>
      <c r="E83" s="18" t="str">
        <f>VLOOKUP(C:C,'LListat referències'!A:D,4,FALSE)</f>
        <v>T029</v>
      </c>
      <c r="F83" s="49">
        <f>VLOOKUP(C:C,'LListat referències'!A:E,5,FALSE)</f>
        <v>151</v>
      </c>
      <c r="G83" s="49"/>
      <c r="H83" s="1" t="s">
        <v>7</v>
      </c>
      <c r="I83" s="25"/>
      <c r="J83" s="25">
        <v>4033</v>
      </c>
      <c r="K83" s="25">
        <v>4231</v>
      </c>
      <c r="L83" s="25">
        <v>4456</v>
      </c>
      <c r="M83" s="20">
        <v>51</v>
      </c>
      <c r="N83" s="1">
        <f>Tabla13[[#This Row],[Noche]]-Tabla13[[#This Row],[Mañana ]]</f>
        <v>423</v>
      </c>
      <c r="O83" s="58">
        <v>0.2</v>
      </c>
      <c r="P83" s="21">
        <f t="shared" si="2"/>
        <v>0.2</v>
      </c>
      <c r="Q83" s="22">
        <f>Tabla13[[#This Row],[Merma Salas A &amp; B2]]*1000/Tabla13[[#This Row],[Peso gr.]]</f>
        <v>1.3245033112582782</v>
      </c>
      <c r="R83" s="52"/>
      <c r="S83" s="24">
        <f>Tabla13[[#This Row],[Total piezas NOK]]/Tabla13[[#This Row],[Cant. Fabricada (uds)]]</f>
        <v>3.1312135017926199E-3</v>
      </c>
    </row>
    <row r="84" spans="1:20" x14ac:dyDescent="0.3">
      <c r="A84" s="43">
        <v>44503</v>
      </c>
      <c r="B84" s="20" t="s">
        <v>759</v>
      </c>
      <c r="C84" s="20" t="s">
        <v>513</v>
      </c>
      <c r="D84" s="13" t="str">
        <f>VLOOKUP(C:C,'LListat referències'!A:B,2,FALSE)</f>
        <v>Tarro 150 ml</v>
      </c>
      <c r="E84" s="18" t="str">
        <f>VLOOKUP(C:C,'LListat referències'!A:D,4,FALSE)</f>
        <v>T057</v>
      </c>
      <c r="F84" s="49">
        <v>168</v>
      </c>
      <c r="G84" s="49"/>
      <c r="H84" s="1" t="s">
        <v>15</v>
      </c>
      <c r="I84" s="25"/>
      <c r="J84" s="25">
        <v>22436</v>
      </c>
      <c r="K84" s="25">
        <v>22950</v>
      </c>
      <c r="L84" s="25">
        <v>23506</v>
      </c>
      <c r="M84" s="20">
        <v>43</v>
      </c>
      <c r="N84" s="1">
        <f>Tabla13[[#This Row],[Noche]]-Tabla13[[#This Row],[Mañana ]]</f>
        <v>1070</v>
      </c>
      <c r="O84" s="58">
        <v>15</v>
      </c>
      <c r="P84" s="21">
        <f t="shared" si="2"/>
        <v>15</v>
      </c>
      <c r="Q84" s="22">
        <f>Tabla13[[#This Row],[Merma Salas A &amp; B2]]*1000/Tabla13[[#This Row],[Peso gr.]]</f>
        <v>89.285714285714292</v>
      </c>
      <c r="R84" s="52"/>
      <c r="S84" s="24">
        <f>Tabla13[[#This Row],[Total piezas NOK]]/Tabla13[[#This Row],[Cant. Fabricada (uds)]]</f>
        <v>8.3444592790387184E-2</v>
      </c>
      <c r="T84" s="19" t="s">
        <v>791</v>
      </c>
    </row>
    <row r="85" spans="1:20" x14ac:dyDescent="0.3">
      <c r="A85" s="43">
        <v>44503</v>
      </c>
      <c r="B85" s="20" t="s">
        <v>772</v>
      </c>
      <c r="C85" s="20">
        <v>1897</v>
      </c>
      <c r="D85" s="13" t="str">
        <f>VLOOKUP(C:C,'LListat referències'!A:B,2,FALSE)</f>
        <v>Tapa 50 cc mar mar (6 unit)</v>
      </c>
      <c r="E85" s="18" t="str">
        <f>VLOOKUP(C:C,'LListat referències'!A:D,4,FALSE)</f>
        <v>#6(50 ml)</v>
      </c>
      <c r="F85" s="49">
        <f>VLOOKUP(C:C,'LListat referències'!A:E,5,FALSE)</f>
        <v>32</v>
      </c>
      <c r="G85" s="49"/>
      <c r="H85" s="1" t="s">
        <v>8</v>
      </c>
      <c r="I85" s="25"/>
      <c r="J85" s="25">
        <v>18282</v>
      </c>
      <c r="K85" s="25">
        <v>20286</v>
      </c>
      <c r="L85" s="25">
        <v>22428</v>
      </c>
      <c r="M85" s="20">
        <v>52</v>
      </c>
      <c r="N85" s="1">
        <f>Tabla13[[#This Row],[Noche]]-Tabla13[[#This Row],[Mañana ]]</f>
        <v>4146</v>
      </c>
      <c r="O85" s="58">
        <v>25</v>
      </c>
      <c r="P85" s="21">
        <f t="shared" si="2"/>
        <v>25</v>
      </c>
      <c r="Q85" s="22">
        <f>Tabla13[[#This Row],[Merma Salas A &amp; B2]]*1000/Tabla13[[#This Row],[Peso gr.]]</f>
        <v>781.25</v>
      </c>
      <c r="R85" s="52"/>
      <c r="S85" s="24">
        <f>Tabla13[[#This Row],[Total piezas NOK]]/Tabla13[[#This Row],[Cant. Fabricada (uds)]]</f>
        <v>0.18843463579353595</v>
      </c>
      <c r="T85" s="19" t="s">
        <v>793</v>
      </c>
    </row>
    <row r="86" spans="1:20" x14ac:dyDescent="0.3">
      <c r="A86" s="43">
        <v>44503</v>
      </c>
      <c r="B86" s="20" t="s">
        <v>771</v>
      </c>
      <c r="C86" s="20" t="s">
        <v>615</v>
      </c>
      <c r="D86" s="13" t="str">
        <f>VLOOKUP(C:C,'LListat referències'!A:B,2,FALSE)</f>
        <v>Tarro 50ml Tinter Quadrat</v>
      </c>
      <c r="E86" s="18" t="str">
        <f>VLOOKUP(C:C,'LListat referències'!A:D,4,FALSE)</f>
        <v>T116</v>
      </c>
      <c r="F86" s="49">
        <f>VLOOKUP(C:C,'LListat referències'!A:E,5,FALSE)</f>
        <v>121.5</v>
      </c>
      <c r="G86" s="49"/>
      <c r="H86" s="1" t="s">
        <v>8</v>
      </c>
      <c r="I86" s="25"/>
      <c r="J86" s="25">
        <v>4338</v>
      </c>
      <c r="K86" s="25">
        <v>5224</v>
      </c>
      <c r="L86" s="25">
        <v>5690</v>
      </c>
      <c r="M86" s="20">
        <v>30</v>
      </c>
      <c r="N86" s="1">
        <f>Tabla13[[#This Row],[Noche]]-Tabla13[[#This Row],[Mañana ]]</f>
        <v>1352</v>
      </c>
      <c r="O86" s="58">
        <v>5</v>
      </c>
      <c r="P86" s="21">
        <f t="shared" si="2"/>
        <v>5</v>
      </c>
      <c r="Q86" s="22">
        <f>Tabla13[[#This Row],[Merma Salas A &amp; B2]]*1000/Tabla13[[#This Row],[Peso gr.]]</f>
        <v>41.152263374485599</v>
      </c>
      <c r="R86" s="52"/>
      <c r="S86" s="24">
        <f>Tabla13[[#This Row],[Total piezas NOK]]/Tabla13[[#This Row],[Cant. Fabricada (uds)]]</f>
        <v>3.0438064626098816E-2</v>
      </c>
    </row>
    <row r="87" spans="1:20" x14ac:dyDescent="0.3">
      <c r="A87" s="43">
        <v>44503</v>
      </c>
      <c r="B87" s="20" t="s">
        <v>769</v>
      </c>
      <c r="C87" s="20" t="s">
        <v>12</v>
      </c>
      <c r="D87" s="13" t="str">
        <f>VLOOKUP(C:C,'LListat referències'!A:B,2,FALSE)</f>
        <v>Tapa 50 ml mar-mar prima</v>
      </c>
      <c r="E87" s="18" t="str">
        <f>VLOOKUP(C:C,'LListat referències'!A:D,4,FALSE)</f>
        <v>#24</v>
      </c>
      <c r="F87" s="49">
        <f>VLOOKUP(C:C,'LListat referències'!A:E,5,FALSE)</f>
        <v>20.86</v>
      </c>
      <c r="G87" s="49"/>
      <c r="H87" s="1" t="s">
        <v>15</v>
      </c>
      <c r="I87" s="25"/>
      <c r="J87" s="25">
        <v>14048</v>
      </c>
      <c r="K87" s="25">
        <v>16248</v>
      </c>
      <c r="L87" s="25">
        <v>18284</v>
      </c>
      <c r="M87" s="20">
        <v>45</v>
      </c>
      <c r="N87" s="1">
        <f>Tabla13[[#This Row],[Noche]]-Tabla13[[#This Row],[Mañana ]]</f>
        <v>4236</v>
      </c>
      <c r="O87" s="58">
        <v>4</v>
      </c>
      <c r="P87" s="21">
        <f t="shared" si="2"/>
        <v>4</v>
      </c>
      <c r="Q87" s="22">
        <f>Tabla13[[#This Row],[Merma Salas A &amp; B2]]*1000/Tabla13[[#This Row],[Peso gr.]]</f>
        <v>191.75455417066155</v>
      </c>
      <c r="R87" s="52"/>
      <c r="S87" s="24">
        <f>Tabla13[[#This Row],[Total piezas NOK]]/Tabla13[[#This Row],[Cant. Fabricada (uds)]]</f>
        <v>4.5267836206482899E-2</v>
      </c>
    </row>
    <row r="88" spans="1:20" x14ac:dyDescent="0.3">
      <c r="A88" s="43">
        <v>44503</v>
      </c>
      <c r="B88" s="20" t="s">
        <v>799</v>
      </c>
      <c r="C88" s="20" t="s">
        <v>684</v>
      </c>
      <c r="D88" s="13" t="str">
        <f>VLOOKUP(C:C,'LListat referències'!A:B,2,FALSE)</f>
        <v>Obturador 50 ml</v>
      </c>
      <c r="E88" s="18" t="str">
        <f>VLOOKUP(C:C,'LListat referències'!A:D,4,FALSE)</f>
        <v/>
      </c>
      <c r="F88" s="49">
        <f>VLOOKUP(C:C,'LListat referències'!A:E,5,FALSE)</f>
        <v>1.88</v>
      </c>
      <c r="G88" s="49"/>
      <c r="H88" s="1" t="s">
        <v>797</v>
      </c>
      <c r="I88" s="25"/>
      <c r="J88" s="25">
        <v>8050</v>
      </c>
      <c r="K88" s="25">
        <v>11452</v>
      </c>
      <c r="L88" s="25">
        <v>14978</v>
      </c>
      <c r="M88" s="20">
        <v>46</v>
      </c>
      <c r="N88" s="1">
        <f>Tabla13[[#This Row],[Noche]]-Tabla13[[#This Row],[Mañana ]]</f>
        <v>6928</v>
      </c>
      <c r="O88" s="58">
        <v>0</v>
      </c>
      <c r="P88" s="21">
        <f t="shared" si="2"/>
        <v>0</v>
      </c>
      <c r="Q88" s="22">
        <f>Tabla13[[#This Row],[Merma Salas A &amp; B2]]*1000/Tabla13[[#This Row],[Peso gr.]]</f>
        <v>0</v>
      </c>
      <c r="R88" s="52"/>
      <c r="S88" s="24">
        <f>Tabla13[[#This Row],[Total piezas NOK]]/Tabla13[[#This Row],[Cant. Fabricada (uds)]]</f>
        <v>0</v>
      </c>
    </row>
    <row r="89" spans="1:20" x14ac:dyDescent="0.3">
      <c r="A89" s="43">
        <v>44503</v>
      </c>
      <c r="B89" s="20" t="s">
        <v>802</v>
      </c>
      <c r="C89" s="20">
        <v>1607</v>
      </c>
      <c r="D89" s="13" t="str">
        <f>VLOOKUP(C:C,'LListat referències'!A:B,2,FALSE)</f>
        <v>Cubilet 50 recte</v>
      </c>
      <c r="E89" s="18" t="str">
        <f>VLOOKUP(C:C,'LListat referències'!A:D,4,FALSE)</f>
        <v/>
      </c>
      <c r="F89" s="49">
        <f>VLOOKUP(C:C,'LListat referències'!A:E,5,FALSE)</f>
        <v>8.5399999999999991</v>
      </c>
      <c r="G89" s="49"/>
      <c r="H89" s="1" t="s">
        <v>797</v>
      </c>
      <c r="I89" s="25"/>
      <c r="J89" s="25">
        <v>24608</v>
      </c>
      <c r="K89" s="25"/>
      <c r="L89" s="25">
        <v>26086</v>
      </c>
      <c r="M89" s="20">
        <v>17</v>
      </c>
      <c r="N89" s="1">
        <f>Tabla13[[#This Row],[Noche]]-Tabla13[[#This Row],[Mañana ]]</f>
        <v>1478</v>
      </c>
      <c r="O89" s="58">
        <v>0.01</v>
      </c>
      <c r="P89" s="21">
        <f t="shared" si="2"/>
        <v>0.01</v>
      </c>
      <c r="Q89" s="22">
        <f>Tabla13[[#This Row],[Merma Salas A &amp; B2]]*1000/Tabla13[[#This Row],[Peso gr.]]</f>
        <v>1.1709601873536302</v>
      </c>
      <c r="R89" s="52"/>
      <c r="S89" s="24">
        <f>Tabla13[[#This Row],[Total piezas NOK]]/Tabla13[[#This Row],[Cant. Fabricada (uds)]]</f>
        <v>7.922599373163939E-4</v>
      </c>
    </row>
    <row r="90" spans="1:20" x14ac:dyDescent="0.3">
      <c r="A90" s="43">
        <v>44503</v>
      </c>
      <c r="B90" s="20" t="s">
        <v>788</v>
      </c>
      <c r="C90" s="20" t="s">
        <v>644</v>
      </c>
      <c r="D90" s="13" t="str">
        <f>VLOOKUP(C:C,'LListat referències'!A:B,2,FALSE)</f>
        <v>Tarro 200ml Quadrat estret (Tapa Rodona)</v>
      </c>
      <c r="E90" s="18">
        <f>VLOOKUP(C:C,'LListat referències'!A:D,4,FALSE)</f>
        <v>0</v>
      </c>
      <c r="F90" s="49">
        <f>VLOOKUP(C:C,'LListat referències'!A:E,5,FALSE)</f>
        <v>220.84</v>
      </c>
      <c r="G90" s="49"/>
      <c r="H90" s="1" t="s">
        <v>7</v>
      </c>
      <c r="I90" s="25"/>
      <c r="J90" s="25">
        <v>18434</v>
      </c>
      <c r="K90" s="25">
        <v>18656</v>
      </c>
      <c r="L90" s="25">
        <v>18896</v>
      </c>
      <c r="M90" s="20">
        <v>41</v>
      </c>
      <c r="N90" s="1">
        <f>Tabla13[[#This Row],[Noche]]-Tabla13[[#This Row],[Mañana ]]</f>
        <v>462</v>
      </c>
      <c r="O90" s="58">
        <v>0</v>
      </c>
      <c r="P90" s="21">
        <f t="shared" si="2"/>
        <v>0</v>
      </c>
      <c r="Q90" s="22">
        <f>Tabla13[[#This Row],[Merma Salas A &amp; B2]]*1000/Tabla13[[#This Row],[Peso gr.]]</f>
        <v>0</v>
      </c>
      <c r="R90" s="52"/>
      <c r="S90" s="24">
        <f>Tabla13[[#This Row],[Total piezas NOK]]/Tabla13[[#This Row],[Cant. Fabricada (uds)]]</f>
        <v>0</v>
      </c>
    </row>
    <row r="91" spans="1:20" x14ac:dyDescent="0.3">
      <c r="A91" s="43">
        <v>44503</v>
      </c>
      <c r="B91" s="20" t="s">
        <v>808</v>
      </c>
      <c r="C91" s="20">
        <v>1825</v>
      </c>
      <c r="D91" s="13" t="str">
        <f>VLOOKUP(C:C,'LListat referències'!A:B,2,FALSE)</f>
        <v>OBTURADOR 200 A/ LLENG.</v>
      </c>
      <c r="E91" s="18" t="str">
        <f>VLOOKUP(C:C,'LListat referències'!A:D,4,FALSE)</f>
        <v/>
      </c>
      <c r="F91" s="49">
        <f>VLOOKUP(C:C,'LListat referències'!A:E,5,FALSE)</f>
        <v>2.73</v>
      </c>
      <c r="G91" s="49"/>
      <c r="H91" s="1" t="s">
        <v>797</v>
      </c>
      <c r="I91" s="25"/>
      <c r="J91" s="25">
        <v>25528</v>
      </c>
      <c r="K91" s="25">
        <v>28702</v>
      </c>
      <c r="L91" s="25">
        <v>32002</v>
      </c>
      <c r="M91" s="20">
        <v>48</v>
      </c>
      <c r="N91" s="1">
        <f>Tabla13[[#This Row],[Noche]]-Tabla13[[#This Row],[Mañana ]]</f>
        <v>6474</v>
      </c>
      <c r="O91" s="58">
        <v>0.01</v>
      </c>
      <c r="P91" s="21">
        <f t="shared" si="2"/>
        <v>0.01</v>
      </c>
      <c r="Q91" s="22">
        <f>Tabla13[[#This Row],[Merma Salas A &amp; B2]]*1000/Tabla13[[#This Row],[Peso gr.]]</f>
        <v>3.6630036630036629</v>
      </c>
      <c r="R91" s="52"/>
      <c r="S91" s="24">
        <f>Tabla13[[#This Row],[Total piezas NOK]]/Tabla13[[#This Row],[Cant. Fabricada (uds)]]</f>
        <v>5.6580223401354077E-4</v>
      </c>
    </row>
    <row r="92" spans="1:20" x14ac:dyDescent="0.3">
      <c r="A92" s="43">
        <v>44503</v>
      </c>
      <c r="B92" s="20" t="s">
        <v>809</v>
      </c>
      <c r="C92" s="20" t="s">
        <v>395</v>
      </c>
      <c r="D92" s="13" t="str">
        <f>VLOOKUP(C:C,'LListat referències'!A:B,2,FALSE)</f>
        <v>Cubilet de 50ml Refill</v>
      </c>
      <c r="E92" s="18">
        <f>VLOOKUP(C:C,'LListat referències'!A:D,4,FALSE)</f>
        <v>0</v>
      </c>
      <c r="F92" s="49">
        <v>1.5</v>
      </c>
      <c r="G92" s="49"/>
      <c r="H92" s="1" t="s">
        <v>797</v>
      </c>
      <c r="I92" s="25"/>
      <c r="J92" s="25">
        <v>0</v>
      </c>
      <c r="K92" s="25">
        <v>0</v>
      </c>
      <c r="L92" s="25">
        <v>1000</v>
      </c>
      <c r="M92" s="20">
        <v>49</v>
      </c>
      <c r="N92" s="1">
        <f>Tabla13[[#This Row],[Noche]]-Tabla13[[#This Row],[Mañana ]]</f>
        <v>1000</v>
      </c>
      <c r="O92" s="58">
        <v>0.01</v>
      </c>
      <c r="P92" s="21">
        <f t="shared" si="2"/>
        <v>0.01</v>
      </c>
      <c r="Q92" s="22">
        <f>Tabla13[[#This Row],[Merma Salas A &amp; B2]]*1000/Tabla13[[#This Row],[Peso gr.]]</f>
        <v>6.666666666666667</v>
      </c>
      <c r="R92" s="52"/>
      <c r="S92" s="24">
        <f>Tabla13[[#This Row],[Total piezas NOK]]/Tabla13[[#This Row],[Cant. Fabricada (uds)]]</f>
        <v>6.6666666666666671E-3</v>
      </c>
    </row>
    <row r="93" spans="1:20" x14ac:dyDescent="0.3">
      <c r="A93" s="43">
        <v>44503</v>
      </c>
      <c r="B93" s="20" t="s">
        <v>765</v>
      </c>
      <c r="C93" s="20">
        <v>1861</v>
      </c>
      <c r="D93" s="13" t="str">
        <f>VLOOKUP(C:C,'LListat referències'!A:B,2,FALSE)</f>
        <v>Tarro 50ml Standard 8 unitats</v>
      </c>
      <c r="E93" s="18" t="str">
        <f>VLOOKUP(C:C,'LListat referències'!A:D,4,FALSE)</f>
        <v>T022</v>
      </c>
      <c r="F93" s="49">
        <f>VLOOKUP(C:C,'LListat referències'!A:E,5,FALSE)</f>
        <v>92</v>
      </c>
      <c r="G93" s="49"/>
      <c r="H93" s="1" t="s">
        <v>15</v>
      </c>
      <c r="I93" s="25"/>
      <c r="J93" s="25"/>
      <c r="K93" s="25"/>
      <c r="L93" s="25"/>
      <c r="M93" s="20">
        <v>40</v>
      </c>
      <c r="N93" s="1"/>
      <c r="O93" s="58">
        <v>160</v>
      </c>
      <c r="P93" s="21">
        <f t="shared" si="2"/>
        <v>160</v>
      </c>
      <c r="Q93" s="22">
        <f>Tabla13[[#This Row],[Merma Salas A &amp; B2]]*1000/Tabla13[[#This Row],[Peso gr.]]</f>
        <v>1739.1304347826087</v>
      </c>
      <c r="R93" s="52">
        <v>160</v>
      </c>
      <c r="S93" s="24" t="s">
        <v>842</v>
      </c>
      <c r="T93" s="19" t="s">
        <v>826</v>
      </c>
    </row>
    <row r="94" spans="1:20" x14ac:dyDescent="0.3">
      <c r="A94" s="43">
        <v>44503</v>
      </c>
      <c r="B94" s="20" t="s">
        <v>828</v>
      </c>
      <c r="C94" s="20" t="s">
        <v>10</v>
      </c>
      <c r="D94" s="13" t="str">
        <f>VLOOKUP(C:C,'LListat referències'!A:B,2,FALSE)</f>
        <v xml:space="preserve">Tapa 100 ml prima </v>
      </c>
      <c r="E94" s="18" t="str">
        <f>VLOOKUP(C:C,'LListat referències'!A:D,4,FALSE)</f>
        <v>#26(100 ml)</v>
      </c>
      <c r="F94" s="49">
        <f>VLOOKUP(C:C,'LListat referències'!A:E,5,FALSE)</f>
        <v>30.3</v>
      </c>
      <c r="G94" s="49"/>
      <c r="H94" s="20" t="s">
        <v>15</v>
      </c>
      <c r="I94" s="25"/>
      <c r="J94" s="25"/>
      <c r="K94" s="25"/>
      <c r="L94" s="25"/>
      <c r="M94" s="20">
        <v>38</v>
      </c>
      <c r="N94" s="1">
        <f>Tabla13[[#This Row],[Noche]]-Tabla13[[#This Row],[Mañana ]]</f>
        <v>0</v>
      </c>
      <c r="O94" s="58">
        <v>15</v>
      </c>
      <c r="P94" s="21">
        <f t="shared" si="2"/>
        <v>15</v>
      </c>
      <c r="Q94" s="22">
        <f>Tabla13[[#This Row],[Merma Salas A &amp; B2]]*1000/Tabla13[[#This Row],[Peso gr.]]</f>
        <v>495.04950495049502</v>
      </c>
      <c r="R94" s="52">
        <v>15</v>
      </c>
      <c r="S94" s="24" t="s">
        <v>842</v>
      </c>
      <c r="T94" s="19" t="s">
        <v>829</v>
      </c>
    </row>
    <row r="95" spans="1:20" x14ac:dyDescent="0.3">
      <c r="A95" s="43">
        <v>44503</v>
      </c>
      <c r="B95" s="20" t="s">
        <v>882</v>
      </c>
      <c r="C95" s="20">
        <v>1207</v>
      </c>
      <c r="D95" s="13" t="str">
        <f>VLOOKUP(C:C,'LListat referències'!A:B,2,FALSE)</f>
        <v>Tap principia ovalat rosca gran</v>
      </c>
      <c r="E95" s="18" t="str">
        <f>VLOOKUP(C:C,'LListat referències'!A:D,4,FALSE)</f>
        <v/>
      </c>
      <c r="F95" s="49">
        <f>VLOOKUP(C:C,'LListat referències'!A:E,5,FALSE)</f>
        <v>9</v>
      </c>
      <c r="G95" s="49"/>
      <c r="H95" s="1" t="s">
        <v>797</v>
      </c>
      <c r="I95" s="25"/>
      <c r="J95" s="25">
        <v>1400</v>
      </c>
      <c r="K95" s="25">
        <v>25809</v>
      </c>
      <c r="L95" s="25">
        <v>4254</v>
      </c>
      <c r="M95" s="20">
        <v>50</v>
      </c>
      <c r="N95" s="1">
        <f>Tabla13[[#This Row],[Noche]]-Tabla13[[#This Row],[Mañana ]]</f>
        <v>2854</v>
      </c>
      <c r="O95" s="58"/>
      <c r="P95" s="21">
        <f t="shared" si="2"/>
        <v>0</v>
      </c>
      <c r="Q95" s="22">
        <f>Tabla13[[#This Row],[Merma Salas A &amp; B2]]*1000/Tabla13[[#This Row],[Peso gr.]]</f>
        <v>0</v>
      </c>
      <c r="R95" s="52"/>
      <c r="S95" s="24">
        <f>Tabla13[[#This Row],[Total piezas NOK]]/Tabla13[[#This Row],[Cant. Fabricada (uds)]]</f>
        <v>0</v>
      </c>
    </row>
    <row r="96" spans="1:20" x14ac:dyDescent="0.3">
      <c r="A96" s="43">
        <v>44504</v>
      </c>
      <c r="B96" s="20" t="s">
        <v>771</v>
      </c>
      <c r="C96" s="20" t="s">
        <v>615</v>
      </c>
      <c r="D96" s="13" t="str">
        <f>VLOOKUP(C:C,'LListat referències'!A:B,2,FALSE)</f>
        <v>Tarro 50ml Tinter Quadrat</v>
      </c>
      <c r="E96" s="18" t="str">
        <f>VLOOKUP(C:C,'LListat referències'!A:D,4,FALSE)</f>
        <v>T116</v>
      </c>
      <c r="F96" s="49">
        <f>VLOOKUP(C:C,'LListat referències'!A:E,5,FALSE)</f>
        <v>121.5</v>
      </c>
      <c r="G96" s="49"/>
      <c r="H96" s="1" t="s">
        <v>8</v>
      </c>
      <c r="I96" s="25"/>
      <c r="J96" s="25">
        <v>5690</v>
      </c>
      <c r="K96" s="25">
        <v>0</v>
      </c>
      <c r="L96" s="25">
        <v>6150</v>
      </c>
      <c r="M96" s="20">
        <v>30</v>
      </c>
      <c r="N96" s="1">
        <f>Tabla13[[#This Row],[Noche]]-Tabla13[[#This Row],[Mañana ]]</f>
        <v>460</v>
      </c>
      <c r="O96" s="58">
        <v>0</v>
      </c>
      <c r="P96" s="21">
        <f t="shared" si="2"/>
        <v>0</v>
      </c>
      <c r="Q96" s="22">
        <f>Tabla13[[#This Row],[Merma Salas A &amp; B2]]*1000/Tabla13[[#This Row],[Peso gr.]]</f>
        <v>0</v>
      </c>
      <c r="R96" s="52"/>
      <c r="S96" s="24">
        <f>Tabla13[[#This Row],[Total piezas NOK]]/Tabla13[[#This Row],[Cant. Fabricada (uds)]]</f>
        <v>0</v>
      </c>
      <c r="T96" s="19" t="s">
        <v>804</v>
      </c>
    </row>
    <row r="97" spans="1:20" x14ac:dyDescent="0.3">
      <c r="A97" s="43">
        <v>44504</v>
      </c>
      <c r="B97" s="20" t="s">
        <v>810</v>
      </c>
      <c r="C97" s="20">
        <v>1539</v>
      </c>
      <c r="D97" s="13" t="e">
        <f>VLOOKUP(C:C,'LListat referències'!A:B,2,FALSE)</f>
        <v>#N/A</v>
      </c>
      <c r="E97" s="18" t="e">
        <f>VLOOKUP(C:C,'LListat referències'!A:D,4,FALSE)</f>
        <v>#N/A</v>
      </c>
      <c r="F97" s="49">
        <v>0.57999999999999996</v>
      </c>
      <c r="G97" s="49"/>
      <c r="H97" s="1" t="s">
        <v>797</v>
      </c>
      <c r="I97" s="25"/>
      <c r="J97" s="25">
        <v>0</v>
      </c>
      <c r="K97" s="25">
        <v>0</v>
      </c>
      <c r="L97" s="25">
        <v>110</v>
      </c>
      <c r="M97" s="20">
        <v>49</v>
      </c>
      <c r="N97" s="1">
        <f>Tabla13[[#This Row],[Noche]]-Tabla13[[#This Row],[Mañana ]]</f>
        <v>110</v>
      </c>
      <c r="O97" s="58">
        <v>1E-3</v>
      </c>
      <c r="P97" s="21">
        <f t="shared" si="2"/>
        <v>1E-3</v>
      </c>
      <c r="Q97" s="22">
        <f>Tabla13[[#This Row],[Merma Salas A &amp; B2]]*1000/Tabla13[[#This Row],[Peso gr.]]</f>
        <v>1.7241379310344829</v>
      </c>
      <c r="R97" s="52"/>
      <c r="S97" s="24">
        <f>Tabla13[[#This Row],[Total piezas NOK]]/Tabla13[[#This Row],[Cant. Fabricada (uds)]]</f>
        <v>1.5673981191222573E-2</v>
      </c>
    </row>
    <row r="98" spans="1:20" ht="28.8" x14ac:dyDescent="0.3">
      <c r="A98" s="43">
        <v>44504</v>
      </c>
      <c r="B98" s="20" t="s">
        <v>765</v>
      </c>
      <c r="C98" s="20">
        <v>1861</v>
      </c>
      <c r="D98" s="13" t="str">
        <f>VLOOKUP(C:C,'LListat referències'!A:B,2,FALSE)</f>
        <v>Tarro 50ml Standard 8 unitats</v>
      </c>
      <c r="E98" s="18" t="str">
        <f>VLOOKUP(C:C,'LListat referències'!A:D,4,FALSE)</f>
        <v>T022</v>
      </c>
      <c r="F98" s="49">
        <f>VLOOKUP(C:C,'LListat referències'!A:E,5,FALSE)</f>
        <v>92</v>
      </c>
      <c r="G98" s="49"/>
      <c r="H98" s="20" t="s">
        <v>15</v>
      </c>
      <c r="I98" s="25"/>
      <c r="J98" s="25">
        <v>19935</v>
      </c>
      <c r="K98" s="25">
        <v>21692</v>
      </c>
      <c r="L98" s="25">
        <v>23526</v>
      </c>
      <c r="M98" s="20">
        <v>40</v>
      </c>
      <c r="N98" s="20">
        <f>Tabla13[[#This Row],[Noche]]-Tabla13[[#This Row],[Mañana ]]</f>
        <v>3591</v>
      </c>
      <c r="O98" s="59">
        <v>160</v>
      </c>
      <c r="P98" s="21">
        <f t="shared" ref="P98:P128" si="3">SUM(O98:O98)</f>
        <v>160</v>
      </c>
      <c r="Q98" s="22">
        <f>Tabla13[[#This Row],[Merma Salas A &amp; B2]]*1000/Tabla13[[#This Row],[Peso gr.]]</f>
        <v>1739.1304347826087</v>
      </c>
      <c r="R98" s="52"/>
      <c r="S98" s="24">
        <f>Tabla13[[#This Row],[Total piezas NOK]]/Tabla13[[#This Row],[Cant. Fabricada (uds)]]</f>
        <v>0.48430254379911131</v>
      </c>
      <c r="T98" s="19" t="s">
        <v>820</v>
      </c>
    </row>
    <row r="99" spans="1:20" x14ac:dyDescent="0.3">
      <c r="A99" s="43">
        <v>44504</v>
      </c>
      <c r="B99" s="20" t="s">
        <v>765</v>
      </c>
      <c r="C99" s="20">
        <v>1861</v>
      </c>
      <c r="D99" s="13" t="str">
        <f>VLOOKUP(C:C,'LListat referències'!A:B,2,FALSE)</f>
        <v>Tarro 50ml Standard 8 unitats</v>
      </c>
      <c r="E99" s="18" t="str">
        <f>VLOOKUP(C:C,'LListat referències'!A:D,4,FALSE)</f>
        <v>T022</v>
      </c>
      <c r="F99" s="49">
        <f>VLOOKUP(C:C,'LListat referències'!A:E,5,FALSE)</f>
        <v>92</v>
      </c>
      <c r="G99" s="49"/>
      <c r="H99" s="1" t="s">
        <v>15</v>
      </c>
      <c r="I99" s="25"/>
      <c r="J99" s="25"/>
      <c r="K99" s="25"/>
      <c r="L99" s="25"/>
      <c r="M99" s="20">
        <v>40</v>
      </c>
      <c r="N99" s="1">
        <f>Tabla13[[#This Row],[Noche]]-Tabla13[[#This Row],[Mañana ]]</f>
        <v>0</v>
      </c>
      <c r="O99" s="58">
        <v>140</v>
      </c>
      <c r="P99" s="21">
        <f t="shared" si="3"/>
        <v>140</v>
      </c>
      <c r="Q99" s="22">
        <f>Tabla13[[#This Row],[Merma Salas A &amp; B2]]*1000/Tabla13[[#This Row],[Peso gr.]]</f>
        <v>1521.7391304347825</v>
      </c>
      <c r="R99" s="52">
        <v>140</v>
      </c>
      <c r="S99" s="24" t="s">
        <v>842</v>
      </c>
      <c r="T99" s="19" t="s">
        <v>826</v>
      </c>
    </row>
    <row r="100" spans="1:20" x14ac:dyDescent="0.3">
      <c r="A100" s="43">
        <v>44504</v>
      </c>
      <c r="B100" s="20" t="s">
        <v>771</v>
      </c>
      <c r="C100" s="20" t="s">
        <v>615</v>
      </c>
      <c r="D100" s="13" t="str">
        <f>VLOOKUP(C:C,'LListat referències'!A:B,2,FALSE)</f>
        <v>Tarro 50ml Tinter Quadrat</v>
      </c>
      <c r="E100" s="18" t="str">
        <f>VLOOKUP(C:C,'LListat referències'!A:D,4,FALSE)</f>
        <v>T116</v>
      </c>
      <c r="F100" s="49">
        <f>VLOOKUP(C:C,'LListat referències'!A:E,5,FALSE)</f>
        <v>121.5</v>
      </c>
      <c r="G100" s="49"/>
      <c r="H100" s="1" t="s">
        <v>8</v>
      </c>
      <c r="I100" s="25"/>
      <c r="J100" s="25">
        <v>6150</v>
      </c>
      <c r="K100" s="25">
        <v>6582</v>
      </c>
      <c r="L100" s="25">
        <v>7040</v>
      </c>
      <c r="M100" s="20">
        <v>30</v>
      </c>
      <c r="N100" s="1">
        <f>Tabla13[[#This Row],[Noche]]-Tabla13[[#This Row],[Mañana ]]</f>
        <v>890</v>
      </c>
      <c r="O100" s="58">
        <v>35</v>
      </c>
      <c r="P100" s="21">
        <f t="shared" si="3"/>
        <v>35</v>
      </c>
      <c r="Q100" s="22">
        <f>Tabla13[[#This Row],[Merma Salas A &amp; B2]]*1000/Tabla13[[#This Row],[Peso gr.]]</f>
        <v>288.06584362139915</v>
      </c>
      <c r="R100" s="52"/>
      <c r="S100" s="24">
        <f>Tabla13[[#This Row],[Total piezas NOK]]/Tabla13[[#This Row],[Cant. Fabricada (uds)]]</f>
        <v>0.32366948721505523</v>
      </c>
      <c r="T100" s="19" t="s">
        <v>803</v>
      </c>
    </row>
    <row r="101" spans="1:20" x14ac:dyDescent="0.3">
      <c r="A101" s="43">
        <v>44504</v>
      </c>
      <c r="B101" s="20" t="s">
        <v>830</v>
      </c>
      <c r="C101" s="20" t="s">
        <v>12</v>
      </c>
      <c r="D101" s="13" t="str">
        <f>VLOOKUP(C:C,'LListat referències'!A:B,2,FALSE)</f>
        <v>Tapa 50 ml mar-mar prima</v>
      </c>
      <c r="E101" s="18" t="str">
        <f>VLOOKUP(C:C,'LListat referències'!A:D,4,FALSE)</f>
        <v>#24</v>
      </c>
      <c r="F101" s="49">
        <f>VLOOKUP(C:C,'LListat referències'!A:E,5,FALSE)</f>
        <v>20.86</v>
      </c>
      <c r="G101" s="49"/>
      <c r="H101" s="1" t="s">
        <v>15</v>
      </c>
      <c r="I101" s="25"/>
      <c r="J101" s="25">
        <v>0</v>
      </c>
      <c r="K101" s="25">
        <v>651</v>
      </c>
      <c r="L101" s="25">
        <v>2454</v>
      </c>
      <c r="M101" s="20">
        <v>45</v>
      </c>
      <c r="N101" s="1">
        <f>Tabla13[[#This Row],[Noche]]-Tabla13[[#This Row],[Mañana ]]</f>
        <v>2454</v>
      </c>
      <c r="O101" s="58">
        <v>2.5</v>
      </c>
      <c r="P101" s="21">
        <f t="shared" si="3"/>
        <v>2.5</v>
      </c>
      <c r="Q101" s="22">
        <f>Tabla13[[#This Row],[Merma Salas A &amp; B2]]*1000/Tabla13[[#This Row],[Peso gr.]]</f>
        <v>119.84659635666347</v>
      </c>
      <c r="R101" s="52">
        <v>40</v>
      </c>
      <c r="S101" s="24">
        <f>Tabla13[[#This Row],[Total piezas NOK]]/Tabla13[[#This Row],[Cant. Fabricada (uds)]]</f>
        <v>4.8837243829121219E-2</v>
      </c>
      <c r="T101" s="19" t="s">
        <v>831</v>
      </c>
    </row>
    <row r="102" spans="1:20" x14ac:dyDescent="0.3">
      <c r="A102" s="43">
        <v>44504</v>
      </c>
      <c r="B102" s="20" t="s">
        <v>759</v>
      </c>
      <c r="C102" s="20" t="s">
        <v>513</v>
      </c>
      <c r="D102" s="13" t="str">
        <f>VLOOKUP(C:C,'LListat referències'!A:B,2,FALSE)</f>
        <v>Tarro 150 ml</v>
      </c>
      <c r="E102" s="18" t="str">
        <f>VLOOKUP(C:C,'LListat referències'!A:D,4,FALSE)</f>
        <v>T057</v>
      </c>
      <c r="F102" s="49">
        <f>VLOOKUP(C:C,'LListat referències'!A:E,5,FALSE)</f>
        <v>160</v>
      </c>
      <c r="G102" s="49"/>
      <c r="H102" s="1" t="s">
        <v>8</v>
      </c>
      <c r="I102" s="25"/>
      <c r="J102" s="25"/>
      <c r="K102" s="25"/>
      <c r="L102" s="25"/>
      <c r="M102" s="20">
        <v>43</v>
      </c>
      <c r="N102" s="1">
        <f>Tabla13[[#This Row],[Noche]]-Tabla13[[#This Row],[Mañana ]]</f>
        <v>0</v>
      </c>
      <c r="O102" s="58">
        <v>2.5</v>
      </c>
      <c r="P102" s="21">
        <f t="shared" si="3"/>
        <v>2.5</v>
      </c>
      <c r="Q102" s="22">
        <f>Tabla13[[#This Row],[Merma Salas A &amp; B2]]*1000/Tabla13[[#This Row],[Peso gr.]]</f>
        <v>15.625</v>
      </c>
      <c r="R102" s="52">
        <v>2.5</v>
      </c>
      <c r="S102" s="24" t="s">
        <v>842</v>
      </c>
    </row>
    <row r="103" spans="1:20" x14ac:dyDescent="0.3">
      <c r="A103" s="43">
        <v>44504</v>
      </c>
      <c r="B103" s="20" t="s">
        <v>756</v>
      </c>
      <c r="C103" s="20" t="s">
        <v>644</v>
      </c>
      <c r="D103" s="13" t="str">
        <f>VLOOKUP(C:C,'LListat referències'!A:B,2,FALSE)</f>
        <v>Tarro 200ml Quadrat estret (Tapa Rodona)</v>
      </c>
      <c r="E103" s="18">
        <f>VLOOKUP(C:C,'LListat referències'!A:D,4,FALSE)</f>
        <v>0</v>
      </c>
      <c r="F103" s="49">
        <f>VLOOKUP(C:C,'LListat referències'!A:E,5,FALSE)</f>
        <v>220.84</v>
      </c>
      <c r="G103" s="49"/>
      <c r="H103" s="1" t="s">
        <v>7</v>
      </c>
      <c r="I103" s="25"/>
      <c r="J103" s="25">
        <v>19153</v>
      </c>
      <c r="K103" s="25">
        <v>19362</v>
      </c>
      <c r="L103" s="25">
        <v>19598</v>
      </c>
      <c r="M103" s="20">
        <v>41</v>
      </c>
      <c r="N103" s="1">
        <f>Tabla13[[#This Row],[Noche]]-Tabla13[[#This Row],[Mañana ]]</f>
        <v>445</v>
      </c>
      <c r="O103" s="58">
        <v>2.5</v>
      </c>
      <c r="P103" s="21">
        <f t="shared" si="3"/>
        <v>2.5</v>
      </c>
      <c r="Q103" s="22">
        <f>Tabla13[[#This Row],[Merma Salas A &amp; B2]]*1000/Tabla13[[#This Row],[Peso gr.]]</f>
        <v>11.320412968665098</v>
      </c>
      <c r="R103" s="52"/>
      <c r="S103" s="24">
        <f>Tabla13[[#This Row],[Total piezas NOK]]/Tabla13[[#This Row],[Cant. Fabricada (uds)]]</f>
        <v>2.543913026666314E-2</v>
      </c>
    </row>
    <row r="104" spans="1:20" x14ac:dyDescent="0.3">
      <c r="A104" s="43">
        <v>44504</v>
      </c>
      <c r="B104" s="20" t="s">
        <v>767</v>
      </c>
      <c r="C104" s="20">
        <v>1790</v>
      </c>
      <c r="D104" s="13" t="str">
        <f>VLOOKUP(C:C,'LListat referències'!A:B,2,FALSE)</f>
        <v>Tarro 100ml</v>
      </c>
      <c r="E104" s="18" t="str">
        <f>VLOOKUP(C:C,'LListat referències'!A:D,4,FALSE)</f>
        <v>T029</v>
      </c>
      <c r="F104" s="49">
        <f>VLOOKUP(C:C,'LListat referències'!A:E,5,FALSE)</f>
        <v>151</v>
      </c>
      <c r="G104" s="49"/>
      <c r="H104" s="1" t="s">
        <v>7</v>
      </c>
      <c r="I104" s="25"/>
      <c r="J104" s="25">
        <v>4697</v>
      </c>
      <c r="K104" s="25">
        <v>4887</v>
      </c>
      <c r="L104" s="25">
        <v>5109</v>
      </c>
      <c r="M104" s="20">
        <v>41</v>
      </c>
      <c r="N104" s="1">
        <f>Tabla13[[#This Row],[Noche]]-Tabla13[[#This Row],[Mañana ]]</f>
        <v>412</v>
      </c>
      <c r="O104" s="58">
        <v>2.5</v>
      </c>
      <c r="P104" s="21">
        <f t="shared" si="3"/>
        <v>2.5</v>
      </c>
      <c r="Q104" s="22">
        <f>Tabla13[[#This Row],[Merma Salas A &amp; B2]]*1000/Tabla13[[#This Row],[Peso gr.]]</f>
        <v>16.556291390728475</v>
      </c>
      <c r="R104" s="52"/>
      <c r="S104" s="24">
        <f>Tabla13[[#This Row],[Total piezas NOK]]/Tabla13[[#This Row],[Cant. Fabricada (uds)]]</f>
        <v>4.0185173278467171E-2</v>
      </c>
    </row>
    <row r="105" spans="1:20" x14ac:dyDescent="0.3">
      <c r="A105" s="43">
        <v>44504</v>
      </c>
      <c r="B105" s="20" t="s">
        <v>772</v>
      </c>
      <c r="C105" s="20">
        <v>1897</v>
      </c>
      <c r="D105" s="13" t="str">
        <f>VLOOKUP(C:C,'LListat referències'!A:B,2,FALSE)</f>
        <v>Tapa 50 cc mar mar (6 unit)</v>
      </c>
      <c r="E105" s="18" t="str">
        <f>VLOOKUP(C:C,'LListat referències'!A:D,4,FALSE)</f>
        <v>#6(50 ml)</v>
      </c>
      <c r="F105" s="49">
        <f>VLOOKUP(C:C,'LListat referències'!A:E,5,FALSE)</f>
        <v>32</v>
      </c>
      <c r="G105" s="49"/>
      <c r="H105" s="1" t="s">
        <v>8</v>
      </c>
      <c r="I105" s="25"/>
      <c r="J105" s="25">
        <v>24750</v>
      </c>
      <c r="K105" s="25">
        <v>26580</v>
      </c>
      <c r="L105" s="25">
        <v>28722</v>
      </c>
      <c r="M105" s="20">
        <v>52</v>
      </c>
      <c r="N105" s="1">
        <f>Tabla13[[#This Row],[Noche]]-Tabla13[[#This Row],[Mañana ]]</f>
        <v>3972</v>
      </c>
      <c r="O105" s="58">
        <v>2.5</v>
      </c>
      <c r="P105" s="21">
        <f t="shared" si="3"/>
        <v>2.5</v>
      </c>
      <c r="Q105" s="22">
        <f>Tabla13[[#This Row],[Merma Salas A &amp; B2]]*1000/Tabla13[[#This Row],[Peso gr.]]</f>
        <v>78.125</v>
      </c>
      <c r="R105" s="52"/>
      <c r="S105" s="24">
        <f>Tabla13[[#This Row],[Total piezas NOK]]/Tabla13[[#This Row],[Cant. Fabricada (uds)]]</f>
        <v>1.9668932527693857E-2</v>
      </c>
    </row>
    <row r="106" spans="1:20" x14ac:dyDescent="0.3">
      <c r="A106" s="43">
        <v>44504</v>
      </c>
      <c r="B106" s="20" t="s">
        <v>799</v>
      </c>
      <c r="C106" s="20" t="s">
        <v>684</v>
      </c>
      <c r="D106" s="13" t="str">
        <f>VLOOKUP(C:C,'LListat referències'!A:B,2,FALSE)</f>
        <v>Obturador 50 ml</v>
      </c>
      <c r="E106" s="18" t="str">
        <f>VLOOKUP(C:C,'LListat referències'!A:D,4,FALSE)</f>
        <v/>
      </c>
      <c r="F106" s="49">
        <f>VLOOKUP(C:C,'LListat referències'!A:E,5,FALSE)</f>
        <v>1.88</v>
      </c>
      <c r="G106" s="49"/>
      <c r="H106" s="1" t="s">
        <v>797</v>
      </c>
      <c r="I106" s="25"/>
      <c r="J106" s="25">
        <v>18318</v>
      </c>
      <c r="K106" s="25">
        <v>21496</v>
      </c>
      <c r="L106" s="25">
        <v>24766</v>
      </c>
      <c r="M106" s="20">
        <v>46</v>
      </c>
      <c r="N106" s="1">
        <f>Tabla13[[#This Row],[Noche]]-Tabla13[[#This Row],[Mañana ]]</f>
        <v>6448</v>
      </c>
      <c r="O106" s="58">
        <v>0</v>
      </c>
      <c r="P106" s="21">
        <f t="shared" si="3"/>
        <v>0</v>
      </c>
      <c r="Q106" s="22">
        <f>Tabla13[[#This Row],[Merma Salas A &amp; B2]]*1000/Tabla13[[#This Row],[Peso gr.]]</f>
        <v>0</v>
      </c>
      <c r="R106" s="52"/>
      <c r="S106" s="24">
        <f>Tabla13[[#This Row],[Total piezas NOK]]/Tabla13[[#This Row],[Cant. Fabricada (uds)]]</f>
        <v>0</v>
      </c>
    </row>
    <row r="107" spans="1:20" x14ac:dyDescent="0.3">
      <c r="A107" s="43">
        <v>44504</v>
      </c>
      <c r="B107" s="20" t="s">
        <v>759</v>
      </c>
      <c r="C107" s="20" t="s">
        <v>513</v>
      </c>
      <c r="D107" s="13" t="str">
        <f>VLOOKUP(C:C,'LListat referències'!A:B,2,FALSE)</f>
        <v>Tarro 150 ml</v>
      </c>
      <c r="E107" s="18" t="str">
        <f>VLOOKUP(C:C,'LListat referències'!A:D,4,FALSE)</f>
        <v>T057</v>
      </c>
      <c r="F107" s="49">
        <f>VLOOKUP(C:C,'LListat referències'!A:E,5,FALSE)</f>
        <v>160</v>
      </c>
      <c r="G107" s="49"/>
      <c r="H107" s="1" t="s">
        <v>15</v>
      </c>
      <c r="I107" s="25"/>
      <c r="J107" s="25">
        <v>24066</v>
      </c>
      <c r="K107" s="25">
        <v>24582</v>
      </c>
      <c r="L107" s="25">
        <v>25128</v>
      </c>
      <c r="M107" s="20">
        <v>43</v>
      </c>
      <c r="N107" s="1">
        <f>Tabla13[[#This Row],[Noche]]-Tabla13[[#This Row],[Mañana ]]</f>
        <v>1062</v>
      </c>
      <c r="O107" s="58"/>
      <c r="P107" s="21">
        <f t="shared" si="3"/>
        <v>0</v>
      </c>
      <c r="Q107" s="22">
        <f>Tabla13[[#This Row],[Merma Salas A &amp; B2]]*1000/Tabla13[[#This Row],[Peso gr.]]</f>
        <v>0</v>
      </c>
      <c r="R107" s="52"/>
      <c r="S107" s="24">
        <f>Tabla13[[#This Row],[Total piezas NOK]]/Tabla13[[#This Row],[Cant. Fabricada (uds)]]</f>
        <v>0</v>
      </c>
    </row>
    <row r="108" spans="1:20" x14ac:dyDescent="0.3">
      <c r="A108" s="43">
        <v>44504</v>
      </c>
      <c r="B108" s="20" t="s">
        <v>882</v>
      </c>
      <c r="C108" s="20">
        <v>1207</v>
      </c>
      <c r="D108" s="13" t="str">
        <f>VLOOKUP(C:C,'LListat referències'!A:B,2,FALSE)</f>
        <v>Tap principia ovalat rosca gran</v>
      </c>
      <c r="E108" s="18" t="str">
        <f>VLOOKUP(C:C,'LListat referències'!A:D,4,FALSE)</f>
        <v/>
      </c>
      <c r="F108" s="49">
        <f>VLOOKUP(C:C,'LListat referències'!A:E,5,FALSE)</f>
        <v>9</v>
      </c>
      <c r="G108" s="49"/>
      <c r="H108" s="1" t="s">
        <v>797</v>
      </c>
      <c r="I108" s="25"/>
      <c r="J108" s="25">
        <v>5012</v>
      </c>
      <c r="K108" s="25">
        <v>5721</v>
      </c>
      <c r="L108" s="25">
        <v>6478</v>
      </c>
      <c r="M108" s="20">
        <v>50</v>
      </c>
      <c r="N108" s="1">
        <f>Tabla13[[#This Row],[Noche]]-Tabla13[[#This Row],[Mañana ]]</f>
        <v>1466</v>
      </c>
      <c r="O108" s="58"/>
      <c r="P108" s="21">
        <f t="shared" si="3"/>
        <v>0</v>
      </c>
      <c r="Q108" s="22">
        <f>Tabla13[[#This Row],[Merma Salas A &amp; B2]]*1000/Tabla13[[#This Row],[Peso gr.]]</f>
        <v>0</v>
      </c>
      <c r="R108" s="52"/>
      <c r="S108" s="24">
        <f>Tabla13[[#This Row],[Total piezas NOK]]/Tabla13[[#This Row],[Cant. Fabricada (uds)]]</f>
        <v>0</v>
      </c>
    </row>
    <row r="109" spans="1:20" x14ac:dyDescent="0.3">
      <c r="A109" s="43">
        <v>44505</v>
      </c>
      <c r="B109" s="20" t="s">
        <v>765</v>
      </c>
      <c r="C109" s="20">
        <v>1861</v>
      </c>
      <c r="D109" s="13" t="str">
        <f>VLOOKUP(C:C,'LListat referències'!A:B,2,FALSE)</f>
        <v>Tarro 50ml Standard 8 unitats</v>
      </c>
      <c r="E109" s="18" t="str">
        <f>VLOOKUP(C:C,'LListat referències'!A:D,4,FALSE)</f>
        <v>T022</v>
      </c>
      <c r="F109" s="49">
        <f>VLOOKUP(C:C,'LListat referències'!A:E,5,FALSE)</f>
        <v>92</v>
      </c>
      <c r="G109" s="49"/>
      <c r="H109" s="1" t="s">
        <v>15</v>
      </c>
      <c r="I109" s="25"/>
      <c r="J109" s="25"/>
      <c r="K109" s="25"/>
      <c r="L109" s="25"/>
      <c r="M109" s="20">
        <v>40</v>
      </c>
      <c r="N109" s="1">
        <f>Tabla13[[#This Row],[Noche]]-Tabla13[[#This Row],[Mañana ]]</f>
        <v>0</v>
      </c>
      <c r="O109" s="58">
        <v>5</v>
      </c>
      <c r="P109" s="21">
        <f t="shared" si="3"/>
        <v>5</v>
      </c>
      <c r="Q109" s="22">
        <f>Tabla13[[#This Row],[Merma Salas A &amp; B2]]*1000/Tabla13[[#This Row],[Peso gr.]]</f>
        <v>54.347826086956523</v>
      </c>
      <c r="R109" s="52">
        <v>5</v>
      </c>
      <c r="S109" s="24" t="s">
        <v>842</v>
      </c>
      <c r="T109" s="19" t="s">
        <v>827</v>
      </c>
    </row>
    <row r="110" spans="1:20" x14ac:dyDescent="0.3">
      <c r="A110" s="43">
        <v>44505</v>
      </c>
      <c r="B110" s="20" t="s">
        <v>771</v>
      </c>
      <c r="C110" s="20" t="s">
        <v>615</v>
      </c>
      <c r="D110" s="13" t="str">
        <f>VLOOKUP(C:C,'LListat referències'!A:B,2,FALSE)</f>
        <v>Tarro 50ml Tinter Quadrat</v>
      </c>
      <c r="E110" s="18" t="str">
        <f>VLOOKUP(C:C,'LListat referències'!A:D,4,FALSE)</f>
        <v>T116</v>
      </c>
      <c r="F110" s="49">
        <f>VLOOKUP(C:C,'LListat referències'!A:E,5,FALSE)</f>
        <v>121.5</v>
      </c>
      <c r="G110" s="49"/>
      <c r="H110" s="1" t="s">
        <v>8</v>
      </c>
      <c r="I110" s="25"/>
      <c r="J110" s="25">
        <v>7040</v>
      </c>
      <c r="K110" s="25">
        <v>7910</v>
      </c>
      <c r="L110" s="25">
        <v>8274</v>
      </c>
      <c r="M110" s="20">
        <v>30</v>
      </c>
      <c r="N110" s="1">
        <f>Tabla13[[#This Row],[Noche]]-Tabla13[[#This Row],[Mañana ]]</f>
        <v>1234</v>
      </c>
      <c r="O110" s="58">
        <v>5</v>
      </c>
      <c r="P110" s="21">
        <f t="shared" si="3"/>
        <v>5</v>
      </c>
      <c r="Q110" s="22">
        <f>Tabla13[[#This Row],[Merma Salas A &amp; B2]]*1000/Tabla13[[#This Row],[Peso gr.]]</f>
        <v>41.152263374485599</v>
      </c>
      <c r="R110" s="52"/>
      <c r="S110" s="24">
        <f>Tabla13[[#This Row],[Total piezas NOK]]/Tabla13[[#This Row],[Cant. Fabricada (uds)]]</f>
        <v>3.3348673723246028E-2</v>
      </c>
    </row>
    <row r="111" spans="1:20" x14ac:dyDescent="0.3">
      <c r="A111" s="43">
        <v>44505</v>
      </c>
      <c r="B111" s="20" t="s">
        <v>830</v>
      </c>
      <c r="C111" s="20" t="s">
        <v>12</v>
      </c>
      <c r="D111" s="13" t="str">
        <f>VLOOKUP(C:C,'LListat referències'!A:B,2,FALSE)</f>
        <v>Tapa 50 ml mar-mar prima</v>
      </c>
      <c r="E111" s="18" t="str">
        <f>VLOOKUP(C:C,'LListat referències'!A:D,4,FALSE)</f>
        <v>#24</v>
      </c>
      <c r="F111" s="49">
        <f>VLOOKUP(C:C,'LListat referències'!A:E,5,FALSE)</f>
        <v>20.86</v>
      </c>
      <c r="G111" s="49"/>
      <c r="H111" s="1" t="s">
        <v>15</v>
      </c>
      <c r="I111" s="25"/>
      <c r="J111" s="25">
        <v>2454</v>
      </c>
      <c r="K111" s="25">
        <v>6977</v>
      </c>
      <c r="L111" s="25">
        <v>8817</v>
      </c>
      <c r="M111" s="20">
        <v>45</v>
      </c>
      <c r="N111" s="1">
        <f>Tabla13[[#This Row],[Noche]]-Tabla13[[#This Row],[Mañana ]]</f>
        <v>6363</v>
      </c>
      <c r="O111" s="58">
        <v>30</v>
      </c>
      <c r="P111" s="21">
        <f t="shared" si="3"/>
        <v>30</v>
      </c>
      <c r="Q111" s="22">
        <f>Tabla13[[#This Row],[Merma Salas A &amp; B2]]*1000/Tabla13[[#This Row],[Peso gr.]]</f>
        <v>1438.1591562799617</v>
      </c>
      <c r="R111" s="52">
        <v>30</v>
      </c>
      <c r="S111" s="24">
        <f>Tabla13[[#This Row],[Total piezas NOK]]/Tabla13[[#This Row],[Cant. Fabricada (uds)]]</f>
        <v>0.22601904074806881</v>
      </c>
      <c r="T111" s="19" t="s">
        <v>832</v>
      </c>
    </row>
    <row r="112" spans="1:20" x14ac:dyDescent="0.3">
      <c r="A112" s="43">
        <v>44505</v>
      </c>
      <c r="B112" s="20" t="s">
        <v>759</v>
      </c>
      <c r="C112" s="20" t="s">
        <v>513</v>
      </c>
      <c r="D112" s="13" t="str">
        <f>VLOOKUP(C:C,'LListat referències'!A:B,2,FALSE)</f>
        <v>Tarro 150 ml</v>
      </c>
      <c r="E112" s="18" t="str">
        <f>VLOOKUP(C:C,'LListat referències'!A:D,4,FALSE)</f>
        <v>T057</v>
      </c>
      <c r="F112" s="49">
        <f>VLOOKUP(C:C,'LListat referències'!A:E,5,FALSE)</f>
        <v>160</v>
      </c>
      <c r="G112" s="49"/>
      <c r="H112" s="1" t="s">
        <v>8</v>
      </c>
      <c r="I112" s="25"/>
      <c r="J112" s="25"/>
      <c r="K112" s="25"/>
      <c r="L112" s="25"/>
      <c r="M112" s="20">
        <v>43</v>
      </c>
      <c r="N112" s="1">
        <f>Tabla13[[#This Row],[Noche]]-Tabla13[[#This Row],[Mañana ]]</f>
        <v>0</v>
      </c>
      <c r="O112" s="58">
        <v>2.5</v>
      </c>
      <c r="P112" s="21">
        <f t="shared" si="3"/>
        <v>2.5</v>
      </c>
      <c r="Q112" s="22">
        <f>Tabla13[[#This Row],[Merma Salas A &amp; B2]]*1000/Tabla13[[#This Row],[Peso gr.]]</f>
        <v>15.625</v>
      </c>
      <c r="R112" s="52">
        <v>2.5</v>
      </c>
      <c r="S112" s="24" t="s">
        <v>842</v>
      </c>
    </row>
    <row r="113" spans="1:20" x14ac:dyDescent="0.3">
      <c r="A113" s="43">
        <v>44505</v>
      </c>
      <c r="B113" s="20" t="s">
        <v>833</v>
      </c>
      <c r="C113" s="20" t="s">
        <v>478</v>
      </c>
      <c r="D113" s="13" t="str">
        <f>VLOOKUP(C:C,'LListat referències'!A:B,2,FALSE)</f>
        <v xml:space="preserve">Tarro 50 ml labiomar </v>
      </c>
      <c r="E113" s="18" t="str">
        <f>VLOOKUP(C:C,'LListat referències'!A:D,4,FALSE)</f>
        <v>T079</v>
      </c>
      <c r="F113" s="49">
        <f>VLOOKUP(C:C,'LListat referències'!A:E,5,FALSE)</f>
        <v>82.7</v>
      </c>
      <c r="G113" s="49"/>
      <c r="H113" s="1" t="s">
        <v>15</v>
      </c>
      <c r="I113" s="25"/>
      <c r="J113" s="25">
        <v>244</v>
      </c>
      <c r="K113" s="25">
        <v>1184</v>
      </c>
      <c r="L113" s="25">
        <v>2016</v>
      </c>
      <c r="M113" s="20">
        <v>44</v>
      </c>
      <c r="N113" s="1">
        <f>Tabla13[[#This Row],[Noche]]-Tabla13[[#This Row],[Mañana ]]</f>
        <v>1772</v>
      </c>
      <c r="O113" s="58">
        <v>100</v>
      </c>
      <c r="P113" s="21">
        <f t="shared" si="3"/>
        <v>100</v>
      </c>
      <c r="Q113" s="22">
        <f>Tabla13[[#This Row],[Merma Salas A &amp; B2]]*1000/Tabla13[[#This Row],[Peso gr.]]</f>
        <v>1209.1898428053205</v>
      </c>
      <c r="R113" s="52">
        <v>100</v>
      </c>
      <c r="S113" s="24">
        <f>Tabla13[[#This Row],[Total piezas NOK]]/Tabla13[[#This Row],[Cant. Fabricada (uds)]]</f>
        <v>0.68238704447252851</v>
      </c>
      <c r="T113" s="19" t="s">
        <v>834</v>
      </c>
    </row>
    <row r="114" spans="1:20" x14ac:dyDescent="0.3">
      <c r="A114" s="43">
        <v>44505</v>
      </c>
      <c r="B114" s="20" t="s">
        <v>756</v>
      </c>
      <c r="C114" s="20" t="s">
        <v>644</v>
      </c>
      <c r="D114" s="13" t="str">
        <f>VLOOKUP(C:C,'LListat referències'!A:B,2,FALSE)</f>
        <v>Tarro 200ml Quadrat estret (Tapa Rodona)</v>
      </c>
      <c r="E114" s="18">
        <f>VLOOKUP(C:C,'LListat referències'!A:D,4,FALSE)</f>
        <v>0</v>
      </c>
      <c r="F114" s="49">
        <f>VLOOKUP(C:C,'LListat referències'!A:E,5,FALSE)</f>
        <v>220.84</v>
      </c>
      <c r="G114" s="49"/>
      <c r="H114" s="1" t="s">
        <v>7</v>
      </c>
      <c r="I114" s="25"/>
      <c r="J114" s="25">
        <v>19598</v>
      </c>
      <c r="K114" s="25">
        <v>20063</v>
      </c>
      <c r="L114" s="25">
        <v>20262</v>
      </c>
      <c r="M114" s="20">
        <v>41</v>
      </c>
      <c r="N114" s="1">
        <f>Tabla13[[#This Row],[Noche]]-Tabla13[[#This Row],[Mañana ]]</f>
        <v>664</v>
      </c>
      <c r="O114" s="58"/>
      <c r="P114" s="21">
        <f t="shared" si="3"/>
        <v>0</v>
      </c>
      <c r="Q114" s="22">
        <f>Tabla13[[#This Row],[Merma Salas A &amp; B2]]*1000/Tabla13[[#This Row],[Peso gr.]]</f>
        <v>0</v>
      </c>
      <c r="R114" s="52"/>
      <c r="S114" s="24">
        <f>Tabla13[[#This Row],[Total piezas NOK]]/Tabla13[[#This Row],[Cant. Fabricada (uds)]]</f>
        <v>0</v>
      </c>
    </row>
    <row r="115" spans="1:20" x14ac:dyDescent="0.3">
      <c r="A115" s="43">
        <v>44505</v>
      </c>
      <c r="B115" s="20" t="s">
        <v>772</v>
      </c>
      <c r="C115" s="20">
        <v>1897</v>
      </c>
      <c r="D115" s="13" t="str">
        <f>VLOOKUP(C:C,'LListat referències'!A:B,2,FALSE)</f>
        <v>Tapa 50 cc mar mar (6 unit)</v>
      </c>
      <c r="E115" s="18" t="str">
        <f>VLOOKUP(C:C,'LListat referències'!A:D,4,FALSE)</f>
        <v>#6(50 ml)</v>
      </c>
      <c r="F115" s="49">
        <f>VLOOKUP(C:C,'LListat referències'!A:E,5,FALSE)</f>
        <v>32</v>
      </c>
      <c r="G115" s="49"/>
      <c r="H115" s="1" t="s">
        <v>8</v>
      </c>
      <c r="I115" s="25"/>
      <c r="J115" s="25">
        <v>28722</v>
      </c>
      <c r="K115" s="25">
        <v>32904</v>
      </c>
      <c r="L115" s="25">
        <v>34608</v>
      </c>
      <c r="M115" s="20">
        <v>52</v>
      </c>
      <c r="N115" s="1">
        <f>Tabla13[[#This Row],[Noche]]-Tabla13[[#This Row],[Mañana ]]</f>
        <v>5886</v>
      </c>
      <c r="O115" s="58"/>
      <c r="P115" s="21">
        <f t="shared" si="3"/>
        <v>0</v>
      </c>
      <c r="Q115" s="22">
        <f>Tabla13[[#This Row],[Merma Salas A &amp; B2]]*1000/Tabla13[[#This Row],[Peso gr.]]</f>
        <v>0</v>
      </c>
      <c r="R115" s="52"/>
      <c r="S115" s="24">
        <f>Tabla13[[#This Row],[Total piezas NOK]]/Tabla13[[#This Row],[Cant. Fabricada (uds)]]</f>
        <v>0</v>
      </c>
    </row>
    <row r="116" spans="1:20" x14ac:dyDescent="0.3">
      <c r="A116" s="43">
        <v>44505</v>
      </c>
      <c r="B116" s="20" t="s">
        <v>799</v>
      </c>
      <c r="C116" s="20" t="s">
        <v>684</v>
      </c>
      <c r="D116" s="13" t="str">
        <f>VLOOKUP(C:C,'LListat referències'!A:B,2,FALSE)</f>
        <v>Obturador 50 ml</v>
      </c>
      <c r="E116" s="18" t="str">
        <f>VLOOKUP(C:C,'LListat referències'!A:D,4,FALSE)</f>
        <v/>
      </c>
      <c r="F116" s="49">
        <f>VLOOKUP(C:C,'LListat referències'!A:E,5,FALSE)</f>
        <v>1.88</v>
      </c>
      <c r="G116" s="49"/>
      <c r="H116" s="1" t="s">
        <v>797</v>
      </c>
      <c r="I116" s="25"/>
      <c r="J116" s="25">
        <v>27220</v>
      </c>
      <c r="K116" s="25">
        <v>30204</v>
      </c>
      <c r="L116" s="25">
        <v>32802</v>
      </c>
      <c r="M116" s="20">
        <v>46</v>
      </c>
      <c r="N116" s="1">
        <f>Tabla13[[#This Row],[Noche]]-Tabla13[[#This Row],[Mañana ]]</f>
        <v>5582</v>
      </c>
      <c r="O116" s="58">
        <v>0</v>
      </c>
      <c r="P116" s="21">
        <f t="shared" si="3"/>
        <v>0</v>
      </c>
      <c r="Q116" s="22">
        <f>Tabla13[[#This Row],[Merma Salas A &amp; B2]]*1000/Tabla13[[#This Row],[Peso gr.]]</f>
        <v>0</v>
      </c>
      <c r="R116" s="52"/>
      <c r="S116" s="24">
        <f>Tabla13[[#This Row],[Total piezas NOK]]/Tabla13[[#This Row],[Cant. Fabricada (uds)]]</f>
        <v>0</v>
      </c>
    </row>
    <row r="117" spans="1:20" x14ac:dyDescent="0.3">
      <c r="A117" s="43">
        <v>44505</v>
      </c>
      <c r="B117" s="20" t="s">
        <v>759</v>
      </c>
      <c r="C117" s="20" t="s">
        <v>513</v>
      </c>
      <c r="D117" s="13" t="str">
        <f>VLOOKUP(C:C,'LListat referències'!A:B,2,FALSE)</f>
        <v>Tarro 150 ml</v>
      </c>
      <c r="E117" s="18" t="str">
        <f>VLOOKUP(C:C,'LListat referències'!A:D,4,FALSE)</f>
        <v>T057</v>
      </c>
      <c r="F117" s="49">
        <f>VLOOKUP(C:C,'LListat referències'!A:E,5,FALSE)</f>
        <v>160</v>
      </c>
      <c r="G117" s="49"/>
      <c r="H117" s="1" t="s">
        <v>15</v>
      </c>
      <c r="I117" s="25"/>
      <c r="J117" s="25">
        <v>25722</v>
      </c>
      <c r="K117" s="25">
        <v>25860</v>
      </c>
      <c r="L117" s="25">
        <v>25860</v>
      </c>
      <c r="M117" s="20">
        <v>43</v>
      </c>
      <c r="N117" s="1">
        <f>Tabla13[[#This Row],[Noche]]-Tabla13[[#This Row],[Mañana ]]</f>
        <v>138</v>
      </c>
      <c r="O117" s="58"/>
      <c r="P117" s="21">
        <f t="shared" si="3"/>
        <v>0</v>
      </c>
      <c r="Q117" s="22">
        <f>Tabla13[[#This Row],[Merma Salas A &amp; B2]]*1000/Tabla13[[#This Row],[Peso gr.]]</f>
        <v>0</v>
      </c>
      <c r="R117" s="52"/>
      <c r="S117" s="24">
        <f>Tabla13[[#This Row],[Total piezas NOK]]/Tabla13[[#This Row],[Cant. Fabricada (uds)]]</f>
        <v>0</v>
      </c>
    </row>
    <row r="118" spans="1:20" x14ac:dyDescent="0.3">
      <c r="A118" s="43">
        <v>44505</v>
      </c>
      <c r="B118" s="20" t="s">
        <v>882</v>
      </c>
      <c r="C118" s="20">
        <v>1207</v>
      </c>
      <c r="D118" s="13" t="str">
        <f>VLOOKUP(C:C,'LListat referències'!A:B,2,FALSE)</f>
        <v>Tap principia ovalat rosca gran</v>
      </c>
      <c r="E118" s="18" t="str">
        <f>VLOOKUP(C:C,'LListat referències'!A:D,4,FALSE)</f>
        <v/>
      </c>
      <c r="F118" s="49">
        <f>VLOOKUP(C:C,'LListat referències'!A:E,5,FALSE)</f>
        <v>9</v>
      </c>
      <c r="G118" s="49"/>
      <c r="H118" s="1" t="s">
        <v>797</v>
      </c>
      <c r="I118" s="25"/>
      <c r="J118" s="25">
        <v>7222</v>
      </c>
      <c r="K118" s="25">
        <v>7881</v>
      </c>
      <c r="L118" s="25">
        <v>8534</v>
      </c>
      <c r="M118" s="20">
        <v>50</v>
      </c>
      <c r="N118" s="1">
        <f>Tabla13[[#This Row],[Noche]]-Tabla13[[#This Row],[Mañana ]]</f>
        <v>1312</v>
      </c>
      <c r="O118" s="58"/>
      <c r="P118" s="21">
        <f t="shared" si="3"/>
        <v>0</v>
      </c>
      <c r="Q118" s="22">
        <f>Tabla13[[#This Row],[Merma Salas A &amp; B2]]*1000/Tabla13[[#This Row],[Peso gr.]]</f>
        <v>0</v>
      </c>
      <c r="R118" s="52"/>
      <c r="S118" s="24">
        <f>Tabla13[[#This Row],[Total piezas NOK]]/Tabla13[[#This Row],[Cant. Fabricada (uds)]]</f>
        <v>0</v>
      </c>
    </row>
    <row r="119" spans="1:20" x14ac:dyDescent="0.3">
      <c r="A119" s="43">
        <v>44506</v>
      </c>
      <c r="B119" s="20" t="s">
        <v>767</v>
      </c>
      <c r="C119" s="20">
        <v>1790</v>
      </c>
      <c r="D119" s="13" t="str">
        <f>VLOOKUP(C:C,'LListat referències'!A:B,2,FALSE)</f>
        <v>Tarro 100ml</v>
      </c>
      <c r="E119" s="18" t="str">
        <f>VLOOKUP(C:C,'LListat referències'!A:D,4,FALSE)</f>
        <v>T029</v>
      </c>
      <c r="F119" s="49">
        <f>VLOOKUP(C:C,'LListat referències'!A:E,5,FALSE)</f>
        <v>151</v>
      </c>
      <c r="G119" s="49"/>
      <c r="H119" s="1" t="s">
        <v>7</v>
      </c>
      <c r="I119" s="25"/>
      <c r="J119" s="25">
        <v>5109</v>
      </c>
      <c r="K119" s="25">
        <v>5532</v>
      </c>
      <c r="L119" s="25">
        <v>5723</v>
      </c>
      <c r="M119" s="20">
        <v>41</v>
      </c>
      <c r="N119" s="1">
        <f>Tabla13[[#This Row],[Noche]]-Tabla13[[#This Row],[Mañana ]]</f>
        <v>614</v>
      </c>
      <c r="O119" s="58"/>
      <c r="P119" s="21">
        <f t="shared" si="3"/>
        <v>0</v>
      </c>
      <c r="Q119" s="22">
        <f>Tabla13[[#This Row],[Merma Salas A &amp; B2]]*1000/Tabla13[[#This Row],[Peso gr.]]</f>
        <v>0</v>
      </c>
      <c r="R119" s="52"/>
      <c r="S119" s="24">
        <f>Tabla13[[#This Row],[Total piezas NOK]]/Tabla13[[#This Row],[Cant. Fabricada (uds)]]</f>
        <v>0</v>
      </c>
    </row>
    <row r="120" spans="1:20" x14ac:dyDescent="0.3">
      <c r="A120" s="43">
        <v>44508</v>
      </c>
      <c r="B120" s="20" t="s">
        <v>771</v>
      </c>
      <c r="C120" s="20" t="s">
        <v>615</v>
      </c>
      <c r="D120" s="13" t="str">
        <f>VLOOKUP(C:C,'LListat referències'!A:B,2,FALSE)</f>
        <v>Tarro 50ml Tinter Quadrat</v>
      </c>
      <c r="E120" s="18" t="str">
        <f>VLOOKUP(C:C,'LListat referències'!A:D,4,FALSE)</f>
        <v>T116</v>
      </c>
      <c r="F120" s="49">
        <f>VLOOKUP(C:C,'LListat referències'!A:E,5,FALSE)</f>
        <v>121.5</v>
      </c>
      <c r="G120" s="49"/>
      <c r="H120" s="1" t="s">
        <v>8</v>
      </c>
      <c r="I120" s="25"/>
      <c r="J120" s="25">
        <v>8274</v>
      </c>
      <c r="K120" s="25">
        <v>9036</v>
      </c>
      <c r="L120" s="25">
        <v>9494</v>
      </c>
      <c r="M120" s="20">
        <v>30</v>
      </c>
      <c r="N120" s="1">
        <f>Tabla13[[#This Row],[Noche]]-Tabla13[[#This Row],[Mañana ]]</f>
        <v>1220</v>
      </c>
      <c r="O120" s="58">
        <v>5</v>
      </c>
      <c r="P120" s="21">
        <f t="shared" si="3"/>
        <v>5</v>
      </c>
      <c r="Q120" s="22">
        <f>Tabla13[[#This Row],[Merma Salas A &amp; B2]]*1000/Tabla13[[#This Row],[Peso gr.]]</f>
        <v>41.152263374485599</v>
      </c>
      <c r="R120" s="52"/>
      <c r="S120" s="24">
        <f>Tabla13[[#This Row],[Total piezas NOK]]/Tabla13[[#This Row],[Cant. Fabricada (uds)]]</f>
        <v>3.3731363421709508E-2</v>
      </c>
    </row>
    <row r="121" spans="1:20" x14ac:dyDescent="0.3">
      <c r="A121" s="43">
        <v>44508</v>
      </c>
      <c r="B121" s="20" t="s">
        <v>830</v>
      </c>
      <c r="C121" s="20" t="s">
        <v>12</v>
      </c>
      <c r="D121" s="13" t="str">
        <f>VLOOKUP(C:C,'LListat referències'!A:B,2,FALSE)</f>
        <v>Tapa 50 ml mar-mar prima</v>
      </c>
      <c r="E121" s="18" t="str">
        <f>VLOOKUP(C:C,'LListat referències'!A:D,4,FALSE)</f>
        <v>#24</v>
      </c>
      <c r="F121" s="49">
        <f>VLOOKUP(C:C,'LListat referències'!A:E,5,FALSE)</f>
        <v>20.86</v>
      </c>
      <c r="G121" s="49"/>
      <c r="H121" s="1" t="s">
        <v>15</v>
      </c>
      <c r="I121" s="25"/>
      <c r="J121" s="25">
        <v>8817</v>
      </c>
      <c r="K121" s="25">
        <v>12885</v>
      </c>
      <c r="L121" s="25">
        <v>15297</v>
      </c>
      <c r="M121" s="20">
        <v>45</v>
      </c>
      <c r="N121" s="1">
        <f>Tabla13[[#This Row],[Noche]]-Tabla13[[#This Row],[Mañana ]]</f>
        <v>6480</v>
      </c>
      <c r="O121" s="58">
        <v>15</v>
      </c>
      <c r="P121" s="21">
        <f t="shared" si="3"/>
        <v>15</v>
      </c>
      <c r="Q121" s="22">
        <f>Tabla13[[#This Row],[Merma Salas A &amp; B2]]*1000/Tabla13[[#This Row],[Peso gr.]]</f>
        <v>719.07957813998087</v>
      </c>
      <c r="R121" s="52"/>
      <c r="S121" s="24">
        <f>Tabla13[[#This Row],[Total piezas NOK]]/Tabla13[[#This Row],[Cant. Fabricada (uds)]]</f>
        <v>0.11096907070061433</v>
      </c>
    </row>
    <row r="122" spans="1:20" x14ac:dyDescent="0.3">
      <c r="A122" s="43">
        <v>44508</v>
      </c>
      <c r="B122" s="20" t="s">
        <v>833</v>
      </c>
      <c r="C122" s="20" t="s">
        <v>478</v>
      </c>
      <c r="D122" s="13" t="str">
        <f>VLOOKUP(C:C,'LListat referències'!A:B,2,FALSE)</f>
        <v xml:space="preserve">Tarro 50 ml labiomar </v>
      </c>
      <c r="E122" s="18" t="str">
        <f>VLOOKUP(C:C,'LListat referències'!A:D,4,FALSE)</f>
        <v>T079</v>
      </c>
      <c r="F122" s="49">
        <f>VLOOKUP(C:C,'LListat referències'!A:E,5,FALSE)</f>
        <v>82.7</v>
      </c>
      <c r="G122" s="49"/>
      <c r="H122" s="1" t="s">
        <v>15</v>
      </c>
      <c r="I122" s="25"/>
      <c r="J122" s="25">
        <v>2016</v>
      </c>
      <c r="K122" s="25">
        <v>3209</v>
      </c>
      <c r="L122" s="25">
        <v>4004</v>
      </c>
      <c r="M122" s="20">
        <v>44</v>
      </c>
      <c r="N122" s="1">
        <f>Tabla13[[#This Row],[Noche]]-Tabla13[[#This Row],[Mañana ]]</f>
        <v>1988</v>
      </c>
      <c r="O122" s="58"/>
      <c r="P122" s="21">
        <f t="shared" si="3"/>
        <v>0</v>
      </c>
      <c r="Q122" s="22">
        <f>Tabla13[[#This Row],[Merma Salas A &amp; B2]]*1000/Tabla13[[#This Row],[Peso gr.]]</f>
        <v>0</v>
      </c>
      <c r="R122" s="52"/>
      <c r="S122" s="24">
        <f>Tabla13[[#This Row],[Total piezas NOK]]/Tabla13[[#This Row],[Cant. Fabricada (uds)]]</f>
        <v>0</v>
      </c>
    </row>
    <row r="123" spans="1:20" x14ac:dyDescent="0.3">
      <c r="A123" s="43">
        <v>44508</v>
      </c>
      <c r="B123" s="20" t="s">
        <v>756</v>
      </c>
      <c r="C123" s="20" t="s">
        <v>644</v>
      </c>
      <c r="D123" s="13" t="str">
        <f>VLOOKUP(C:C,'LListat referències'!A:B,2,FALSE)</f>
        <v>Tarro 200ml Quadrat estret (Tapa Rodona)</v>
      </c>
      <c r="E123" s="18">
        <f>VLOOKUP(C:C,'LListat referències'!A:D,4,FALSE)</f>
        <v>0</v>
      </c>
      <c r="F123" s="49">
        <f>VLOOKUP(C:C,'LListat referències'!A:E,5,FALSE)</f>
        <v>220.84</v>
      </c>
      <c r="G123" s="49"/>
      <c r="H123" s="1" t="s">
        <v>7</v>
      </c>
      <c r="I123" s="25"/>
      <c r="J123" s="25">
        <v>20262</v>
      </c>
      <c r="K123" s="25">
        <v>20691</v>
      </c>
      <c r="L123" s="25">
        <v>20926</v>
      </c>
      <c r="M123" s="20">
        <v>41</v>
      </c>
      <c r="N123" s="1">
        <f>Tabla13[[#This Row],[Noche]]-Tabla13[[#This Row],[Mañana ]]</f>
        <v>664</v>
      </c>
      <c r="O123" s="58"/>
      <c r="P123" s="21">
        <f t="shared" si="3"/>
        <v>0</v>
      </c>
      <c r="Q123" s="22">
        <f>Tabla13[[#This Row],[Merma Salas A &amp; B2]]*1000/Tabla13[[#This Row],[Peso gr.]]</f>
        <v>0</v>
      </c>
      <c r="R123" s="52"/>
      <c r="S123" s="24">
        <f>Tabla13[[#This Row],[Total piezas NOK]]/Tabla13[[#This Row],[Cant. Fabricada (uds)]]</f>
        <v>0</v>
      </c>
    </row>
    <row r="124" spans="1:20" x14ac:dyDescent="0.3">
      <c r="A124" s="43">
        <v>44508</v>
      </c>
      <c r="B124" s="20" t="s">
        <v>767</v>
      </c>
      <c r="C124" s="20">
        <v>1790</v>
      </c>
      <c r="D124" s="13" t="str">
        <f>VLOOKUP(C:C,'LListat referències'!A:B,2,FALSE)</f>
        <v>Tarro 100ml</v>
      </c>
      <c r="E124" s="18" t="str">
        <f>VLOOKUP(C:C,'LListat referències'!A:D,4,FALSE)</f>
        <v>T029</v>
      </c>
      <c r="F124" s="49">
        <f>VLOOKUP(C:C,'LListat referències'!A:E,5,FALSE)</f>
        <v>151</v>
      </c>
      <c r="G124" s="49"/>
      <c r="H124" s="1" t="s">
        <v>7</v>
      </c>
      <c r="I124" s="25"/>
      <c r="J124" s="25">
        <v>5723</v>
      </c>
      <c r="K124" s="25">
        <v>6113</v>
      </c>
      <c r="L124" s="25">
        <v>6338</v>
      </c>
      <c r="M124" s="20">
        <v>41</v>
      </c>
      <c r="N124" s="1">
        <f>Tabla13[[#This Row],[Noche]]-Tabla13[[#This Row],[Mañana ]]</f>
        <v>615</v>
      </c>
      <c r="O124" s="58"/>
      <c r="P124" s="21">
        <f t="shared" si="3"/>
        <v>0</v>
      </c>
      <c r="Q124" s="22">
        <f>Tabla13[[#This Row],[Merma Salas A &amp; B2]]*1000/Tabla13[[#This Row],[Peso gr.]]</f>
        <v>0</v>
      </c>
      <c r="R124" s="52"/>
      <c r="S124" s="24">
        <f>Tabla13[[#This Row],[Total piezas NOK]]/Tabla13[[#This Row],[Cant. Fabricada (uds)]]</f>
        <v>0</v>
      </c>
    </row>
    <row r="125" spans="1:20" x14ac:dyDescent="0.3">
      <c r="A125" s="43">
        <v>44508</v>
      </c>
      <c r="B125" s="20" t="s">
        <v>835</v>
      </c>
      <c r="C125" s="20">
        <v>1897</v>
      </c>
      <c r="D125" s="13" t="str">
        <f>VLOOKUP(C:C,'LListat referències'!A:B,2,FALSE)</f>
        <v>Tapa 50 cc mar mar (6 unit)</v>
      </c>
      <c r="E125" s="18" t="str">
        <f>VLOOKUP(C:C,'LListat referències'!A:D,4,FALSE)</f>
        <v>#6(50 ml)</v>
      </c>
      <c r="F125" s="49">
        <f>VLOOKUP(C:C,'LListat referències'!A:E,5,FALSE)</f>
        <v>32</v>
      </c>
      <c r="G125" s="49"/>
      <c r="H125" s="1" t="s">
        <v>7</v>
      </c>
      <c r="I125" s="25"/>
      <c r="J125" s="25">
        <v>34608</v>
      </c>
      <c r="K125" s="25">
        <v>38208</v>
      </c>
      <c r="L125" s="25">
        <v>40344</v>
      </c>
      <c r="M125" s="20">
        <v>41</v>
      </c>
      <c r="N125" s="1">
        <f>Tabla13[[#This Row],[Noche]]-Tabla13[[#This Row],[Mañana ]]</f>
        <v>5736</v>
      </c>
      <c r="O125" s="58"/>
      <c r="P125" s="21">
        <f t="shared" si="3"/>
        <v>0</v>
      </c>
      <c r="Q125" s="22">
        <f>Tabla13[[#This Row],[Merma Salas A &amp; B2]]*1000/Tabla13[[#This Row],[Peso gr.]]</f>
        <v>0</v>
      </c>
      <c r="R125" s="52"/>
      <c r="S125" s="24">
        <f>Tabla13[[#This Row],[Total piezas NOK]]/Tabla13[[#This Row],[Cant. Fabricada (uds)]]</f>
        <v>0</v>
      </c>
    </row>
    <row r="126" spans="1:20" x14ac:dyDescent="0.3">
      <c r="A126" s="43">
        <v>44508</v>
      </c>
      <c r="B126" s="20" t="s">
        <v>756</v>
      </c>
      <c r="C126" s="20" t="s">
        <v>644</v>
      </c>
      <c r="D126" s="13" t="str">
        <f>VLOOKUP(C:C,'LListat referències'!A:B,2,FALSE)</f>
        <v>Tarro 200ml Quadrat estret (Tapa Rodona)</v>
      </c>
      <c r="E126" s="18">
        <f>VLOOKUP(C:C,'LListat referències'!A:D,4,FALSE)</f>
        <v>0</v>
      </c>
      <c r="F126" s="49">
        <f>VLOOKUP(C:C,'LListat referències'!A:E,5,FALSE)</f>
        <v>220.84</v>
      </c>
      <c r="G126" s="49"/>
      <c r="H126" s="1" t="s">
        <v>7</v>
      </c>
      <c r="I126" s="25"/>
      <c r="J126" s="25">
        <v>20960</v>
      </c>
      <c r="K126" s="25">
        <v>21392</v>
      </c>
      <c r="L126" s="25">
        <v>21627</v>
      </c>
      <c r="M126" s="20">
        <v>41</v>
      </c>
      <c r="N126" s="1">
        <f>Tabla13[[#This Row],[Noche]]-Tabla13[[#This Row],[Mañana ]]</f>
        <v>667</v>
      </c>
      <c r="O126" s="58">
        <v>10</v>
      </c>
      <c r="P126" s="21">
        <f t="shared" si="3"/>
        <v>10</v>
      </c>
      <c r="Q126" s="22">
        <f>Tabla13[[#This Row],[Merma Salas A &amp; B2]]*1000/Tabla13[[#This Row],[Peso gr.]]</f>
        <v>45.28165187466039</v>
      </c>
      <c r="R126" s="52"/>
      <c r="S126" s="24">
        <f>Tabla13[[#This Row],[Total piezas NOK]]/Tabla13[[#This Row],[Cant. Fabricada (uds)]]</f>
        <v>6.7888533545217983E-2</v>
      </c>
    </row>
    <row r="127" spans="1:20" x14ac:dyDescent="0.3">
      <c r="A127" s="43">
        <v>44508</v>
      </c>
      <c r="B127" s="20" t="s">
        <v>772</v>
      </c>
      <c r="C127" s="20">
        <v>1897</v>
      </c>
      <c r="D127" s="13" t="str">
        <f>VLOOKUP(C:C,'LListat referències'!A:B,2,FALSE)</f>
        <v>Tapa 50 cc mar mar (6 unit)</v>
      </c>
      <c r="E127" s="18" t="str">
        <f>VLOOKUP(C:C,'LListat referències'!A:D,4,FALSE)</f>
        <v>#6(50 ml)</v>
      </c>
      <c r="F127" s="49">
        <f>VLOOKUP(C:C,'LListat referències'!A:E,5,FALSE)</f>
        <v>32</v>
      </c>
      <c r="G127" s="49"/>
      <c r="H127" s="1" t="s">
        <v>8</v>
      </c>
      <c r="I127" s="25"/>
      <c r="J127" s="25">
        <v>34608</v>
      </c>
      <c r="K127" s="25">
        <v>28208</v>
      </c>
      <c r="L127" s="25">
        <v>40344</v>
      </c>
      <c r="M127" s="20">
        <v>52</v>
      </c>
      <c r="N127" s="1">
        <f>Tabla13[[#This Row],[Noche]]-Tabla13[[#This Row],[Mañana ]]</f>
        <v>5736</v>
      </c>
      <c r="O127" s="58">
        <v>20</v>
      </c>
      <c r="P127" s="21">
        <f t="shared" si="3"/>
        <v>20</v>
      </c>
      <c r="Q127" s="22">
        <f>Tabla13[[#This Row],[Merma Salas A &amp; B2]]*1000/Tabla13[[#This Row],[Peso gr.]]</f>
        <v>625</v>
      </c>
      <c r="R127" s="52"/>
      <c r="S127" s="24">
        <f>Tabla13[[#This Row],[Total piezas NOK]]/Tabla13[[#This Row],[Cant. Fabricada (uds)]]</f>
        <v>0.10896094839609484</v>
      </c>
    </row>
    <row r="128" spans="1:20" x14ac:dyDescent="0.3">
      <c r="A128" s="43">
        <v>44508</v>
      </c>
      <c r="B128" s="20" t="s">
        <v>836</v>
      </c>
      <c r="C128" s="20" t="s">
        <v>12</v>
      </c>
      <c r="D128" s="13" t="str">
        <f>VLOOKUP(C:C,'LListat referències'!A:B,2,FALSE)</f>
        <v>Tapa 50 ml mar-mar prima</v>
      </c>
      <c r="E128" s="18" t="str">
        <f>VLOOKUP(C:C,'LListat referències'!A:D,4,FALSE)</f>
        <v>#24</v>
      </c>
      <c r="F128" s="49">
        <f>VLOOKUP(C:C,'LListat referències'!A:E,5,FALSE)</f>
        <v>20.86</v>
      </c>
      <c r="G128" s="49"/>
      <c r="H128" s="1" t="s">
        <v>15</v>
      </c>
      <c r="I128" s="25"/>
      <c r="J128" s="25"/>
      <c r="K128" s="25"/>
      <c r="L128" s="25"/>
      <c r="M128" s="20">
        <v>45</v>
      </c>
      <c r="N128" s="1">
        <f>Tabla13[[#This Row],[Noche]]-Tabla13[[#This Row],[Mañana ]]</f>
        <v>0</v>
      </c>
      <c r="O128" s="58">
        <v>30</v>
      </c>
      <c r="P128" s="21">
        <f t="shared" si="3"/>
        <v>30</v>
      </c>
      <c r="Q128" s="22">
        <f>Tabla13[[#This Row],[Merma Salas A &amp; B2]]*1000/Tabla13[[#This Row],[Peso gr.]]</f>
        <v>1438.1591562799617</v>
      </c>
      <c r="R128" s="52">
        <v>30</v>
      </c>
      <c r="S128" s="24" t="s">
        <v>842</v>
      </c>
      <c r="T128" s="19" t="s">
        <v>837</v>
      </c>
    </row>
    <row r="129" spans="1:20" x14ac:dyDescent="0.3">
      <c r="A129" s="43">
        <v>44508</v>
      </c>
      <c r="B129" s="20" t="s">
        <v>767</v>
      </c>
      <c r="C129" s="20">
        <v>1790</v>
      </c>
      <c r="D129" s="13" t="str">
        <f>VLOOKUP(C:C,'LListat referències'!A:B,2,FALSE)</f>
        <v>Tarro 100ml</v>
      </c>
      <c r="E129" s="18" t="str">
        <f>VLOOKUP(C:C,'LListat referències'!A:D,4,FALSE)</f>
        <v>T029</v>
      </c>
      <c r="F129" s="49">
        <f>VLOOKUP(C:C,'LListat referències'!A:E,5,FALSE)</f>
        <v>151</v>
      </c>
      <c r="G129" s="49"/>
      <c r="H129" s="1" t="s">
        <v>7</v>
      </c>
      <c r="I129" s="25"/>
      <c r="J129" s="25">
        <v>4456</v>
      </c>
      <c r="K129" s="25">
        <v>5911</v>
      </c>
      <c r="L129" s="25">
        <v>6338</v>
      </c>
      <c r="M129" s="20">
        <v>51</v>
      </c>
      <c r="N129" s="1">
        <f>Tabla13[[#This Row],[Noche]]-Tabla13[[#This Row],[Mañana ]]</f>
        <v>1882</v>
      </c>
      <c r="O129" s="58">
        <v>1.5</v>
      </c>
      <c r="P129" s="21">
        <v>1.5</v>
      </c>
      <c r="Q129" s="22">
        <f>Tabla13[[#This Row],[Merma Salas A &amp; B2]]*1000/Tabla13[[#This Row],[Peso gr.]]</f>
        <v>9.9337748344370862</v>
      </c>
      <c r="R129" s="52"/>
      <c r="S129" s="24">
        <f>Tabla13[[#This Row],[Total piezas NOK]]/Tabla13[[#This Row],[Cant. Fabricada (uds)]]</f>
        <v>5.2783075634628513E-3</v>
      </c>
    </row>
    <row r="130" spans="1:20" x14ac:dyDescent="0.3">
      <c r="A130" s="43">
        <v>44508</v>
      </c>
      <c r="B130" s="20" t="s">
        <v>853</v>
      </c>
      <c r="C130" s="20" t="s">
        <v>854</v>
      </c>
      <c r="D130" s="13" t="e">
        <f>VLOOKUP(C:C,'LListat referències'!A:B,2,FALSE)</f>
        <v>#N/A</v>
      </c>
      <c r="E130" s="18" t="e">
        <f>VLOOKUP(C:C,'LListat referències'!A:D,4,FALSE)</f>
        <v>#N/A</v>
      </c>
      <c r="F130" s="49">
        <v>20</v>
      </c>
      <c r="G130" s="49"/>
      <c r="H130" s="1" t="s">
        <v>797</v>
      </c>
      <c r="I130" s="25"/>
      <c r="J130" s="25"/>
      <c r="K130" s="25">
        <v>1156</v>
      </c>
      <c r="L130" s="25">
        <v>3550</v>
      </c>
      <c r="M130" s="20">
        <v>49</v>
      </c>
      <c r="N130" s="1">
        <f>Tabla13[[#This Row],[Noche]]-Tabla13[[#This Row],[Mañana ]]</f>
        <v>3550</v>
      </c>
      <c r="O130" s="58">
        <v>0</v>
      </c>
      <c r="P130" s="21">
        <f t="shared" ref="P130:P135" si="4">SUM(O130:O130)</f>
        <v>0</v>
      </c>
      <c r="Q130" s="22">
        <f>Tabla13[[#This Row],[Merma Salas A &amp; B2]]*1000/Tabla13[[#This Row],[Peso gr.]]</f>
        <v>0</v>
      </c>
      <c r="R130" s="52"/>
      <c r="S130" s="24">
        <f>Tabla13[[#This Row],[Total piezas NOK]]/Tabla13[[#This Row],[Cant. Fabricada (uds)]]</f>
        <v>0</v>
      </c>
    </row>
    <row r="131" spans="1:20" x14ac:dyDescent="0.3">
      <c r="A131" s="43">
        <v>44508</v>
      </c>
      <c r="B131" s="20" t="s">
        <v>855</v>
      </c>
      <c r="C131" s="20" t="s">
        <v>414</v>
      </c>
      <c r="D131" s="13" t="str">
        <f>VLOOKUP(C:C,'LListat referències'!A:B,2,FALSE)</f>
        <v>Int. tapa 50 ml mar-mar prima</v>
      </c>
      <c r="E131" s="18" t="str">
        <f>VLOOKUP(C:C,'LListat referències'!A:D,4,FALSE)</f>
        <v/>
      </c>
      <c r="F131" s="49">
        <v>35</v>
      </c>
      <c r="G131" s="49"/>
      <c r="H131" s="1" t="s">
        <v>797</v>
      </c>
      <c r="I131" s="25"/>
      <c r="J131" s="25">
        <v>0</v>
      </c>
      <c r="K131" s="25">
        <v>902</v>
      </c>
      <c r="L131" s="25">
        <v>2482</v>
      </c>
      <c r="M131" s="20">
        <v>48</v>
      </c>
      <c r="N131" s="1">
        <f>Tabla13[[#This Row],[Noche]]-Tabla13[[#This Row],[Mañana ]]</f>
        <v>2482</v>
      </c>
      <c r="O131" s="58">
        <v>0</v>
      </c>
      <c r="P131" s="21">
        <f t="shared" si="4"/>
        <v>0</v>
      </c>
      <c r="Q131" s="22">
        <f>Tabla13[[#This Row],[Merma Salas A &amp; B2]]*1000/Tabla13[[#This Row],[Peso gr.]]</f>
        <v>0</v>
      </c>
      <c r="R131" s="52"/>
      <c r="S131" s="24">
        <f>Tabla13[[#This Row],[Total piezas NOK]]/Tabla13[[#This Row],[Cant. Fabricada (uds)]]</f>
        <v>0</v>
      </c>
    </row>
    <row r="132" spans="1:20" x14ac:dyDescent="0.3">
      <c r="A132" s="43">
        <v>44508</v>
      </c>
      <c r="B132" s="20" t="s">
        <v>799</v>
      </c>
      <c r="C132" s="20" t="s">
        <v>684</v>
      </c>
      <c r="D132" s="13" t="str">
        <f>VLOOKUP(C:C,'LListat referències'!A:B,2,FALSE)</f>
        <v>Obturador 50 ml</v>
      </c>
      <c r="E132" s="18" t="str">
        <f>VLOOKUP(C:C,'LListat referències'!A:D,4,FALSE)</f>
        <v/>
      </c>
      <c r="F132" s="49">
        <f>VLOOKUP(C:C,'LListat referències'!A:E,5,FALSE)</f>
        <v>1.88</v>
      </c>
      <c r="G132" s="49"/>
      <c r="H132" s="1" t="s">
        <v>797</v>
      </c>
      <c r="I132" s="25"/>
      <c r="J132" s="25">
        <v>34440</v>
      </c>
      <c r="K132" s="25">
        <v>37548</v>
      </c>
      <c r="L132" s="25">
        <v>40984</v>
      </c>
      <c r="M132" s="20">
        <v>46</v>
      </c>
      <c r="N132" s="1">
        <f>Tabla13[[#This Row],[Noche]]-Tabla13[[#This Row],[Mañana ]]</f>
        <v>6544</v>
      </c>
      <c r="O132" s="58">
        <v>0</v>
      </c>
      <c r="P132" s="21">
        <f t="shared" si="4"/>
        <v>0</v>
      </c>
      <c r="Q132" s="22">
        <f>Tabla13[[#This Row],[Merma Salas A &amp; B2]]*1000/Tabla13[[#This Row],[Peso gr.]]</f>
        <v>0</v>
      </c>
      <c r="R132" s="52"/>
      <c r="S132" s="24">
        <f>Tabla13[[#This Row],[Total piezas NOK]]/Tabla13[[#This Row],[Cant. Fabricada (uds)]]</f>
        <v>0</v>
      </c>
    </row>
    <row r="133" spans="1:20" x14ac:dyDescent="0.3">
      <c r="A133" s="43">
        <v>44508</v>
      </c>
      <c r="B133" s="20" t="s">
        <v>877</v>
      </c>
      <c r="C133" s="20">
        <v>1810</v>
      </c>
      <c r="D133" s="13" t="str">
        <f>VLOOKUP(C:C,'LListat referències'!A:B,2,FALSE)</f>
        <v>Cubilet 200ml mónaco</v>
      </c>
      <c r="E133" s="18" t="str">
        <f>VLOOKUP(C:C,'LListat referències'!A:D,4,FALSE)</f>
        <v/>
      </c>
      <c r="F133" s="49">
        <f>VLOOKUP(C:C,'LListat referències'!A:E,5,FALSE)</f>
        <v>5.86</v>
      </c>
      <c r="G133" s="49"/>
      <c r="H133" s="1" t="s">
        <v>797</v>
      </c>
      <c r="I133" s="25"/>
      <c r="J133" s="25"/>
      <c r="K133" s="25"/>
      <c r="L133" s="25">
        <v>500</v>
      </c>
      <c r="M133" s="20">
        <v>24</v>
      </c>
      <c r="N133" s="1">
        <f>Tabla13[[#This Row],[Noche]]-Tabla13[[#This Row],[Mañana ]]</f>
        <v>500</v>
      </c>
      <c r="O133" s="58"/>
      <c r="P133" s="21">
        <f t="shared" si="4"/>
        <v>0</v>
      </c>
      <c r="Q133" s="22">
        <f>Tabla13[[#This Row],[Merma Salas A &amp; B2]]*1000/Tabla13[[#This Row],[Peso gr.]]</f>
        <v>0</v>
      </c>
      <c r="R133" s="52"/>
      <c r="S133" s="24">
        <f>Tabla13[[#This Row],[Total piezas NOK]]/Tabla13[[#This Row],[Cant. Fabricada (uds)]]</f>
        <v>0</v>
      </c>
    </row>
    <row r="134" spans="1:20" x14ac:dyDescent="0.3">
      <c r="A134" s="43">
        <v>44508</v>
      </c>
      <c r="B134" s="20" t="s">
        <v>882</v>
      </c>
      <c r="C134" s="20">
        <v>1207</v>
      </c>
      <c r="D134" s="13" t="str">
        <f>VLOOKUP(C:C,'LListat referències'!A:B,2,FALSE)</f>
        <v>Tap principia ovalat rosca gran</v>
      </c>
      <c r="E134" s="18" t="str">
        <f>VLOOKUP(C:C,'LListat referències'!A:D,4,FALSE)</f>
        <v/>
      </c>
      <c r="F134" s="49">
        <f>VLOOKUP(C:C,'LListat referències'!A:E,5,FALSE)</f>
        <v>9</v>
      </c>
      <c r="G134" s="49"/>
      <c r="H134" s="1" t="s">
        <v>797</v>
      </c>
      <c r="I134" s="25"/>
      <c r="J134" s="25">
        <v>9251</v>
      </c>
      <c r="K134" s="25">
        <v>9964</v>
      </c>
      <c r="L134" s="25">
        <v>10642</v>
      </c>
      <c r="M134" s="20">
        <v>50</v>
      </c>
      <c r="N134" s="1">
        <f>Tabla13[[#This Row],[Noche]]-Tabla13[[#This Row],[Mañana ]]</f>
        <v>1391</v>
      </c>
      <c r="O134" s="58"/>
      <c r="P134" s="21">
        <f t="shared" si="4"/>
        <v>0</v>
      </c>
      <c r="Q134" s="22">
        <f>Tabla13[[#This Row],[Merma Salas A &amp; B2]]*1000/Tabla13[[#This Row],[Peso gr.]]</f>
        <v>0</v>
      </c>
      <c r="R134" s="52"/>
      <c r="S134" s="24">
        <f>Tabla13[[#This Row],[Total piezas NOK]]/Tabla13[[#This Row],[Cant. Fabricada (uds)]]</f>
        <v>0</v>
      </c>
    </row>
    <row r="135" spans="1:20" x14ac:dyDescent="0.3">
      <c r="A135" s="43">
        <v>44509</v>
      </c>
      <c r="B135" s="20" t="s">
        <v>833</v>
      </c>
      <c r="C135" s="20" t="s">
        <v>478</v>
      </c>
      <c r="D135" s="13" t="str">
        <f>VLOOKUP(C:C,'LListat referències'!A:B,2,FALSE)</f>
        <v xml:space="preserve">Tarro 50 ml labiomar </v>
      </c>
      <c r="E135" s="18" t="str">
        <f>VLOOKUP(C:C,'LListat referències'!A:D,4,FALSE)</f>
        <v>T079</v>
      </c>
      <c r="F135" s="49">
        <f>VLOOKUP(C:C,'LListat referències'!A:E,5,FALSE)</f>
        <v>82.7</v>
      </c>
      <c r="G135" s="49"/>
      <c r="H135" s="1" t="s">
        <v>15</v>
      </c>
      <c r="I135" s="25"/>
      <c r="J135" s="25">
        <v>4004</v>
      </c>
      <c r="K135" s="25">
        <v>5582</v>
      </c>
      <c r="L135" s="25">
        <v>6356</v>
      </c>
      <c r="M135" s="20">
        <v>44</v>
      </c>
      <c r="N135" s="1">
        <f>Tabla13[[#This Row],[Noche]]-Tabla13[[#This Row],[Mañana ]]</f>
        <v>2352</v>
      </c>
      <c r="O135" s="58">
        <v>30</v>
      </c>
      <c r="P135" s="21">
        <f t="shared" si="4"/>
        <v>30</v>
      </c>
      <c r="Q135" s="22">
        <f>Tabla13[[#This Row],[Merma Salas A &amp; B2]]*1000/Tabla13[[#This Row],[Peso gr.]]</f>
        <v>362.7569528415961</v>
      </c>
      <c r="R135" s="52"/>
      <c r="S135" s="24">
        <f>Tabla13[[#This Row],[Total piezas NOK]]/Tabla13[[#This Row],[Cant. Fabricada (uds)]]</f>
        <v>0.15423339831700514</v>
      </c>
      <c r="T135" s="19" t="s">
        <v>837</v>
      </c>
    </row>
    <row r="136" spans="1:20" x14ac:dyDescent="0.3">
      <c r="A136" s="43">
        <v>44509</v>
      </c>
      <c r="B136" s="20" t="s">
        <v>756</v>
      </c>
      <c r="C136" s="20" t="s">
        <v>644</v>
      </c>
      <c r="D136" s="13" t="str">
        <f>VLOOKUP(C:C,'LListat referències'!A:B,2,FALSE)</f>
        <v>Tarro 200ml Quadrat estret (Tapa Rodona)</v>
      </c>
      <c r="E136" s="18">
        <f>VLOOKUP(C:C,'LListat referències'!A:D,4,FALSE)</f>
        <v>0</v>
      </c>
      <c r="F136" s="49">
        <f>VLOOKUP(C:C,'LListat referències'!A:E,5,FALSE)</f>
        <v>220.84</v>
      </c>
      <c r="G136" s="49"/>
      <c r="H136" s="1" t="s">
        <v>7</v>
      </c>
      <c r="I136" s="25"/>
      <c r="J136" s="25">
        <v>21627</v>
      </c>
      <c r="K136" s="25">
        <v>22089</v>
      </c>
      <c r="L136" s="25">
        <v>22325</v>
      </c>
      <c r="M136" s="20">
        <v>41</v>
      </c>
      <c r="N136" s="1">
        <f>Tabla13[[#This Row],[Noche]]-Tabla13[[#This Row],[Mañana ]]</f>
        <v>698</v>
      </c>
      <c r="O136" s="58">
        <v>1</v>
      </c>
      <c r="P136" s="21">
        <v>1</v>
      </c>
      <c r="Q136" s="22">
        <f>Tabla13[[#This Row],[Merma Salas A &amp; B2]]*1000/Tabla13[[#This Row],[Peso gr.]]</f>
        <v>4.5281651874660387</v>
      </c>
      <c r="R136" s="52"/>
      <c r="S136" s="24">
        <f>Tabla13[[#This Row],[Total piezas NOK]]/Tabla13[[#This Row],[Cant. Fabricada (uds)]]</f>
        <v>6.4873426754527772E-3</v>
      </c>
    </row>
    <row r="137" spans="1:20" x14ac:dyDescent="0.3">
      <c r="A137" s="43">
        <v>44509</v>
      </c>
      <c r="B137" s="20" t="s">
        <v>772</v>
      </c>
      <c r="C137" s="20">
        <v>1897</v>
      </c>
      <c r="D137" s="13" t="str">
        <f>VLOOKUP(C:C,'LListat referències'!A:B,2,FALSE)</f>
        <v>Tapa 50 cc mar mar (6 unit)</v>
      </c>
      <c r="E137" s="18" t="str">
        <f>VLOOKUP(C:C,'LListat referències'!A:D,4,FALSE)</f>
        <v>#6(50 ml)</v>
      </c>
      <c r="F137" s="49">
        <f>VLOOKUP(C:C,'LListat referències'!A:E,5,FALSE)</f>
        <v>32</v>
      </c>
      <c r="G137" s="49"/>
      <c r="H137" s="1" t="s">
        <v>8</v>
      </c>
      <c r="I137" s="25"/>
      <c r="J137" s="25">
        <v>40344</v>
      </c>
      <c r="K137" s="25">
        <v>44562</v>
      </c>
      <c r="L137" s="25">
        <v>45186</v>
      </c>
      <c r="M137" s="20">
        <v>52</v>
      </c>
      <c r="N137" s="1">
        <f>Tabla13[[#This Row],[Noche]]-Tabla13[[#This Row],[Mañana ]]</f>
        <v>4842</v>
      </c>
      <c r="O137" s="58">
        <v>2</v>
      </c>
      <c r="P137" s="21">
        <f t="shared" ref="P137:P200" si="5">SUM(O137:O137)</f>
        <v>2</v>
      </c>
      <c r="Q137" s="22">
        <f>Tabla13[[#This Row],[Merma Salas A &amp; B2]]*1000/Tabla13[[#This Row],[Peso gr.]]</f>
        <v>62.5</v>
      </c>
      <c r="R137" s="52"/>
      <c r="S137" s="24">
        <f>Tabla13[[#This Row],[Total piezas NOK]]/Tabla13[[#This Row],[Cant. Fabricada (uds)]]</f>
        <v>1.2907889301941346E-2</v>
      </c>
    </row>
    <row r="138" spans="1:20" x14ac:dyDescent="0.3">
      <c r="A138" s="43">
        <v>44509</v>
      </c>
      <c r="B138" s="20" t="s">
        <v>833</v>
      </c>
      <c r="C138" s="20" t="s">
        <v>478</v>
      </c>
      <c r="D138" s="13" t="str">
        <f>VLOOKUP(C:C,'LListat referències'!A:B,2,FALSE)</f>
        <v xml:space="preserve">Tarro 50 ml labiomar </v>
      </c>
      <c r="E138" s="18" t="str">
        <f>VLOOKUP(C:C,'LListat referències'!A:D,4,FALSE)</f>
        <v>T079</v>
      </c>
      <c r="F138" s="49">
        <f>VLOOKUP(C:C,'LListat referències'!A:E,5,FALSE)</f>
        <v>82.7</v>
      </c>
      <c r="G138" s="49"/>
      <c r="H138" s="1" t="s">
        <v>15</v>
      </c>
      <c r="I138" s="25"/>
      <c r="J138" s="25">
        <v>7211</v>
      </c>
      <c r="K138" s="25">
        <v>7715</v>
      </c>
      <c r="L138" s="25">
        <v>8531</v>
      </c>
      <c r="M138" s="20">
        <v>44</v>
      </c>
      <c r="N138" s="1">
        <f>Tabla13[[#This Row],[Noche]]-Tabla13[[#This Row],[Mañana ]]</f>
        <v>1320</v>
      </c>
      <c r="O138" s="58">
        <v>5</v>
      </c>
      <c r="P138" s="21">
        <f t="shared" si="5"/>
        <v>5</v>
      </c>
      <c r="Q138" s="22">
        <f>Tabla13[[#This Row],[Merma Salas A &amp; B2]]*1000/Tabla13[[#This Row],[Peso gr.]]</f>
        <v>60.459492140266022</v>
      </c>
      <c r="R138" s="52"/>
      <c r="S138" s="24">
        <f>Tabla13[[#This Row],[Total piezas NOK]]/Tabla13[[#This Row],[Cant. Fabricada (uds)]]</f>
        <v>4.5802645560807591E-2</v>
      </c>
    </row>
    <row r="139" spans="1:20" x14ac:dyDescent="0.3">
      <c r="A139" s="43">
        <v>44509</v>
      </c>
      <c r="B139" s="20" t="s">
        <v>830</v>
      </c>
      <c r="C139" s="20" t="s">
        <v>12</v>
      </c>
      <c r="D139" s="13" t="str">
        <f>VLOOKUP(C:C,'LListat referències'!A:B,2,FALSE)</f>
        <v>Tapa 50 ml mar-mar prima</v>
      </c>
      <c r="E139" s="18" t="str">
        <f>VLOOKUP(C:C,'LListat referències'!A:D,4,FALSE)</f>
        <v>#24</v>
      </c>
      <c r="F139" s="49">
        <f>VLOOKUP(C:C,'LListat referències'!A:E,5,FALSE)</f>
        <v>20.86</v>
      </c>
      <c r="G139" s="49"/>
      <c r="H139" s="1" t="s">
        <v>15</v>
      </c>
      <c r="I139" s="25"/>
      <c r="J139" s="25">
        <v>15297</v>
      </c>
      <c r="K139" s="25">
        <v>20049</v>
      </c>
      <c r="L139" s="25">
        <v>22441</v>
      </c>
      <c r="M139" s="20">
        <v>45</v>
      </c>
      <c r="N139" s="1">
        <f>Tabla13[[#This Row],[Noche]]-Tabla13[[#This Row],[Mañana ]]</f>
        <v>7144</v>
      </c>
      <c r="O139" s="58">
        <v>25</v>
      </c>
      <c r="P139" s="21">
        <f t="shared" si="5"/>
        <v>25</v>
      </c>
      <c r="Q139" s="22">
        <f>Tabla13[[#This Row],[Merma Salas A &amp; B2]]*1000/Tabla13[[#This Row],[Peso gr.]]</f>
        <v>1198.4659635666346</v>
      </c>
      <c r="R139" s="52"/>
      <c r="S139" s="24">
        <f>Tabla13[[#This Row],[Total piezas NOK]]/Tabla13[[#This Row],[Cant. Fabricada (uds)]]</f>
        <v>0.16775839355635982</v>
      </c>
      <c r="T139" s="19" t="s">
        <v>845</v>
      </c>
    </row>
    <row r="140" spans="1:20" x14ac:dyDescent="0.3">
      <c r="A140" s="43">
        <v>44509</v>
      </c>
      <c r="B140" s="20" t="s">
        <v>767</v>
      </c>
      <c r="C140" s="20">
        <v>1790</v>
      </c>
      <c r="D140" s="13" t="str">
        <f>VLOOKUP(C:C,'LListat referències'!A:B,2,FALSE)</f>
        <v>Tarro 100ml</v>
      </c>
      <c r="E140" s="18" t="str">
        <f>VLOOKUP(C:C,'LListat referències'!A:D,4,FALSE)</f>
        <v>T029</v>
      </c>
      <c r="F140" s="49">
        <f>VLOOKUP(C:C,'LListat referències'!A:E,5,FALSE)</f>
        <v>151</v>
      </c>
      <c r="G140" s="49"/>
      <c r="H140" s="1" t="s">
        <v>7</v>
      </c>
      <c r="I140" s="25"/>
      <c r="J140" s="25">
        <v>6338</v>
      </c>
      <c r="K140" s="25">
        <v>0</v>
      </c>
      <c r="L140" s="25">
        <v>6543</v>
      </c>
      <c r="M140" s="20">
        <v>51</v>
      </c>
      <c r="N140" s="1">
        <f>Tabla13[[#This Row],[Noche]]-Tabla13[[#This Row],[Mañana ]]</f>
        <v>205</v>
      </c>
      <c r="O140" s="58">
        <v>1</v>
      </c>
      <c r="P140" s="21">
        <f t="shared" si="5"/>
        <v>1</v>
      </c>
      <c r="Q140" s="22">
        <f>Tabla13[[#This Row],[Merma Salas A &amp; B2]]*1000/Tabla13[[#This Row],[Peso gr.]]</f>
        <v>6.6225165562913908</v>
      </c>
      <c r="R140" s="52"/>
      <c r="S140" s="24">
        <f>Tabla13[[#This Row],[Total piezas NOK]]/Tabla13[[#This Row],[Cant. Fabricada (uds)]]</f>
        <v>3.2304958811177516E-2</v>
      </c>
    </row>
    <row r="141" spans="1:20" x14ac:dyDescent="0.3">
      <c r="A141" s="43">
        <v>44509</v>
      </c>
      <c r="B141" s="20" t="s">
        <v>753</v>
      </c>
      <c r="C141" s="20">
        <v>1945</v>
      </c>
      <c r="D141" s="13" t="str">
        <f>VLOOKUP(C:C,'LListat referències'!A:B,2,FALSE)</f>
        <v>Tarro 400 ml</v>
      </c>
      <c r="E141" s="18" t="str">
        <f>VLOOKUP(C:C,'LListat referències'!A:D,4,FALSE)</f>
        <v>T113</v>
      </c>
      <c r="F141" s="49">
        <f>VLOOKUP(C:C,'LListat referències'!A:E,5,FALSE)</f>
        <v>211</v>
      </c>
      <c r="G141" s="49"/>
      <c r="H141" s="1" t="s">
        <v>15</v>
      </c>
      <c r="I141" s="25"/>
      <c r="J141" s="25">
        <v>0</v>
      </c>
      <c r="K141" s="25">
        <v>0</v>
      </c>
      <c r="L141" s="25">
        <v>0</v>
      </c>
      <c r="M141" s="20">
        <v>7</v>
      </c>
      <c r="N141" s="1">
        <f>Tabla13[[#This Row],[Noche]]-Tabla13[[#This Row],[Mañana ]]</f>
        <v>0</v>
      </c>
      <c r="O141" s="58">
        <v>105</v>
      </c>
      <c r="P141" s="21">
        <f t="shared" si="5"/>
        <v>105</v>
      </c>
      <c r="Q141" s="22">
        <f>Tabla13[[#This Row],[Merma Salas A &amp; B2]]*1000/Tabla13[[#This Row],[Peso gr.]]</f>
        <v>497.63033175355451</v>
      </c>
      <c r="R141" s="52">
        <v>105</v>
      </c>
      <c r="S141" s="24" t="s">
        <v>842</v>
      </c>
      <c r="T141" s="19" t="s">
        <v>838</v>
      </c>
    </row>
    <row r="142" spans="1:20" x14ac:dyDescent="0.3">
      <c r="A142" s="43">
        <v>44509</v>
      </c>
      <c r="B142" s="20" t="s">
        <v>839</v>
      </c>
      <c r="C142" s="20" t="s">
        <v>10</v>
      </c>
      <c r="D142" s="13" t="str">
        <f>VLOOKUP(C:C,'LListat referències'!A:B,2,FALSE)</f>
        <v xml:space="preserve">Tapa 100 ml prima </v>
      </c>
      <c r="E142" s="18" t="str">
        <f>VLOOKUP(C:C,'LListat referències'!A:D,4,FALSE)</f>
        <v>#26(100 ml)</v>
      </c>
      <c r="F142" s="49">
        <f>VLOOKUP(C:C,'LListat referències'!A:E,5,FALSE)</f>
        <v>30.3</v>
      </c>
      <c r="G142" s="49"/>
      <c r="H142" s="1" t="s">
        <v>15</v>
      </c>
      <c r="I142" s="25"/>
      <c r="J142" s="25">
        <v>344</v>
      </c>
      <c r="K142" s="25">
        <v>2012</v>
      </c>
      <c r="L142" s="25">
        <v>3480</v>
      </c>
      <c r="M142" s="20">
        <v>38</v>
      </c>
      <c r="N142" s="1">
        <f>Tabla13[[#This Row],[Noche]]-Tabla13[[#This Row],[Mañana ]]</f>
        <v>3136</v>
      </c>
      <c r="O142" s="58">
        <v>15</v>
      </c>
      <c r="P142" s="21">
        <f t="shared" si="5"/>
        <v>15</v>
      </c>
      <c r="Q142" s="22">
        <f>Tabla13[[#This Row],[Merma Salas A &amp; B2]]*1000/Tabla13[[#This Row],[Peso gr.]]</f>
        <v>495.04950495049502</v>
      </c>
      <c r="R142" s="52"/>
      <c r="S142" s="24">
        <f>Tabla13[[#This Row],[Total piezas NOK]]/Tabla13[[#This Row],[Cant. Fabricada (uds)]]</f>
        <v>0.15786017377247927</v>
      </c>
      <c r="T142" s="19" t="s">
        <v>844</v>
      </c>
    </row>
    <row r="143" spans="1:20" x14ac:dyDescent="0.3">
      <c r="A143" s="43">
        <v>44509</v>
      </c>
      <c r="B143" s="20" t="s">
        <v>771</v>
      </c>
      <c r="C143" s="20" t="s">
        <v>615</v>
      </c>
      <c r="D143" s="13" t="str">
        <f>VLOOKUP(C:C,'LListat referències'!A:B,2,FALSE)</f>
        <v>Tarro 50ml Tinter Quadrat</v>
      </c>
      <c r="E143" s="18" t="str">
        <f>VLOOKUP(C:C,'LListat referències'!A:D,4,FALSE)</f>
        <v>T116</v>
      </c>
      <c r="F143" s="49">
        <f>VLOOKUP(C:C,'LListat referències'!A:E,5,FALSE)</f>
        <v>121.5</v>
      </c>
      <c r="G143" s="49"/>
      <c r="H143" s="20" t="s">
        <v>8</v>
      </c>
      <c r="I143" s="25"/>
      <c r="J143" s="25">
        <v>9936</v>
      </c>
      <c r="K143" s="25">
        <v>10322</v>
      </c>
      <c r="L143" s="25">
        <v>10500</v>
      </c>
      <c r="M143" s="20">
        <v>30</v>
      </c>
      <c r="N143" s="20">
        <f>Tabla13[[#This Row],[Noche]]-Tabla13[[#This Row],[Mañana ]]</f>
        <v>564</v>
      </c>
      <c r="O143" s="59">
        <v>70</v>
      </c>
      <c r="P143" s="21">
        <f t="shared" si="5"/>
        <v>70</v>
      </c>
      <c r="Q143" s="22">
        <f>Tabla13[[#This Row],[Merma Salas A &amp; B2]]*1000/Tabla13[[#This Row],[Peso gr.]]</f>
        <v>576.13168724279831</v>
      </c>
      <c r="R143" s="52">
        <v>70</v>
      </c>
      <c r="S143" s="24">
        <f>Tabla13[[#This Row],[Total piezas NOK]]/Tabla13[[#This Row],[Cant. Fabricada (uds)]]</f>
        <v>1.0215100837638267</v>
      </c>
      <c r="T143" s="51" t="s">
        <v>840</v>
      </c>
    </row>
    <row r="144" spans="1:20" x14ac:dyDescent="0.3">
      <c r="A144" s="43">
        <v>44509</v>
      </c>
      <c r="B144" s="20" t="s">
        <v>759</v>
      </c>
      <c r="C144" s="20" t="s">
        <v>513</v>
      </c>
      <c r="D144" s="13" t="str">
        <f>VLOOKUP(C:C,'LListat referències'!A:B,2,FALSE)</f>
        <v>Tarro 150 ml</v>
      </c>
      <c r="E144" s="18" t="str">
        <f>VLOOKUP(C:C,'LListat referències'!A:D,4,FALSE)</f>
        <v>T057</v>
      </c>
      <c r="F144" s="49">
        <f>VLOOKUP(C:C,'LListat referències'!A:E,5,FALSE)</f>
        <v>160</v>
      </c>
      <c r="G144" s="49"/>
      <c r="H144" s="1" t="s">
        <v>15</v>
      </c>
      <c r="I144" s="25"/>
      <c r="J144" s="25">
        <v>0</v>
      </c>
      <c r="K144" s="25">
        <v>0</v>
      </c>
      <c r="L144" s="25">
        <v>0</v>
      </c>
      <c r="M144" s="20">
        <v>43</v>
      </c>
      <c r="N144" s="1">
        <f>Tabla13[[#This Row],[Noche]]-Tabla13[[#This Row],[Mañana ]]</f>
        <v>0</v>
      </c>
      <c r="O144" s="58">
        <v>15</v>
      </c>
      <c r="P144" s="21">
        <f t="shared" si="5"/>
        <v>15</v>
      </c>
      <c r="Q144" s="22">
        <f>Tabla13[[#This Row],[Merma Salas A &amp; B2]]*1000/Tabla13[[#This Row],[Peso gr.]]</f>
        <v>93.75</v>
      </c>
      <c r="R144" s="52">
        <v>15</v>
      </c>
      <c r="S144" s="24" t="s">
        <v>842</v>
      </c>
      <c r="T144" s="19" t="s">
        <v>841</v>
      </c>
    </row>
    <row r="145" spans="1:20" x14ac:dyDescent="0.3">
      <c r="A145" s="43">
        <v>44509</v>
      </c>
      <c r="B145" s="20" t="s">
        <v>765</v>
      </c>
      <c r="C145" s="20">
        <v>1861</v>
      </c>
      <c r="D145" s="13" t="str">
        <f>VLOOKUP(C:C,'LListat referències'!A:B,2,FALSE)</f>
        <v>Tarro 50ml Standard 8 unitats</v>
      </c>
      <c r="E145" s="18" t="str">
        <f>VLOOKUP(C:C,'LListat referències'!A:D,4,FALSE)</f>
        <v>T022</v>
      </c>
      <c r="F145" s="49">
        <f>VLOOKUP(C:C,'LListat referències'!A:E,5,FALSE)</f>
        <v>92</v>
      </c>
      <c r="G145" s="49"/>
      <c r="H145" s="1" t="s">
        <v>15</v>
      </c>
      <c r="I145" s="25"/>
      <c r="J145" s="25">
        <v>0</v>
      </c>
      <c r="K145" s="25">
        <v>0</v>
      </c>
      <c r="L145" s="25">
        <v>0</v>
      </c>
      <c r="M145" s="20">
        <v>40</v>
      </c>
      <c r="N145" s="1">
        <f>Tabla13[[#This Row],[Noche]]-Tabla13[[#This Row],[Mañana ]]</f>
        <v>0</v>
      </c>
      <c r="O145" s="58">
        <v>15</v>
      </c>
      <c r="P145" s="21">
        <f t="shared" si="5"/>
        <v>15</v>
      </c>
      <c r="Q145" s="22">
        <f>Tabla13[[#This Row],[Merma Salas A &amp; B2]]*1000/Tabla13[[#This Row],[Peso gr.]]</f>
        <v>163.04347826086956</v>
      </c>
      <c r="R145" s="52">
        <v>15</v>
      </c>
      <c r="S145" s="24" t="s">
        <v>842</v>
      </c>
      <c r="T145" s="19" t="s">
        <v>841</v>
      </c>
    </row>
    <row r="146" spans="1:20" x14ac:dyDescent="0.3">
      <c r="A146" s="43">
        <v>44509</v>
      </c>
      <c r="B146" s="20" t="s">
        <v>853</v>
      </c>
      <c r="C146" s="20" t="s">
        <v>854</v>
      </c>
      <c r="D146" s="13" t="e">
        <f>VLOOKUP(C:C,'LListat referències'!A:B,2,FALSE)</f>
        <v>#N/A</v>
      </c>
      <c r="E146" s="18" t="e">
        <f>VLOOKUP(C:C,'LListat referències'!A:D,4,FALSE)</f>
        <v>#N/A</v>
      </c>
      <c r="F146" s="49">
        <v>20</v>
      </c>
      <c r="G146" s="49"/>
      <c r="H146" s="1" t="s">
        <v>797</v>
      </c>
      <c r="I146" s="25"/>
      <c r="J146" s="25">
        <v>6966</v>
      </c>
      <c r="K146" s="25">
        <v>9620</v>
      </c>
      <c r="L146" s="25">
        <v>12706</v>
      </c>
      <c r="M146" s="20">
        <v>49</v>
      </c>
      <c r="N146" s="1">
        <f>Tabla13[[#This Row],[Noche]]-Tabla13[[#This Row],[Mañana ]]</f>
        <v>5740</v>
      </c>
      <c r="O146" s="58">
        <v>0</v>
      </c>
      <c r="P146" s="21">
        <f t="shared" si="5"/>
        <v>0</v>
      </c>
      <c r="Q146" s="22">
        <f>Tabla13[[#This Row],[Merma Salas A &amp; B2]]*1000/Tabla13[[#This Row],[Peso gr.]]</f>
        <v>0</v>
      </c>
      <c r="R146" s="52"/>
      <c r="S146" s="24">
        <f>Tabla13[[#This Row],[Total piezas NOK]]/Tabla13[[#This Row],[Cant. Fabricada (uds)]]</f>
        <v>0</v>
      </c>
    </row>
    <row r="147" spans="1:20" x14ac:dyDescent="0.3">
      <c r="A147" s="43">
        <v>44509</v>
      </c>
      <c r="B147" s="20" t="s">
        <v>855</v>
      </c>
      <c r="C147" s="20" t="s">
        <v>414</v>
      </c>
      <c r="D147" s="13" t="str">
        <f>VLOOKUP(C:C,'LListat referències'!A:B,2,FALSE)</f>
        <v>Int. tapa 50 ml mar-mar prima</v>
      </c>
      <c r="E147" s="18" t="str">
        <f>VLOOKUP(C:C,'LListat referències'!A:D,4,FALSE)</f>
        <v/>
      </c>
      <c r="F147" s="49">
        <v>35</v>
      </c>
      <c r="G147" s="49"/>
      <c r="H147" s="1" t="s">
        <v>797</v>
      </c>
      <c r="I147" s="25"/>
      <c r="J147" s="25">
        <v>4404</v>
      </c>
      <c r="K147" s="25">
        <v>5724</v>
      </c>
      <c r="L147" s="25">
        <v>7438</v>
      </c>
      <c r="M147" s="20">
        <v>48</v>
      </c>
      <c r="N147" s="1">
        <f>Tabla13[[#This Row],[Noche]]-Tabla13[[#This Row],[Mañana ]]</f>
        <v>3034</v>
      </c>
      <c r="O147" s="58">
        <v>0</v>
      </c>
      <c r="P147" s="21">
        <f t="shared" si="5"/>
        <v>0</v>
      </c>
      <c r="Q147" s="22">
        <f>Tabla13[[#This Row],[Merma Salas A &amp; B2]]*1000/Tabla13[[#This Row],[Peso gr.]]</f>
        <v>0</v>
      </c>
      <c r="R147" s="52"/>
      <c r="S147" s="24">
        <f>Tabla13[[#This Row],[Total piezas NOK]]/Tabla13[[#This Row],[Cant. Fabricada (uds)]]</f>
        <v>0</v>
      </c>
    </row>
    <row r="148" spans="1:20" x14ac:dyDescent="0.3">
      <c r="A148" s="43">
        <v>44509</v>
      </c>
      <c r="B148" s="20" t="s">
        <v>877</v>
      </c>
      <c r="C148" s="20">
        <v>1810</v>
      </c>
      <c r="D148" s="13" t="str">
        <f>VLOOKUP(C:C,'LListat referències'!A:B,2,FALSE)</f>
        <v>Cubilet 200ml mónaco</v>
      </c>
      <c r="E148" s="18" t="str">
        <f>VLOOKUP(C:C,'LListat referències'!A:D,4,FALSE)</f>
        <v/>
      </c>
      <c r="F148" s="49">
        <f>VLOOKUP(C:C,'LListat referències'!A:E,5,FALSE)</f>
        <v>5.86</v>
      </c>
      <c r="G148" s="49"/>
      <c r="H148" s="1" t="s">
        <v>797</v>
      </c>
      <c r="I148" s="25"/>
      <c r="J148" s="25"/>
      <c r="K148" s="25">
        <v>1068</v>
      </c>
      <c r="L148" s="25">
        <v>1690</v>
      </c>
      <c r="M148" s="20">
        <v>24</v>
      </c>
      <c r="N148" s="1">
        <f>Tabla13[[#This Row],[Noche]]-Tabla13[[#This Row],[Mañana ]]</f>
        <v>1690</v>
      </c>
      <c r="O148" s="58"/>
      <c r="P148" s="21">
        <f t="shared" si="5"/>
        <v>0</v>
      </c>
      <c r="Q148" s="22">
        <f>Tabla13[[#This Row],[Merma Salas A &amp; B2]]*1000/Tabla13[[#This Row],[Peso gr.]]</f>
        <v>0</v>
      </c>
      <c r="R148" s="52"/>
      <c r="S148" s="24">
        <f>Tabla13[[#This Row],[Total piezas NOK]]/Tabla13[[#This Row],[Cant. Fabricada (uds)]]</f>
        <v>0</v>
      </c>
    </row>
    <row r="149" spans="1:20" x14ac:dyDescent="0.3">
      <c r="A149" s="43">
        <v>44509</v>
      </c>
      <c r="B149" s="20" t="s">
        <v>882</v>
      </c>
      <c r="C149" s="20">
        <v>1207</v>
      </c>
      <c r="D149" s="13" t="str">
        <f>VLOOKUP(C:C,'LListat referències'!A:B,2,FALSE)</f>
        <v>Tap principia ovalat rosca gran</v>
      </c>
      <c r="E149" s="18" t="str">
        <f>VLOOKUP(C:C,'LListat referències'!A:D,4,FALSE)</f>
        <v/>
      </c>
      <c r="F149" s="49">
        <f>VLOOKUP(C:C,'LListat referències'!A:E,5,FALSE)</f>
        <v>9</v>
      </c>
      <c r="G149" s="49"/>
      <c r="H149" s="1" t="s">
        <v>797</v>
      </c>
      <c r="I149" s="25"/>
      <c r="J149" s="25">
        <v>0</v>
      </c>
      <c r="K149" s="25">
        <v>11279</v>
      </c>
      <c r="L149" s="25">
        <v>12043</v>
      </c>
      <c r="M149" s="20">
        <v>50</v>
      </c>
      <c r="N149" s="1">
        <f>Tabla13[[#This Row],[Noche]]-Tabla13[[#This Row],[Mañana ]]</f>
        <v>12043</v>
      </c>
      <c r="O149" s="58"/>
      <c r="P149" s="21">
        <f t="shared" si="5"/>
        <v>0</v>
      </c>
      <c r="Q149" s="22">
        <f>Tabla13[[#This Row],[Merma Salas A &amp; B2]]*1000/Tabla13[[#This Row],[Peso gr.]]</f>
        <v>0</v>
      </c>
      <c r="R149" s="52"/>
      <c r="S149" s="24">
        <f>Tabla13[[#This Row],[Total piezas NOK]]/Tabla13[[#This Row],[Cant. Fabricada (uds)]]</f>
        <v>0</v>
      </c>
    </row>
    <row r="150" spans="1:20" x14ac:dyDescent="0.3">
      <c r="A150" s="43">
        <v>44509</v>
      </c>
      <c r="B150" s="20" t="s">
        <v>927</v>
      </c>
      <c r="C150" s="20">
        <v>1997</v>
      </c>
      <c r="D150" s="13">
        <f>VLOOKUP(C:C,'LListat referències'!A:B,2,FALSE)</f>
        <v>0</v>
      </c>
      <c r="E150" s="18">
        <f>VLOOKUP(C:C,'LListat referències'!A:D,4,FALSE)</f>
        <v>0</v>
      </c>
      <c r="F150" s="49">
        <f>VLOOKUP(C:C,'LListat referències'!A:E,5,FALSE)</f>
        <v>3.35</v>
      </c>
      <c r="G150" s="49">
        <v>38.380000000000003</v>
      </c>
      <c r="H150" s="1" t="s">
        <v>797</v>
      </c>
      <c r="I150" s="25"/>
      <c r="J150" s="25">
        <v>752583</v>
      </c>
      <c r="K150" s="25">
        <v>756399</v>
      </c>
      <c r="L150" s="25">
        <v>756399</v>
      </c>
      <c r="M150" s="20">
        <v>9</v>
      </c>
      <c r="N150" s="1">
        <f>Tabla13[[#This Row],[Noche]]-Tabla13[[#This Row],[Mañana ]]</f>
        <v>3816</v>
      </c>
      <c r="O150" s="58">
        <v>5</v>
      </c>
      <c r="P150" s="21">
        <f t="shared" si="5"/>
        <v>5</v>
      </c>
      <c r="Q150" s="22">
        <f>Tabla13[[#This Row],[Merma Salas A &amp; B2]]*1000/Tabla13[[#This Row],[Peso gr.]]</f>
        <v>1492.5373134328358</v>
      </c>
      <c r="R150" s="52">
        <v>5</v>
      </c>
      <c r="S150" s="24">
        <f>Tabla13[[#This Row],[Total piezas NOK]]/Tabla13[[#This Row],[Cant. Fabricada (uds)]]</f>
        <v>0.39112613035451671</v>
      </c>
    </row>
    <row r="151" spans="1:20" x14ac:dyDescent="0.3">
      <c r="A151" s="43">
        <v>44510</v>
      </c>
      <c r="B151" s="20" t="s">
        <v>830</v>
      </c>
      <c r="C151" s="20" t="s">
        <v>12</v>
      </c>
      <c r="D151" s="13" t="str">
        <f>VLOOKUP(C:C,'LListat referències'!A:B,2,FALSE)</f>
        <v>Tapa 50 ml mar-mar prima</v>
      </c>
      <c r="E151" s="18" t="str">
        <f>VLOOKUP(C:C,'LListat referències'!A:D,4,FALSE)</f>
        <v>#24</v>
      </c>
      <c r="F151" s="49">
        <f>VLOOKUP(C:C,'LListat referències'!A:E,5,FALSE)</f>
        <v>20.86</v>
      </c>
      <c r="G151" s="49"/>
      <c r="H151" s="1" t="s">
        <v>15</v>
      </c>
      <c r="I151" s="25"/>
      <c r="J151" s="25">
        <v>22441</v>
      </c>
      <c r="K151" s="25">
        <v>26258</v>
      </c>
      <c r="L151" s="25">
        <v>28034</v>
      </c>
      <c r="M151" s="20">
        <v>45</v>
      </c>
      <c r="N151" s="1">
        <f>Tabla13[[#This Row],[Noche]]-Tabla13[[#This Row],[Mañana ]]</f>
        <v>5593</v>
      </c>
      <c r="O151" s="58"/>
      <c r="P151" s="21">
        <f t="shared" si="5"/>
        <v>0</v>
      </c>
      <c r="Q151" s="22">
        <f>Tabla13[[#This Row],[Merma Salas A &amp; B2]]*1000/Tabla13[[#This Row],[Peso gr.]]</f>
        <v>0</v>
      </c>
      <c r="R151" s="52"/>
      <c r="S151" s="24">
        <f>Tabla13[[#This Row],[Total piezas NOK]]/Tabla13[[#This Row],[Cant. Fabricada (uds)]]</f>
        <v>0</v>
      </c>
    </row>
    <row r="152" spans="1:20" x14ac:dyDescent="0.3">
      <c r="A152" s="43">
        <v>44510</v>
      </c>
      <c r="B152" s="20" t="s">
        <v>753</v>
      </c>
      <c r="C152" s="20">
        <v>1945</v>
      </c>
      <c r="D152" s="13" t="str">
        <f>VLOOKUP(C:C,'LListat referències'!A:B,2,FALSE)</f>
        <v>Tarro 400 ml</v>
      </c>
      <c r="E152" s="18" t="str">
        <f>VLOOKUP(C:C,'LListat referències'!A:D,4,FALSE)</f>
        <v>T113</v>
      </c>
      <c r="F152" s="49">
        <f>VLOOKUP(C:C,'LListat referències'!A:E,5,FALSE)</f>
        <v>211</v>
      </c>
      <c r="G152" s="49"/>
      <c r="H152" s="1" t="s">
        <v>15</v>
      </c>
      <c r="I152" s="25"/>
      <c r="J152" s="25">
        <v>392</v>
      </c>
      <c r="K152" s="25">
        <v>846</v>
      </c>
      <c r="L152" s="25">
        <v>2148</v>
      </c>
      <c r="M152" s="20">
        <v>7</v>
      </c>
      <c r="N152" s="1">
        <f>Tabla13[[#This Row],[Noche]]-Tabla13[[#This Row],[Mañana ]]</f>
        <v>1756</v>
      </c>
      <c r="O152" s="58">
        <v>20</v>
      </c>
      <c r="P152" s="21">
        <f t="shared" si="5"/>
        <v>20</v>
      </c>
      <c r="Q152" s="22">
        <f>Tabla13[[#This Row],[Merma Salas A &amp; B2]]*1000/Tabla13[[#This Row],[Peso gr.]]</f>
        <v>94.786729857819907</v>
      </c>
      <c r="R152" s="52"/>
      <c r="S152" s="24">
        <f>Tabla13[[#This Row],[Total piezas NOK]]/Tabla13[[#This Row],[Cant. Fabricada (uds)]]</f>
        <v>5.3978775545455528E-2</v>
      </c>
    </row>
    <row r="153" spans="1:20" x14ac:dyDescent="0.3">
      <c r="A153" s="43">
        <v>44510</v>
      </c>
      <c r="B153" s="20" t="s">
        <v>839</v>
      </c>
      <c r="C153" s="20" t="s">
        <v>10</v>
      </c>
      <c r="D153" s="13" t="str">
        <f>VLOOKUP(C:C,'LListat referències'!A:B,2,FALSE)</f>
        <v xml:space="preserve">Tapa 100 ml prima </v>
      </c>
      <c r="E153" s="18" t="str">
        <f>VLOOKUP(C:C,'LListat referències'!A:D,4,FALSE)</f>
        <v>#26(100 ml)</v>
      </c>
      <c r="F153" s="49">
        <f>VLOOKUP(C:C,'LListat referències'!A:E,5,FALSE)</f>
        <v>30.3</v>
      </c>
      <c r="G153" s="49"/>
      <c r="H153" s="1" t="s">
        <v>15</v>
      </c>
      <c r="I153" s="25"/>
      <c r="J153" s="25">
        <v>4896</v>
      </c>
      <c r="K153" s="25">
        <v>6312</v>
      </c>
      <c r="L153" s="25">
        <v>7436</v>
      </c>
      <c r="M153" s="20">
        <v>38</v>
      </c>
      <c r="N153" s="1">
        <f>Tabla13[[#This Row],[Noche]]-Tabla13[[#This Row],[Mañana ]]</f>
        <v>2540</v>
      </c>
      <c r="O153" s="58">
        <v>0</v>
      </c>
      <c r="P153" s="21">
        <f t="shared" si="5"/>
        <v>0</v>
      </c>
      <c r="Q153" s="22">
        <f>Tabla13[[#This Row],[Merma Salas A &amp; B2]]*1000/Tabla13[[#This Row],[Peso gr.]]</f>
        <v>0</v>
      </c>
      <c r="R153" s="52"/>
      <c r="S153" s="24">
        <f>Tabla13[[#This Row],[Total piezas NOK]]/Tabla13[[#This Row],[Cant. Fabricada (uds)]]</f>
        <v>0</v>
      </c>
    </row>
    <row r="154" spans="1:20" x14ac:dyDescent="0.3">
      <c r="A154" s="43">
        <v>44510</v>
      </c>
      <c r="B154" s="20" t="s">
        <v>771</v>
      </c>
      <c r="C154" s="20" t="s">
        <v>615</v>
      </c>
      <c r="D154" s="13" t="str">
        <f>VLOOKUP(C:C,'LListat referències'!A:B,2,FALSE)</f>
        <v>Tarro 50ml Tinter Quadrat</v>
      </c>
      <c r="E154" s="18" t="str">
        <f>VLOOKUP(C:C,'LListat referències'!A:D,4,FALSE)</f>
        <v>T116</v>
      </c>
      <c r="F154" s="49">
        <f>VLOOKUP(C:C,'LListat referències'!A:E,5,FALSE)</f>
        <v>121.5</v>
      </c>
      <c r="G154" s="49"/>
      <c r="H154" s="1" t="s">
        <v>8</v>
      </c>
      <c r="I154" s="25"/>
      <c r="J154" s="25">
        <v>10726</v>
      </c>
      <c r="K154" s="25">
        <v>11106</v>
      </c>
      <c r="L154" s="25">
        <v>11576</v>
      </c>
      <c r="M154" s="20">
        <v>30</v>
      </c>
      <c r="N154" s="1">
        <f>Tabla13[[#This Row],[Noche]]-Tabla13[[#This Row],[Mañana ]]</f>
        <v>850</v>
      </c>
      <c r="O154" s="58"/>
      <c r="P154" s="21">
        <f t="shared" si="5"/>
        <v>0</v>
      </c>
      <c r="Q154" s="22">
        <f>Tabla13[[#This Row],[Merma Salas A &amp; B2]]*1000/Tabla13[[#This Row],[Peso gr.]]</f>
        <v>0</v>
      </c>
      <c r="R154" s="52"/>
      <c r="S154" s="24">
        <f>Tabla13[[#This Row],[Total piezas NOK]]/Tabla13[[#This Row],[Cant. Fabricada (uds)]]</f>
        <v>0</v>
      </c>
    </row>
    <row r="155" spans="1:20" x14ac:dyDescent="0.3">
      <c r="A155" s="43">
        <v>44510</v>
      </c>
      <c r="B155" s="20" t="s">
        <v>853</v>
      </c>
      <c r="C155" s="20" t="s">
        <v>854</v>
      </c>
      <c r="D155" s="13" t="e">
        <f>VLOOKUP(C:C,'LListat referències'!A:B,2,FALSE)</f>
        <v>#N/A</v>
      </c>
      <c r="E155" s="18" t="e">
        <f>VLOOKUP(C:C,'LListat referències'!A:D,4,FALSE)</f>
        <v>#N/A</v>
      </c>
      <c r="F155" s="49">
        <v>20</v>
      </c>
      <c r="G155" s="49"/>
      <c r="H155" s="1" t="s">
        <v>797</v>
      </c>
      <c r="I155" s="25"/>
      <c r="J155" s="25">
        <v>14626</v>
      </c>
      <c r="K155" s="25">
        <v>16614</v>
      </c>
      <c r="L155" s="25">
        <v>18986</v>
      </c>
      <c r="M155" s="20">
        <v>49</v>
      </c>
      <c r="N155" s="1">
        <f>Tabla13[[#This Row],[Noche]]-Tabla13[[#This Row],[Mañana ]]</f>
        <v>4360</v>
      </c>
      <c r="O155" s="58">
        <v>0</v>
      </c>
      <c r="P155" s="21">
        <f t="shared" si="5"/>
        <v>0</v>
      </c>
      <c r="Q155" s="22">
        <f>Tabla13[[#This Row],[Merma Salas A &amp; B2]]*1000/Tabla13[[#This Row],[Peso gr.]]</f>
        <v>0</v>
      </c>
      <c r="R155" s="52"/>
      <c r="S155" s="24">
        <f>Tabla13[[#This Row],[Total piezas NOK]]/Tabla13[[#This Row],[Cant. Fabricada (uds)]]</f>
        <v>0</v>
      </c>
    </row>
    <row r="156" spans="1:20" x14ac:dyDescent="0.3">
      <c r="A156" s="43">
        <v>44510</v>
      </c>
      <c r="B156" s="20" t="s">
        <v>855</v>
      </c>
      <c r="C156" s="20" t="s">
        <v>414</v>
      </c>
      <c r="D156" s="13" t="str">
        <f>VLOOKUP(C:C,'LListat referències'!A:B,2,FALSE)</f>
        <v>Int. tapa 50 ml mar-mar prima</v>
      </c>
      <c r="E156" s="18" t="str">
        <f>VLOOKUP(C:C,'LListat referències'!A:D,4,FALSE)</f>
        <v/>
      </c>
      <c r="F156" s="49">
        <v>35</v>
      </c>
      <c r="G156" s="49"/>
      <c r="H156" s="1" t="s">
        <v>797</v>
      </c>
      <c r="I156" s="25"/>
      <c r="J156" s="25">
        <v>9262</v>
      </c>
      <c r="K156" s="25">
        <v>10860</v>
      </c>
      <c r="L156" s="25">
        <v>12296</v>
      </c>
      <c r="M156" s="20">
        <v>48</v>
      </c>
      <c r="N156" s="1">
        <f>Tabla13[[#This Row],[Noche]]-Tabla13[[#This Row],[Mañana ]]</f>
        <v>3034</v>
      </c>
      <c r="O156" s="58">
        <v>0</v>
      </c>
      <c r="P156" s="21">
        <f t="shared" si="5"/>
        <v>0</v>
      </c>
      <c r="Q156" s="22">
        <f>Tabla13[[#This Row],[Merma Salas A &amp; B2]]*1000/Tabla13[[#This Row],[Peso gr.]]</f>
        <v>0</v>
      </c>
      <c r="R156" s="52"/>
      <c r="S156" s="24">
        <f>Tabla13[[#This Row],[Total piezas NOK]]/Tabla13[[#This Row],[Cant. Fabricada (uds)]]</f>
        <v>0</v>
      </c>
    </row>
    <row r="157" spans="1:20" x14ac:dyDescent="0.3">
      <c r="A157" s="43">
        <v>44510</v>
      </c>
      <c r="B157" s="20" t="s">
        <v>873</v>
      </c>
      <c r="C157" s="20">
        <v>1704</v>
      </c>
      <c r="D157" s="13" t="str">
        <f>VLOOKUP(C:C,'LListat referències'!A:B,2,FALSE)</f>
        <v>Tarro 50 ml quadrat</v>
      </c>
      <c r="E157" s="18" t="str">
        <f>VLOOKUP(C:C,'LListat referències'!A:D,4,FALSE)</f>
        <v>T046</v>
      </c>
      <c r="F157" s="49">
        <f>VLOOKUP(C:C,'LListat referències'!A:E,5,FALSE)</f>
        <v>99.2</v>
      </c>
      <c r="G157" s="49"/>
      <c r="H157" s="1" t="s">
        <v>15</v>
      </c>
      <c r="I157" s="25"/>
      <c r="J157" s="25"/>
      <c r="K157" s="25"/>
      <c r="L157" s="25"/>
      <c r="M157" s="20"/>
      <c r="N157" s="1">
        <f>Tabla13[[#This Row],[Noche]]-Tabla13[[#This Row],[Mañana ]]</f>
        <v>0</v>
      </c>
      <c r="O157" s="58">
        <v>250</v>
      </c>
      <c r="P157" s="21">
        <f t="shared" si="5"/>
        <v>250</v>
      </c>
      <c r="Q157" s="22">
        <f>Tabla13[[#This Row],[Merma Salas A &amp; B2]]*1000/Tabla13[[#This Row],[Peso gr.]]</f>
        <v>2520.1612903225805</v>
      </c>
      <c r="R157" s="52">
        <v>250</v>
      </c>
      <c r="S157" s="24" t="s">
        <v>842</v>
      </c>
      <c r="T157" s="19" t="s">
        <v>874</v>
      </c>
    </row>
    <row r="158" spans="1:20" x14ac:dyDescent="0.3">
      <c r="A158" s="43">
        <v>44510</v>
      </c>
      <c r="B158" s="20" t="s">
        <v>878</v>
      </c>
      <c r="C158" s="20">
        <v>1905</v>
      </c>
      <c r="D158" s="13" t="str">
        <f>VLOOKUP(C:C,'LListat referències'!A:B,2,FALSE)</f>
        <v>Cubilet 50 ml 4uts</v>
      </c>
      <c r="E158" s="18" t="str">
        <f>VLOOKUP(C:C,'LListat referències'!A:D,4,FALSE)</f>
        <v/>
      </c>
      <c r="F158" s="49">
        <f>VLOOKUP(C:C,'LListat referències'!A:E,5,FALSE)</f>
        <v>3.55</v>
      </c>
      <c r="G158" s="49"/>
      <c r="H158" s="1" t="s">
        <v>797</v>
      </c>
      <c r="I158" s="25"/>
      <c r="J158" s="25"/>
      <c r="K158" s="25">
        <v>2936</v>
      </c>
      <c r="L158" s="25">
        <v>10356</v>
      </c>
      <c r="M158" s="20">
        <v>19</v>
      </c>
      <c r="N158" s="1">
        <f>Tabla13[[#This Row],[Noche]]-Tabla13[[#This Row],[Mañana ]]</f>
        <v>10356</v>
      </c>
      <c r="O158" s="58"/>
      <c r="P158" s="21">
        <f t="shared" si="5"/>
        <v>0</v>
      </c>
      <c r="Q158" s="22">
        <f>Tabla13[[#This Row],[Merma Salas A &amp; B2]]*1000/Tabla13[[#This Row],[Peso gr.]]</f>
        <v>0</v>
      </c>
      <c r="R158" s="52"/>
      <c r="S158" s="24">
        <f>Tabla13[[#This Row],[Total piezas NOK]]/Tabla13[[#This Row],[Cant. Fabricada (uds)]]</f>
        <v>0</v>
      </c>
    </row>
    <row r="159" spans="1:20" x14ac:dyDescent="0.3">
      <c r="A159" s="43">
        <v>44510</v>
      </c>
      <c r="B159" s="20" t="s">
        <v>882</v>
      </c>
      <c r="C159" s="20">
        <v>1207</v>
      </c>
      <c r="D159" s="13" t="str">
        <f>VLOOKUP(C:C,'LListat referències'!A:B,2,FALSE)</f>
        <v>Tap principia ovalat rosca gran</v>
      </c>
      <c r="E159" s="18" t="str">
        <f>VLOOKUP(C:C,'LListat referències'!A:D,4,FALSE)</f>
        <v/>
      </c>
      <c r="F159" s="49">
        <f>VLOOKUP(C:C,'LListat referències'!A:E,5,FALSE)</f>
        <v>9</v>
      </c>
      <c r="G159" s="49"/>
      <c r="H159" s="1" t="s">
        <v>797</v>
      </c>
      <c r="I159" s="25"/>
      <c r="J159" s="25">
        <v>12828</v>
      </c>
      <c r="K159" s="25">
        <v>13492</v>
      </c>
      <c r="L159" s="25">
        <v>14251</v>
      </c>
      <c r="M159" s="20">
        <v>50</v>
      </c>
      <c r="N159" s="1">
        <f>Tabla13[[#This Row],[Noche]]-Tabla13[[#This Row],[Mañana ]]</f>
        <v>1423</v>
      </c>
      <c r="O159" s="58"/>
      <c r="P159" s="21">
        <f t="shared" si="5"/>
        <v>0</v>
      </c>
      <c r="Q159" s="22">
        <f>Tabla13[[#This Row],[Merma Salas A &amp; B2]]*1000/Tabla13[[#This Row],[Peso gr.]]</f>
        <v>0</v>
      </c>
      <c r="R159" s="52"/>
      <c r="S159" s="24">
        <f>Tabla13[[#This Row],[Total piezas NOK]]/Tabla13[[#This Row],[Cant. Fabricada (uds)]]</f>
        <v>0</v>
      </c>
    </row>
    <row r="160" spans="1:20" x14ac:dyDescent="0.3">
      <c r="A160" s="43">
        <v>44511</v>
      </c>
      <c r="B160" s="20" t="s">
        <v>833</v>
      </c>
      <c r="C160" s="20" t="s">
        <v>478</v>
      </c>
      <c r="D160" s="13" t="str">
        <f>VLOOKUP(C:C,'LListat referències'!A:B,2,FALSE)</f>
        <v xml:space="preserve">Tarro 50 ml labiomar </v>
      </c>
      <c r="E160" s="18" t="str">
        <f>VLOOKUP(C:C,'LListat referències'!A:D,4,FALSE)</f>
        <v>T079</v>
      </c>
      <c r="F160" s="49">
        <f>VLOOKUP(C:C,'LListat referències'!A:E,5,FALSE)</f>
        <v>82.7</v>
      </c>
      <c r="G160" s="49"/>
      <c r="H160" s="1" t="s">
        <v>15</v>
      </c>
      <c r="I160" s="25"/>
      <c r="J160" s="25">
        <v>8531</v>
      </c>
      <c r="K160" s="25">
        <v>9278</v>
      </c>
      <c r="L160" s="25">
        <v>10076</v>
      </c>
      <c r="M160" s="20">
        <v>44</v>
      </c>
      <c r="N160" s="1">
        <f>Tabla13[[#This Row],[Noche]]-Tabla13[[#This Row],[Mañana ]]</f>
        <v>1545</v>
      </c>
      <c r="O160" s="58">
        <v>10</v>
      </c>
      <c r="P160" s="21">
        <f t="shared" si="5"/>
        <v>10</v>
      </c>
      <c r="Q160" s="22">
        <f>Tabla13[[#This Row],[Merma Salas A &amp; B2]]*1000/Tabla13[[#This Row],[Peso gr.]]</f>
        <v>120.91898428053204</v>
      </c>
      <c r="R160" s="52"/>
      <c r="S160" s="24">
        <f>Tabla13[[#This Row],[Total piezas NOK]]/Tabla13[[#This Row],[Cant. Fabricada (uds)]]</f>
        <v>7.8264714744680941E-2</v>
      </c>
    </row>
    <row r="161" spans="1:20" x14ac:dyDescent="0.3">
      <c r="A161" s="43">
        <v>44511</v>
      </c>
      <c r="B161" s="20" t="s">
        <v>771</v>
      </c>
      <c r="C161" s="20" t="s">
        <v>615</v>
      </c>
      <c r="D161" s="13" t="str">
        <f>VLOOKUP(C:C,'LListat referències'!A:B,2,FALSE)</f>
        <v>Tarro 50ml Tinter Quadrat</v>
      </c>
      <c r="E161" s="18" t="str">
        <f>VLOOKUP(C:C,'LListat referències'!A:D,4,FALSE)</f>
        <v>T116</v>
      </c>
      <c r="F161" s="49">
        <f>VLOOKUP(C:C,'LListat referències'!A:E,5,FALSE)</f>
        <v>121.5</v>
      </c>
      <c r="G161" s="49"/>
      <c r="H161" s="1" t="s">
        <v>8</v>
      </c>
      <c r="I161" s="25"/>
      <c r="J161" s="25">
        <v>12024</v>
      </c>
      <c r="K161" s="25">
        <v>12446</v>
      </c>
      <c r="L161" s="25">
        <v>12912</v>
      </c>
      <c r="M161" s="20">
        <v>30</v>
      </c>
      <c r="N161" s="1">
        <f>Tabla13[[#This Row],[Noche]]-Tabla13[[#This Row],[Mañana ]]</f>
        <v>888</v>
      </c>
      <c r="O161" s="58">
        <v>20</v>
      </c>
      <c r="P161" s="21">
        <f t="shared" si="5"/>
        <v>20</v>
      </c>
      <c r="Q161" s="22">
        <f>Tabla13[[#This Row],[Merma Salas A &amp; B2]]*1000/Tabla13[[#This Row],[Peso gr.]]</f>
        <v>164.6090534979424</v>
      </c>
      <c r="R161" s="52"/>
      <c r="S161" s="24">
        <f>Tabla13[[#This Row],[Total piezas NOK]]/Tabla13[[#This Row],[Cant. Fabricada (uds)]]</f>
        <v>0.18537055574092612</v>
      </c>
      <c r="T161" s="19" t="s">
        <v>843</v>
      </c>
    </row>
    <row r="162" spans="1:20" x14ac:dyDescent="0.3">
      <c r="A162" s="43">
        <v>44511</v>
      </c>
      <c r="B162" s="20" t="s">
        <v>853</v>
      </c>
      <c r="C162" s="20" t="s">
        <v>854</v>
      </c>
      <c r="D162" s="13" t="e">
        <f>VLOOKUP(C:C,'LListat referències'!A:B,2,FALSE)</f>
        <v>#N/A</v>
      </c>
      <c r="E162" s="18" t="e">
        <f>VLOOKUP(C:C,'LListat referències'!A:D,4,FALSE)</f>
        <v>#N/A</v>
      </c>
      <c r="F162" s="49">
        <v>20</v>
      </c>
      <c r="G162" s="49"/>
      <c r="H162" s="1" t="s">
        <v>797</v>
      </c>
      <c r="I162" s="25"/>
      <c r="J162" s="25">
        <v>21666</v>
      </c>
      <c r="K162" s="25">
        <v>22110</v>
      </c>
      <c r="L162" s="25">
        <v>22110</v>
      </c>
      <c r="M162" s="20">
        <v>49</v>
      </c>
      <c r="N162" s="1">
        <f>Tabla13[[#This Row],[Noche]]-Tabla13[[#This Row],[Mañana ]]</f>
        <v>444</v>
      </c>
      <c r="O162" s="58">
        <v>0</v>
      </c>
      <c r="P162" s="21">
        <f t="shared" si="5"/>
        <v>0</v>
      </c>
      <c r="Q162" s="22">
        <f>Tabla13[[#This Row],[Merma Salas A &amp; B2]]*1000/Tabla13[[#This Row],[Peso gr.]]</f>
        <v>0</v>
      </c>
      <c r="R162" s="52"/>
      <c r="S162" s="24">
        <f>Tabla13[[#This Row],[Total piezas NOK]]/Tabla13[[#This Row],[Cant. Fabricada (uds)]]</f>
        <v>0</v>
      </c>
    </row>
    <row r="163" spans="1:20" x14ac:dyDescent="0.3">
      <c r="A163" s="43">
        <v>44511</v>
      </c>
      <c r="B163" s="20" t="s">
        <v>830</v>
      </c>
      <c r="C163" s="20" t="s">
        <v>12</v>
      </c>
      <c r="D163" s="13" t="str">
        <f>VLOOKUP(C:C,'LListat referències'!A:B,2,FALSE)</f>
        <v>Tapa 50 ml mar-mar prima</v>
      </c>
      <c r="E163" s="18" t="str">
        <f>VLOOKUP(C:C,'LListat referències'!A:D,4,FALSE)</f>
        <v>#24</v>
      </c>
      <c r="F163" s="49">
        <f>VLOOKUP(C:C,'LListat referències'!A:E,5,FALSE)</f>
        <v>20.86</v>
      </c>
      <c r="G163" s="49"/>
      <c r="H163" s="1" t="s">
        <v>8</v>
      </c>
      <c r="I163" s="25"/>
      <c r="J163" s="25">
        <v>29966</v>
      </c>
      <c r="K163" s="25">
        <v>30128</v>
      </c>
      <c r="L163" s="25">
        <v>30128</v>
      </c>
      <c r="M163" s="20">
        <v>45</v>
      </c>
      <c r="N163" s="1">
        <f>Tabla13[[#This Row],[Noche]]-Tabla13[[#This Row],[Mañana ]]</f>
        <v>162</v>
      </c>
      <c r="O163" s="58">
        <v>0</v>
      </c>
      <c r="P163" s="21">
        <f t="shared" si="5"/>
        <v>0</v>
      </c>
      <c r="Q163" s="22">
        <f>Tabla13[[#This Row],[Merma Salas A &amp; B2]]*1000/Tabla13[[#This Row],[Peso gr.]]</f>
        <v>0</v>
      </c>
      <c r="R163" s="52"/>
      <c r="S163" s="24">
        <f>Tabla13[[#This Row],[Total piezas NOK]]/Tabla13[[#This Row],[Cant. Fabricada (uds)]]</f>
        <v>0</v>
      </c>
    </row>
    <row r="164" spans="1:20" x14ac:dyDescent="0.3">
      <c r="A164" s="43">
        <v>44511</v>
      </c>
      <c r="B164" s="20" t="s">
        <v>756</v>
      </c>
      <c r="C164" s="20" t="s">
        <v>644</v>
      </c>
      <c r="D164" s="13" t="str">
        <f>VLOOKUP(C:C,'LListat referències'!A:B,2,FALSE)</f>
        <v>Tarro 200ml Quadrat estret (Tapa Rodona)</v>
      </c>
      <c r="E164" s="18">
        <f>VLOOKUP(C:C,'LListat referències'!A:D,4,FALSE)</f>
        <v>0</v>
      </c>
      <c r="F164" s="49">
        <f>VLOOKUP(C:C,'LListat referències'!A:E,5,FALSE)</f>
        <v>220.84</v>
      </c>
      <c r="G164" s="49"/>
      <c r="H164" s="1" t="s">
        <v>7</v>
      </c>
      <c r="I164" s="25"/>
      <c r="J164" s="25">
        <v>22573</v>
      </c>
      <c r="K164" s="25">
        <v>22789</v>
      </c>
      <c r="L164" s="25">
        <v>23025</v>
      </c>
      <c r="M164" s="20">
        <v>41</v>
      </c>
      <c r="N164" s="1">
        <f>Tabla13[[#This Row],[Noche]]-Tabla13[[#This Row],[Mañana ]]</f>
        <v>452</v>
      </c>
      <c r="O164" s="58"/>
      <c r="P164" s="21">
        <f t="shared" si="5"/>
        <v>0</v>
      </c>
      <c r="Q164" s="22">
        <f>Tabla13[[#This Row],[Merma Salas A &amp; B2]]*1000/Tabla13[[#This Row],[Peso gr.]]</f>
        <v>0</v>
      </c>
      <c r="R164" s="52"/>
      <c r="S164" s="24">
        <f>Tabla13[[#This Row],[Total piezas NOK]]/Tabla13[[#This Row],[Cant. Fabricada (uds)]]</f>
        <v>0</v>
      </c>
    </row>
    <row r="165" spans="1:20" x14ac:dyDescent="0.3">
      <c r="A165" s="43">
        <v>44511</v>
      </c>
      <c r="B165" s="20" t="s">
        <v>869</v>
      </c>
      <c r="C165" s="20" t="s">
        <v>542</v>
      </c>
      <c r="D165" s="13" t="str">
        <f>VLOOKUP(C:C,'LListat referències'!A:B,2,FALSE)</f>
        <v>Tapa 15ml per tarro Tintero</v>
      </c>
      <c r="E165" s="18" t="str">
        <f>VLOOKUP(C:C,'LListat referències'!A:D,4,FALSE)</f>
        <v>#23</v>
      </c>
      <c r="F165" s="49">
        <f>VLOOKUP(C:C,'LListat referències'!A:E,5,FALSE)</f>
        <v>10</v>
      </c>
      <c r="G165" s="49"/>
      <c r="H165" s="1" t="s">
        <v>8</v>
      </c>
      <c r="I165" s="25"/>
      <c r="J165" s="25"/>
      <c r="K165" s="25"/>
      <c r="L165" s="25"/>
      <c r="M165" s="20"/>
      <c r="N165" s="1">
        <f>Tabla13[[#This Row],[Noche]]-Tabla13[[#This Row],[Mañana ]]</f>
        <v>0</v>
      </c>
      <c r="O165" s="58">
        <v>10</v>
      </c>
      <c r="P165" s="21">
        <f t="shared" si="5"/>
        <v>10</v>
      </c>
      <c r="Q165" s="22">
        <f>Tabla13[[#This Row],[Merma Salas A &amp; B2]]*1000/Tabla13[[#This Row],[Peso gr.]]</f>
        <v>1000</v>
      </c>
      <c r="R165" s="52">
        <v>10</v>
      </c>
      <c r="S165" s="24" t="s">
        <v>842</v>
      </c>
      <c r="T165" s="19" t="s">
        <v>870</v>
      </c>
    </row>
    <row r="166" spans="1:20" x14ac:dyDescent="0.3">
      <c r="A166" s="43">
        <v>44511</v>
      </c>
      <c r="B166" s="20" t="s">
        <v>871</v>
      </c>
      <c r="C166" s="20">
        <v>1879</v>
      </c>
      <c r="D166" s="13" t="str">
        <f>VLOOKUP(C:C,'LListat referències'!A:B,2,FALSE)</f>
        <v>Tapa tarro rectagular 50 ml</v>
      </c>
      <c r="E166" s="18" t="str">
        <f>VLOOKUP(C:C,'LListat referències'!A:D,4,FALSE)</f>
        <v>#23 (50 ml)</v>
      </c>
      <c r="F166" s="49">
        <f>VLOOKUP(C:C,'LListat referències'!A:E,5,FALSE)</f>
        <v>22.6</v>
      </c>
      <c r="G166" s="49"/>
      <c r="H166" s="1" t="s">
        <v>15</v>
      </c>
      <c r="I166" s="25"/>
      <c r="J166" s="25">
        <v>218</v>
      </c>
      <c r="K166" s="25">
        <v>874</v>
      </c>
      <c r="L166" s="25">
        <v>1570</v>
      </c>
      <c r="M166" s="20">
        <v>20</v>
      </c>
      <c r="N166" s="1">
        <f>Tabla13[[#This Row],[Noche]]-Tabla13[[#This Row],[Mañana ]]</f>
        <v>1352</v>
      </c>
      <c r="O166" s="58">
        <v>2</v>
      </c>
      <c r="P166" s="21">
        <f t="shared" si="5"/>
        <v>2</v>
      </c>
      <c r="Q166" s="22">
        <f>Tabla13[[#This Row],[Merma Salas A &amp; B2]]*1000/Tabla13[[#This Row],[Peso gr.]]</f>
        <v>88.495575221238937</v>
      </c>
      <c r="R166" s="52"/>
      <c r="S166" s="24">
        <f>Tabla13[[#This Row],[Total piezas NOK]]/Tabla13[[#This Row],[Cant. Fabricada (uds)]]</f>
        <v>6.5455307116300987E-2</v>
      </c>
    </row>
    <row r="167" spans="1:20" x14ac:dyDescent="0.3">
      <c r="A167" s="43">
        <v>44511</v>
      </c>
      <c r="B167" s="20" t="s">
        <v>839</v>
      </c>
      <c r="C167" s="20" t="s">
        <v>10</v>
      </c>
      <c r="D167" s="13" t="str">
        <f>VLOOKUP(C:C,'LListat referències'!A:B,2,FALSE)</f>
        <v xml:space="preserve">Tapa 100 ml prima </v>
      </c>
      <c r="E167" s="18" t="str">
        <f>VLOOKUP(C:C,'LListat referències'!A:D,4,FALSE)</f>
        <v>#26(100 ml)</v>
      </c>
      <c r="F167" s="49">
        <f>VLOOKUP(C:C,'LListat referències'!A:E,5,FALSE)</f>
        <v>30.3</v>
      </c>
      <c r="G167" s="49"/>
      <c r="H167" s="1" t="s">
        <v>15</v>
      </c>
      <c r="I167" s="25"/>
      <c r="J167" s="25">
        <v>7620</v>
      </c>
      <c r="K167" s="25">
        <v>8886</v>
      </c>
      <c r="L167" s="25">
        <v>8886</v>
      </c>
      <c r="M167" s="20">
        <v>38</v>
      </c>
      <c r="N167" s="1">
        <f>Tabla13[[#This Row],[Noche]]-Tabla13[[#This Row],[Mañana ]]</f>
        <v>1266</v>
      </c>
      <c r="O167" s="58">
        <v>25</v>
      </c>
      <c r="P167" s="21">
        <f t="shared" si="5"/>
        <v>25</v>
      </c>
      <c r="Q167" s="22">
        <f>Tabla13[[#This Row],[Merma Salas A &amp; B2]]*1000/Tabla13[[#This Row],[Peso gr.]]</f>
        <v>825.08250825082507</v>
      </c>
      <c r="R167" s="52">
        <v>25</v>
      </c>
      <c r="S167" s="24">
        <f>Tabla13[[#This Row],[Total piezas NOK]]/Tabla13[[#This Row],[Cant. Fabricada (uds)]]</f>
        <v>0.65172394016652846</v>
      </c>
      <c r="T167" s="19" t="s">
        <v>865</v>
      </c>
    </row>
    <row r="168" spans="1:20" x14ac:dyDescent="0.3">
      <c r="A168" s="43">
        <v>44511</v>
      </c>
      <c r="B168" s="20" t="s">
        <v>878</v>
      </c>
      <c r="C168" s="20">
        <v>1905</v>
      </c>
      <c r="D168" s="13" t="str">
        <f>VLOOKUP(C:C,'LListat referències'!A:B,2,FALSE)</f>
        <v>Cubilet 50 ml 4uts</v>
      </c>
      <c r="E168" s="18" t="str">
        <f>VLOOKUP(C:C,'LListat referències'!A:D,4,FALSE)</f>
        <v/>
      </c>
      <c r="F168" s="49">
        <f>VLOOKUP(C:C,'LListat referències'!A:E,5,FALSE)</f>
        <v>3.55</v>
      </c>
      <c r="G168" s="49"/>
      <c r="H168" s="1" t="s">
        <v>797</v>
      </c>
      <c r="I168" s="25"/>
      <c r="J168" s="25">
        <v>17772</v>
      </c>
      <c r="K168" s="25">
        <v>20836</v>
      </c>
      <c r="L168" s="25">
        <v>20836</v>
      </c>
      <c r="M168" s="20">
        <v>19</v>
      </c>
      <c r="N168" s="1">
        <f>Tabla13[[#This Row],[Noche]]-Tabla13[[#This Row],[Mañana ]]</f>
        <v>3064</v>
      </c>
      <c r="O168" s="58"/>
      <c r="P168" s="21">
        <f t="shared" si="5"/>
        <v>0</v>
      </c>
      <c r="Q168" s="22">
        <f>Tabla13[[#This Row],[Merma Salas A &amp; B2]]*1000/Tabla13[[#This Row],[Peso gr.]]</f>
        <v>0</v>
      </c>
      <c r="R168" s="52"/>
      <c r="S168" s="24">
        <f>Tabla13[[#This Row],[Total piezas NOK]]/Tabla13[[#This Row],[Cant. Fabricada (uds)]]</f>
        <v>0</v>
      </c>
    </row>
    <row r="169" spans="1:20" x14ac:dyDescent="0.3">
      <c r="A169" s="43">
        <v>44511</v>
      </c>
      <c r="B169" s="20" t="s">
        <v>879</v>
      </c>
      <c r="C169" s="20">
        <v>1905</v>
      </c>
      <c r="D169" s="13" t="str">
        <f>VLOOKUP(C:C,'LListat referències'!A:B,2,FALSE)</f>
        <v>Cubilet 50 ml 4uts</v>
      </c>
      <c r="E169" s="18" t="str">
        <f>VLOOKUP(C:C,'LListat referències'!A:D,4,FALSE)</f>
        <v/>
      </c>
      <c r="F169" s="49">
        <f>VLOOKUP(C:C,'LListat referències'!A:E,5,FALSE)</f>
        <v>3.55</v>
      </c>
      <c r="G169" s="49"/>
      <c r="H169" s="1" t="s">
        <v>797</v>
      </c>
      <c r="I169" s="25"/>
      <c r="J169" s="25">
        <v>0</v>
      </c>
      <c r="K169" s="25">
        <v>3316</v>
      </c>
      <c r="L169" s="25">
        <v>10168</v>
      </c>
      <c r="M169" s="20">
        <v>19</v>
      </c>
      <c r="N169" s="1">
        <f>Tabla13[[#This Row],[Noche]]-Tabla13[[#This Row],[Mañana ]]</f>
        <v>10168</v>
      </c>
      <c r="O169" s="58"/>
      <c r="P169" s="21">
        <f t="shared" si="5"/>
        <v>0</v>
      </c>
      <c r="Q169" s="22">
        <f>Tabla13[[#This Row],[Merma Salas A &amp; B2]]*1000/Tabla13[[#This Row],[Peso gr.]]</f>
        <v>0</v>
      </c>
      <c r="R169" s="52"/>
      <c r="S169" s="24">
        <f>Tabla13[[#This Row],[Total piezas NOK]]/Tabla13[[#This Row],[Cant. Fabricada (uds)]]</f>
        <v>0</v>
      </c>
    </row>
    <row r="170" spans="1:20" x14ac:dyDescent="0.3">
      <c r="A170" s="43">
        <v>44511</v>
      </c>
      <c r="B170" s="20" t="s">
        <v>882</v>
      </c>
      <c r="C170" s="20">
        <v>1207</v>
      </c>
      <c r="D170" s="13" t="str">
        <f>VLOOKUP(C:C,'LListat referències'!A:B,2,FALSE)</f>
        <v>Tap principia ovalat rosca gran</v>
      </c>
      <c r="E170" s="18" t="str">
        <f>VLOOKUP(C:C,'LListat referències'!A:D,4,FALSE)</f>
        <v/>
      </c>
      <c r="F170" s="49">
        <f>VLOOKUP(C:C,'LListat referències'!A:E,5,FALSE)</f>
        <v>9</v>
      </c>
      <c r="G170" s="49"/>
      <c r="H170" s="1" t="s">
        <v>797</v>
      </c>
      <c r="I170" s="25"/>
      <c r="J170" s="25">
        <v>15004</v>
      </c>
      <c r="K170" s="25">
        <v>15706</v>
      </c>
      <c r="L170" s="25">
        <v>16459</v>
      </c>
      <c r="M170" s="20">
        <v>50</v>
      </c>
      <c r="N170" s="1">
        <f>Tabla13[[#This Row],[Noche]]-Tabla13[[#This Row],[Mañana ]]</f>
        <v>1455</v>
      </c>
      <c r="O170" s="58"/>
      <c r="P170" s="21">
        <f t="shared" si="5"/>
        <v>0</v>
      </c>
      <c r="Q170" s="22">
        <f>Tabla13[[#This Row],[Merma Salas A &amp; B2]]*1000/Tabla13[[#This Row],[Peso gr.]]</f>
        <v>0</v>
      </c>
      <c r="R170" s="52"/>
      <c r="S170" s="24">
        <f>Tabla13[[#This Row],[Total piezas NOK]]/Tabla13[[#This Row],[Cant. Fabricada (uds)]]</f>
        <v>0</v>
      </c>
    </row>
    <row r="171" spans="1:20" x14ac:dyDescent="0.3">
      <c r="A171" s="43">
        <v>44512</v>
      </c>
      <c r="B171" s="20" t="s">
        <v>857</v>
      </c>
      <c r="C171" s="20">
        <v>1800</v>
      </c>
      <c r="D171" s="13" t="str">
        <f>VLOOKUP(C:C,'LListat referències'!A:B,2,FALSE)</f>
        <v>Cubilet tarro juvena 30 ml</v>
      </c>
      <c r="E171" s="18" t="str">
        <f>VLOOKUP(C:C,'LListat referències'!A:D,4,FALSE)</f>
        <v/>
      </c>
      <c r="F171" s="49">
        <f>VLOOKUP(C:C,'LListat referències'!A:E,5,FALSE)</f>
        <v>5.86</v>
      </c>
      <c r="G171" s="49"/>
      <c r="H171" s="1" t="s">
        <v>797</v>
      </c>
      <c r="I171" s="25"/>
      <c r="J171" s="25">
        <v>4498</v>
      </c>
      <c r="K171" s="25">
        <v>1198</v>
      </c>
      <c r="L171" s="25">
        <v>2251</v>
      </c>
      <c r="M171" s="20">
        <v>46</v>
      </c>
      <c r="N171" s="1">
        <f>Tabla13[[#This Row],[Noche]]-Tabla13[[#This Row],[Mañana ]]</f>
        <v>-2247</v>
      </c>
      <c r="O171" s="58">
        <v>0</v>
      </c>
      <c r="P171" s="21">
        <f t="shared" si="5"/>
        <v>0</v>
      </c>
      <c r="Q171" s="22">
        <f>Tabla13[[#This Row],[Merma Salas A &amp; B2]]*1000/Tabla13[[#This Row],[Peso gr.]]</f>
        <v>0</v>
      </c>
      <c r="R171" s="52"/>
      <c r="S171" s="24">
        <f>Tabla13[[#This Row],[Total piezas NOK]]/Tabla13[[#This Row],[Cant. Fabricada (uds)]]</f>
        <v>0</v>
      </c>
    </row>
    <row r="172" spans="1:20" x14ac:dyDescent="0.3">
      <c r="A172" s="43">
        <v>44512</v>
      </c>
      <c r="B172" s="20" t="s">
        <v>833</v>
      </c>
      <c r="C172" s="20" t="s">
        <v>478</v>
      </c>
      <c r="D172" s="13" t="str">
        <f>VLOOKUP(C:C,'LListat referències'!A:B,2,FALSE)</f>
        <v xml:space="preserve">Tarro 50 ml labiomar </v>
      </c>
      <c r="E172" s="18" t="str">
        <f>VLOOKUP(C:C,'LListat referències'!A:D,4,FALSE)</f>
        <v>T079</v>
      </c>
      <c r="F172" s="49">
        <f>VLOOKUP(C:C,'LListat referències'!A:E,5,FALSE)</f>
        <v>82.7</v>
      </c>
      <c r="G172" s="49"/>
      <c r="H172" s="1" t="s">
        <v>15</v>
      </c>
      <c r="I172" s="25"/>
      <c r="J172" s="25">
        <v>11204</v>
      </c>
      <c r="K172" s="25">
        <v>11204</v>
      </c>
      <c r="L172" s="25">
        <v>11858</v>
      </c>
      <c r="M172" s="20">
        <v>44</v>
      </c>
      <c r="N172" s="1">
        <f>Tabla13[[#This Row],[Noche]]-Tabla13[[#This Row],[Mañana ]]</f>
        <v>654</v>
      </c>
      <c r="O172" s="58"/>
      <c r="P172" s="21">
        <f t="shared" si="5"/>
        <v>0</v>
      </c>
      <c r="Q172" s="22">
        <f>Tabla13[[#This Row],[Merma Salas A &amp; B2]]*1000/Tabla13[[#This Row],[Peso gr.]]</f>
        <v>0</v>
      </c>
      <c r="R172" s="52"/>
      <c r="S172" s="24">
        <f>Tabla13[[#This Row],[Total piezas NOK]]/Tabla13[[#This Row],[Cant. Fabricada (uds)]]</f>
        <v>0</v>
      </c>
    </row>
    <row r="173" spans="1:20" x14ac:dyDescent="0.3">
      <c r="A173" s="43">
        <v>44512</v>
      </c>
      <c r="B173" s="20" t="s">
        <v>759</v>
      </c>
      <c r="C173" s="20" t="s">
        <v>513</v>
      </c>
      <c r="D173" s="13" t="str">
        <f>VLOOKUP(C:C,'LListat referències'!A:B,2,FALSE)</f>
        <v>Tarro 150 ml</v>
      </c>
      <c r="E173" s="18" t="str">
        <f>VLOOKUP(C:C,'LListat referències'!A:D,4,FALSE)</f>
        <v>T057</v>
      </c>
      <c r="F173" s="49">
        <f>VLOOKUP(C:C,'LListat referències'!A:E,5,FALSE)</f>
        <v>160</v>
      </c>
      <c r="G173" s="49"/>
      <c r="H173" s="1" t="s">
        <v>15</v>
      </c>
      <c r="I173" s="25"/>
      <c r="J173" s="25"/>
      <c r="K173" s="25"/>
      <c r="L173" s="25"/>
      <c r="M173" s="20"/>
      <c r="N173" s="1">
        <f>Tabla13[[#This Row],[Noche]]-Tabla13[[#This Row],[Mañana ]]</f>
        <v>0</v>
      </c>
      <c r="O173" s="58">
        <v>100</v>
      </c>
      <c r="P173" s="21">
        <f t="shared" si="5"/>
        <v>100</v>
      </c>
      <c r="Q173" s="22">
        <f>Tabla13[[#This Row],[Merma Salas A &amp; B2]]*1000/Tabla13[[#This Row],[Peso gr.]]</f>
        <v>625</v>
      </c>
      <c r="R173" s="52">
        <v>100</v>
      </c>
      <c r="S173" s="24" t="s">
        <v>842</v>
      </c>
      <c r="T173" s="19" t="s">
        <v>863</v>
      </c>
    </row>
    <row r="174" spans="1:20" x14ac:dyDescent="0.3">
      <c r="A174" s="43">
        <v>44512</v>
      </c>
      <c r="B174" s="20" t="s">
        <v>756</v>
      </c>
      <c r="C174" s="20" t="s">
        <v>644</v>
      </c>
      <c r="D174" s="13" t="str">
        <f>VLOOKUP(C:C,'LListat referències'!A:B,2,FALSE)</f>
        <v>Tarro 200ml Quadrat estret (Tapa Rodona)</v>
      </c>
      <c r="E174" s="18">
        <f>VLOOKUP(C:C,'LListat referències'!A:D,4,FALSE)</f>
        <v>0</v>
      </c>
      <c r="F174" s="49">
        <f>VLOOKUP(C:C,'LListat referències'!A:E,5,FALSE)</f>
        <v>220.84</v>
      </c>
      <c r="G174" s="49"/>
      <c r="H174" s="1" t="s">
        <v>7</v>
      </c>
      <c r="I174" s="25"/>
      <c r="J174" s="25">
        <v>23304</v>
      </c>
      <c r="K174" s="25">
        <v>23498</v>
      </c>
      <c r="L174" s="25">
        <v>23676</v>
      </c>
      <c r="M174" s="20">
        <v>41</v>
      </c>
      <c r="N174" s="1">
        <f>Tabla13[[#This Row],[Noche]]-Tabla13[[#This Row],[Mañana ]]</f>
        <v>372</v>
      </c>
      <c r="O174" s="58">
        <v>3</v>
      </c>
      <c r="P174" s="21">
        <f t="shared" si="5"/>
        <v>3</v>
      </c>
      <c r="Q174" s="22">
        <f>Tabla13[[#This Row],[Merma Salas A &amp; B2]]*1000/Tabla13[[#This Row],[Peso gr.]]</f>
        <v>13.584495562398116</v>
      </c>
      <c r="R174" s="52"/>
      <c r="S174" s="24">
        <f>Tabla13[[#This Row],[Total piezas NOK]]/Tabla13[[#This Row],[Cant. Fabricada (uds)]]</f>
        <v>3.6517461189242248E-2</v>
      </c>
    </row>
    <row r="175" spans="1:20" x14ac:dyDescent="0.3">
      <c r="A175" s="43">
        <v>44512</v>
      </c>
      <c r="B175" s="20" t="s">
        <v>871</v>
      </c>
      <c r="C175" s="20">
        <v>1879</v>
      </c>
      <c r="D175" s="13" t="str">
        <f>VLOOKUP(C:C,'LListat referències'!A:B,2,FALSE)</f>
        <v>Tapa tarro rectagular 50 ml</v>
      </c>
      <c r="E175" s="18" t="str">
        <f>VLOOKUP(C:C,'LListat referències'!A:D,4,FALSE)</f>
        <v>#23 (50 ml)</v>
      </c>
      <c r="F175" s="49">
        <f>VLOOKUP(C:C,'LListat referències'!A:E,5,FALSE)</f>
        <v>22.6</v>
      </c>
      <c r="G175" s="49"/>
      <c r="H175" s="1" t="s">
        <v>15</v>
      </c>
      <c r="I175" s="25"/>
      <c r="J175" s="25">
        <v>2292</v>
      </c>
      <c r="K175" s="25">
        <v>2872</v>
      </c>
      <c r="L175" s="25">
        <v>3426</v>
      </c>
      <c r="M175" s="20">
        <v>20</v>
      </c>
      <c r="N175" s="1">
        <f>Tabla13[[#This Row],[Noche]]-Tabla13[[#This Row],[Mañana ]]</f>
        <v>1134</v>
      </c>
      <c r="O175" s="58">
        <v>4</v>
      </c>
      <c r="P175" s="21">
        <f t="shared" si="5"/>
        <v>4</v>
      </c>
      <c r="Q175" s="22">
        <f>Tabla13[[#This Row],[Merma Salas A &amp; B2]]*1000/Tabla13[[#This Row],[Peso gr.]]</f>
        <v>176.99115044247787</v>
      </c>
      <c r="R175" s="52"/>
      <c r="S175" s="24">
        <f>Tabla13[[#This Row],[Total piezas NOK]]/Tabla13[[#This Row],[Cant. Fabricada (uds)]]</f>
        <v>0.15607685224204398</v>
      </c>
    </row>
    <row r="176" spans="1:20" x14ac:dyDescent="0.3">
      <c r="A176" s="43">
        <v>44512</v>
      </c>
      <c r="B176" s="20" t="s">
        <v>753</v>
      </c>
      <c r="C176" s="20">
        <v>1945</v>
      </c>
      <c r="D176" s="13" t="str">
        <f>VLOOKUP(C:C,'LListat referències'!A:B,2,FALSE)</f>
        <v>Tarro 400 ml</v>
      </c>
      <c r="E176" s="18" t="str">
        <f>VLOOKUP(C:C,'LListat referències'!A:D,4,FALSE)</f>
        <v>T113</v>
      </c>
      <c r="F176" s="49">
        <f>VLOOKUP(C:C,'LListat referències'!A:E,5,FALSE)</f>
        <v>211</v>
      </c>
      <c r="G176" s="49"/>
      <c r="H176" s="1" t="s">
        <v>15</v>
      </c>
      <c r="I176" s="25"/>
      <c r="J176" s="25">
        <v>2800</v>
      </c>
      <c r="K176" s="25">
        <v>3236</v>
      </c>
      <c r="L176" s="25">
        <v>3694</v>
      </c>
      <c r="M176" s="20">
        <v>7</v>
      </c>
      <c r="N176" s="1">
        <f>Tabla13[[#This Row],[Noche]]-Tabla13[[#This Row],[Mañana ]]</f>
        <v>894</v>
      </c>
      <c r="O176" s="58">
        <v>30</v>
      </c>
      <c r="P176" s="21">
        <f t="shared" si="5"/>
        <v>30</v>
      </c>
      <c r="Q176" s="22">
        <f>Tabla13[[#This Row],[Merma Salas A &amp; B2]]*1000/Tabla13[[#This Row],[Peso gr.]]</f>
        <v>142.18009478672985</v>
      </c>
      <c r="R176" s="52">
        <v>30</v>
      </c>
      <c r="S176" s="24">
        <f>Tabla13[[#This Row],[Total piezas NOK]]/Tabla13[[#This Row],[Cant. Fabricada (uds)]]</f>
        <v>0.1590381373453354</v>
      </c>
      <c r="T176" s="19" t="s">
        <v>872</v>
      </c>
    </row>
    <row r="177" spans="1:20" x14ac:dyDescent="0.3">
      <c r="A177" s="43">
        <v>44512</v>
      </c>
      <c r="B177" s="20" t="s">
        <v>873</v>
      </c>
      <c r="C177" s="20">
        <v>1704</v>
      </c>
      <c r="D177" s="13" t="str">
        <f>VLOOKUP(C:C,'LListat referències'!A:B,2,FALSE)</f>
        <v>Tarro 50 ml quadrat</v>
      </c>
      <c r="E177" s="18" t="str">
        <f>VLOOKUP(C:C,'LListat referències'!A:D,4,FALSE)</f>
        <v>T046</v>
      </c>
      <c r="F177" s="49">
        <f>VLOOKUP(C:C,'LListat referències'!A:E,5,FALSE)</f>
        <v>99.2</v>
      </c>
      <c r="G177" s="49"/>
      <c r="H177" s="1" t="s">
        <v>15</v>
      </c>
      <c r="I177" s="25"/>
      <c r="J177" s="25"/>
      <c r="K177" s="25"/>
      <c r="L177" s="25"/>
      <c r="M177" s="20"/>
      <c r="N177" s="1">
        <f>Tabla13[[#This Row],[Noche]]-Tabla13[[#This Row],[Mañana ]]</f>
        <v>0</v>
      </c>
      <c r="O177" s="58">
        <v>265</v>
      </c>
      <c r="P177" s="21">
        <f t="shared" si="5"/>
        <v>265</v>
      </c>
      <c r="Q177" s="22">
        <f>Tabla13[[#This Row],[Merma Salas A &amp; B2]]*1000/Tabla13[[#This Row],[Peso gr.]]</f>
        <v>2671.3709677419356</v>
      </c>
      <c r="R177" s="52">
        <v>265</v>
      </c>
      <c r="S177" s="24" t="s">
        <v>842</v>
      </c>
      <c r="T177" s="19" t="s">
        <v>874</v>
      </c>
    </row>
    <row r="178" spans="1:20" x14ac:dyDescent="0.3">
      <c r="A178" s="43">
        <v>44512</v>
      </c>
      <c r="B178" s="20" t="s">
        <v>880</v>
      </c>
      <c r="C178" s="20">
        <v>1905</v>
      </c>
      <c r="D178" s="13" t="str">
        <f>VLOOKUP(C:C,'LListat referències'!A:B,2,FALSE)</f>
        <v>Cubilet 50 ml 4uts</v>
      </c>
      <c r="E178" s="18" t="str">
        <f>VLOOKUP(C:C,'LListat referències'!A:D,4,FALSE)</f>
        <v/>
      </c>
      <c r="F178" s="49">
        <f>VLOOKUP(C:C,'LListat referències'!A:E,5,FALSE)</f>
        <v>3.55</v>
      </c>
      <c r="G178" s="49"/>
      <c r="H178" s="1" t="s">
        <v>797</v>
      </c>
      <c r="I178" s="25"/>
      <c r="J178" s="25">
        <v>0</v>
      </c>
      <c r="K178" s="25">
        <v>402</v>
      </c>
      <c r="L178" s="25">
        <v>4590</v>
      </c>
      <c r="M178" s="20">
        <v>19</v>
      </c>
      <c r="N178" s="1">
        <f>Tabla13[[#This Row],[Noche]]-Tabla13[[#This Row],[Mañana ]]</f>
        <v>4590</v>
      </c>
      <c r="O178" s="58"/>
      <c r="P178" s="21">
        <f t="shared" si="5"/>
        <v>0</v>
      </c>
      <c r="Q178" s="22">
        <f>Tabla13[[#This Row],[Merma Salas A &amp; B2]]*1000/Tabla13[[#This Row],[Peso gr.]]</f>
        <v>0</v>
      </c>
      <c r="R178" s="52"/>
      <c r="S178" s="24">
        <f>Tabla13[[#This Row],[Total piezas NOK]]/Tabla13[[#This Row],[Cant. Fabricada (uds)]]</f>
        <v>0</v>
      </c>
    </row>
    <row r="179" spans="1:20" x14ac:dyDescent="0.3">
      <c r="A179" s="43">
        <v>44512</v>
      </c>
      <c r="B179" s="20" t="s">
        <v>882</v>
      </c>
      <c r="C179" s="20">
        <v>1207</v>
      </c>
      <c r="D179" s="13" t="str">
        <f>VLOOKUP(C:C,'LListat referències'!A:B,2,FALSE)</f>
        <v>Tap principia ovalat rosca gran</v>
      </c>
      <c r="E179" s="18" t="str">
        <f>VLOOKUP(C:C,'LListat referències'!A:D,4,FALSE)</f>
        <v/>
      </c>
      <c r="F179" s="49">
        <f>VLOOKUP(C:C,'LListat referències'!A:E,5,FALSE)</f>
        <v>9</v>
      </c>
      <c r="G179" s="49"/>
      <c r="H179" s="1" t="s">
        <v>797</v>
      </c>
      <c r="I179" s="25"/>
      <c r="J179" s="25">
        <v>17322</v>
      </c>
      <c r="K179" s="25">
        <v>17903</v>
      </c>
      <c r="L179" s="25">
        <v>18594</v>
      </c>
      <c r="M179" s="20">
        <v>50</v>
      </c>
      <c r="N179" s="1">
        <f>Tabla13[[#This Row],[Noche]]-Tabla13[[#This Row],[Mañana ]]</f>
        <v>1272</v>
      </c>
      <c r="O179" s="58"/>
      <c r="P179" s="21">
        <f t="shared" si="5"/>
        <v>0</v>
      </c>
      <c r="Q179" s="22">
        <f>Tabla13[[#This Row],[Merma Salas A &amp; B2]]*1000/Tabla13[[#This Row],[Peso gr.]]</f>
        <v>0</v>
      </c>
      <c r="R179" s="52"/>
      <c r="S179" s="24">
        <f>Tabla13[[#This Row],[Total piezas NOK]]/Tabla13[[#This Row],[Cant. Fabricada (uds)]]</f>
        <v>0</v>
      </c>
    </row>
    <row r="180" spans="1:20" x14ac:dyDescent="0.3">
      <c r="A180" s="43">
        <v>44512</v>
      </c>
      <c r="B180" s="20" t="s">
        <v>771</v>
      </c>
      <c r="C180" s="20" t="s">
        <v>615</v>
      </c>
      <c r="D180" s="13" t="str">
        <f>VLOOKUP(C:C,'LListat referències'!A:B,2,FALSE)</f>
        <v>Tarro 50ml Tinter Quadrat</v>
      </c>
      <c r="E180" s="18" t="str">
        <f>VLOOKUP(C:C,'LListat referències'!A:D,4,FALSE)</f>
        <v>T116</v>
      </c>
      <c r="F180" s="49">
        <f>VLOOKUP(C:C,'LListat referències'!A:E,5,FALSE)</f>
        <v>121.5</v>
      </c>
      <c r="G180" s="49"/>
      <c r="H180" s="1" t="s">
        <v>8</v>
      </c>
      <c r="I180" s="25"/>
      <c r="J180" s="25">
        <v>12912</v>
      </c>
      <c r="K180" s="25">
        <v>13808</v>
      </c>
      <c r="L180" s="25">
        <v>13950</v>
      </c>
      <c r="M180" s="20">
        <v>30</v>
      </c>
      <c r="N180" s="1">
        <f>Tabla13[[#This Row],[Noche]]-Tabla13[[#This Row],[Mañana ]]</f>
        <v>1038</v>
      </c>
      <c r="O180" s="58">
        <v>5</v>
      </c>
      <c r="P180" s="21">
        <f t="shared" si="5"/>
        <v>5</v>
      </c>
      <c r="Q180" s="22">
        <f>Tabla13[[#This Row],[Merma Salas A &amp; B2]]*1000/Tabla13[[#This Row],[Peso gr.]]</f>
        <v>41.152263374485599</v>
      </c>
      <c r="R180" s="52"/>
      <c r="S180" s="24">
        <f>Tabla13[[#This Row],[Total piezas NOK]]/Tabla13[[#This Row],[Cant. Fabricada (uds)]]</f>
        <v>3.9645725794302117E-2</v>
      </c>
    </row>
    <row r="181" spans="1:20" x14ac:dyDescent="0.3">
      <c r="A181" s="43">
        <v>44515</v>
      </c>
      <c r="B181" s="20" t="s">
        <v>857</v>
      </c>
      <c r="C181" s="20">
        <v>1800</v>
      </c>
      <c r="D181" s="13" t="str">
        <f>VLOOKUP(C:C,'LListat referències'!A:B,2,FALSE)</f>
        <v>Cubilet tarro juvena 30 ml</v>
      </c>
      <c r="E181" s="18" t="str">
        <f>VLOOKUP(C:C,'LListat referències'!A:D,4,FALSE)</f>
        <v/>
      </c>
      <c r="F181" s="49">
        <f>VLOOKUP(C:C,'LListat referències'!A:E,5,FALSE)</f>
        <v>5.86</v>
      </c>
      <c r="G181" s="49"/>
      <c r="H181" s="1" t="s">
        <v>797</v>
      </c>
      <c r="I181" s="25"/>
      <c r="J181" s="25">
        <v>3354</v>
      </c>
      <c r="K181" s="25">
        <v>4496</v>
      </c>
      <c r="L181" s="25">
        <v>5670</v>
      </c>
      <c r="M181" s="20">
        <v>46</v>
      </c>
      <c r="N181" s="1">
        <f>Tabla13[[#This Row],[Noche]]-Tabla13[[#This Row],[Mañana ]]</f>
        <v>2316</v>
      </c>
      <c r="O181" s="58">
        <v>0</v>
      </c>
      <c r="P181" s="21">
        <f t="shared" si="5"/>
        <v>0</v>
      </c>
      <c r="Q181" s="22">
        <f>Tabla13[[#This Row],[Merma Salas A &amp; B2]]*1000/Tabla13[[#This Row],[Peso gr.]]</f>
        <v>0</v>
      </c>
      <c r="R181" s="52"/>
      <c r="S181" s="24">
        <f>Tabla13[[#This Row],[Total piezas NOK]]/Tabla13[[#This Row],[Cant. Fabricada (uds)]]</f>
        <v>0</v>
      </c>
    </row>
    <row r="182" spans="1:20" x14ac:dyDescent="0.3">
      <c r="A182" s="43">
        <v>44515</v>
      </c>
      <c r="B182" s="20" t="s">
        <v>833</v>
      </c>
      <c r="C182" s="20" t="s">
        <v>478</v>
      </c>
      <c r="D182" s="13" t="str">
        <f>VLOOKUP(C:C,'LListat referències'!A:B,2,FALSE)</f>
        <v xml:space="preserve">Tarro 50 ml labiomar </v>
      </c>
      <c r="E182" s="18" t="str">
        <f>VLOOKUP(C:C,'LListat referències'!A:D,4,FALSE)</f>
        <v>T079</v>
      </c>
      <c r="F182" s="49">
        <f>VLOOKUP(C:C,'LListat referències'!A:E,5,FALSE)</f>
        <v>82.7</v>
      </c>
      <c r="G182" s="49"/>
      <c r="H182" s="1" t="s">
        <v>15</v>
      </c>
      <c r="I182" s="25"/>
      <c r="J182" s="25">
        <v>12470</v>
      </c>
      <c r="K182" s="25">
        <v>13292</v>
      </c>
      <c r="L182" s="25">
        <v>14084</v>
      </c>
      <c r="M182" s="20">
        <v>44</v>
      </c>
      <c r="N182" s="1">
        <f>Tabla13[[#This Row],[Noche]]-Tabla13[[#This Row],[Mañana ]]</f>
        <v>1614</v>
      </c>
      <c r="O182" s="58"/>
      <c r="P182" s="21">
        <f t="shared" si="5"/>
        <v>0</v>
      </c>
      <c r="Q182" s="22">
        <f>Tabla13[[#This Row],[Merma Salas A &amp; B2]]*1000/Tabla13[[#This Row],[Peso gr.]]</f>
        <v>0</v>
      </c>
      <c r="R182" s="52"/>
      <c r="S182" s="24">
        <f>Tabla13[[#This Row],[Total piezas NOK]]/Tabla13[[#This Row],[Cant. Fabricada (uds)]]</f>
        <v>0</v>
      </c>
    </row>
    <row r="183" spans="1:20" x14ac:dyDescent="0.3">
      <c r="A183" s="43">
        <v>44515</v>
      </c>
      <c r="B183" s="20" t="s">
        <v>759</v>
      </c>
      <c r="C183" s="20" t="s">
        <v>513</v>
      </c>
      <c r="D183" s="13" t="str">
        <f>VLOOKUP(C:C,'LListat referències'!A:B,2,FALSE)</f>
        <v>Tarro 150 ml</v>
      </c>
      <c r="E183" s="18" t="str">
        <f>VLOOKUP(C:C,'LListat referències'!A:D,4,FALSE)</f>
        <v>T057</v>
      </c>
      <c r="F183" s="49">
        <f>VLOOKUP(C:C,'LListat referències'!A:E,5,FALSE)</f>
        <v>160</v>
      </c>
      <c r="G183" s="49"/>
      <c r="H183" s="1" t="s">
        <v>15</v>
      </c>
      <c r="I183" s="25"/>
      <c r="J183" s="25"/>
      <c r="K183" s="25"/>
      <c r="L183" s="25"/>
      <c r="M183" s="20"/>
      <c r="N183" s="1">
        <f>Tabla13[[#This Row],[Noche]]-Tabla13[[#This Row],[Mañana ]]</f>
        <v>0</v>
      </c>
      <c r="O183" s="58">
        <v>85</v>
      </c>
      <c r="P183" s="21">
        <f t="shared" si="5"/>
        <v>85</v>
      </c>
      <c r="Q183" s="22">
        <f>Tabla13[[#This Row],[Merma Salas A &amp; B2]]*1000/Tabla13[[#This Row],[Peso gr.]]</f>
        <v>531.25</v>
      </c>
      <c r="R183" s="52">
        <v>85</v>
      </c>
      <c r="S183" s="24" t="s">
        <v>842</v>
      </c>
      <c r="T183" s="19" t="s">
        <v>864</v>
      </c>
    </row>
    <row r="184" spans="1:20" x14ac:dyDescent="0.3">
      <c r="A184" s="43">
        <v>44515</v>
      </c>
      <c r="B184" s="20" t="s">
        <v>756</v>
      </c>
      <c r="C184" s="20" t="s">
        <v>644</v>
      </c>
      <c r="D184" s="13" t="str">
        <f>VLOOKUP(C:C,'LListat referències'!A:B,2,FALSE)</f>
        <v>Tarro 200ml Quadrat estret (Tapa Rodona)</v>
      </c>
      <c r="E184" s="18">
        <f>VLOOKUP(C:C,'LListat referències'!A:D,4,FALSE)</f>
        <v>0</v>
      </c>
      <c r="F184" s="49">
        <f>VLOOKUP(C:C,'LListat referències'!A:E,5,FALSE)</f>
        <v>220.84</v>
      </c>
      <c r="G184" s="49"/>
      <c r="H184" s="1" t="s">
        <v>7</v>
      </c>
      <c r="I184" s="25"/>
      <c r="J184" s="25">
        <v>23877</v>
      </c>
      <c r="K184" s="25">
        <v>24109</v>
      </c>
      <c r="L184" s="25">
        <v>24344</v>
      </c>
      <c r="M184" s="20">
        <v>41</v>
      </c>
      <c r="N184" s="1">
        <f>Tabla13[[#This Row],[Noche]]-Tabla13[[#This Row],[Mañana ]]</f>
        <v>467</v>
      </c>
      <c r="O184" s="58">
        <v>2.5</v>
      </c>
      <c r="P184" s="21">
        <f t="shared" si="5"/>
        <v>2.5</v>
      </c>
      <c r="Q184" s="22">
        <f>Tabla13[[#This Row],[Merma Salas A &amp; B2]]*1000/Tabla13[[#This Row],[Peso gr.]]</f>
        <v>11.320412968665098</v>
      </c>
      <c r="R184" s="52"/>
      <c r="S184" s="24">
        <f>Tabla13[[#This Row],[Total piezas NOK]]/Tabla13[[#This Row],[Cant. Fabricada (uds)]]</f>
        <v>2.4240712995000208E-2</v>
      </c>
    </row>
    <row r="185" spans="1:20" x14ac:dyDescent="0.3">
      <c r="A185" s="43">
        <v>44515</v>
      </c>
      <c r="B185" s="20" t="s">
        <v>871</v>
      </c>
      <c r="C185" s="20">
        <v>1879</v>
      </c>
      <c r="D185" s="13" t="str">
        <f>VLOOKUP(C:C,'LListat referències'!A:B,2,FALSE)</f>
        <v>Tapa tarro rectagular 50 ml</v>
      </c>
      <c r="E185" s="18" t="str">
        <f>VLOOKUP(C:C,'LListat referències'!A:D,4,FALSE)</f>
        <v>#23 (50 ml)</v>
      </c>
      <c r="F185" s="49">
        <f>VLOOKUP(C:C,'LListat referències'!A:E,5,FALSE)</f>
        <v>22.6</v>
      </c>
      <c r="G185" s="49"/>
      <c r="H185" s="1" t="s">
        <v>15</v>
      </c>
      <c r="I185" s="25"/>
      <c r="J185" s="25">
        <v>3814</v>
      </c>
      <c r="K185" s="25">
        <v>4382</v>
      </c>
      <c r="L185" s="25">
        <v>5058</v>
      </c>
      <c r="M185" s="20">
        <v>20</v>
      </c>
      <c r="N185" s="1">
        <f>Tabla13[[#This Row],[Noche]]-Tabla13[[#This Row],[Mañana ]]</f>
        <v>1244</v>
      </c>
      <c r="O185" s="58">
        <v>4</v>
      </c>
      <c r="P185" s="21">
        <f t="shared" si="5"/>
        <v>4</v>
      </c>
      <c r="Q185" s="22">
        <f>Tabla13[[#This Row],[Merma Salas A &amp; B2]]*1000/Tabla13[[#This Row],[Peso gr.]]</f>
        <v>176.99115044247787</v>
      </c>
      <c r="R185" s="52"/>
      <c r="S185" s="24">
        <f>Tabla13[[#This Row],[Total piezas NOK]]/Tabla13[[#This Row],[Cant. Fabricada (uds)]]</f>
        <v>0.14227584440713656</v>
      </c>
    </row>
    <row r="186" spans="1:20" x14ac:dyDescent="0.3">
      <c r="A186" s="43">
        <v>44515</v>
      </c>
      <c r="B186" s="20" t="s">
        <v>753</v>
      </c>
      <c r="C186" s="20">
        <v>1945</v>
      </c>
      <c r="D186" s="13" t="str">
        <f>VLOOKUP(C:C,'LListat referències'!A:B,2,FALSE)</f>
        <v>Tarro 400 ml</v>
      </c>
      <c r="E186" s="18" t="str">
        <f>VLOOKUP(C:C,'LListat referències'!A:D,4,FALSE)</f>
        <v>T113</v>
      </c>
      <c r="F186" s="49">
        <f>VLOOKUP(C:C,'LListat referències'!A:E,5,FALSE)</f>
        <v>211</v>
      </c>
      <c r="G186" s="49"/>
      <c r="H186" s="1" t="s">
        <v>15</v>
      </c>
      <c r="I186" s="25"/>
      <c r="J186" s="25">
        <v>3694</v>
      </c>
      <c r="K186" s="25">
        <v>4658</v>
      </c>
      <c r="L186" s="25">
        <v>5228</v>
      </c>
      <c r="M186" s="20">
        <v>7</v>
      </c>
      <c r="N186" s="1">
        <f>Tabla13[[#This Row],[Noche]]-Tabla13[[#This Row],[Mañana ]]</f>
        <v>1534</v>
      </c>
      <c r="O186" s="58">
        <v>25</v>
      </c>
      <c r="P186" s="21">
        <f t="shared" si="5"/>
        <v>25</v>
      </c>
      <c r="Q186" s="22">
        <f>Tabla13[[#This Row],[Merma Salas A &amp; B2]]*1000/Tabla13[[#This Row],[Peso gr.]]</f>
        <v>118.48341232227489</v>
      </c>
      <c r="R186" s="52">
        <v>25</v>
      </c>
      <c r="S186" s="24">
        <f>Tabla13[[#This Row],[Total piezas NOK]]/Tabla13[[#This Row],[Cant. Fabricada (uds)]]</f>
        <v>7.72382088150423E-2</v>
      </c>
      <c r="T186" s="19" t="s">
        <v>872</v>
      </c>
    </row>
    <row r="187" spans="1:20" x14ac:dyDescent="0.3">
      <c r="A187" s="43">
        <v>44515</v>
      </c>
      <c r="B187" s="20" t="s">
        <v>880</v>
      </c>
      <c r="C187" s="20">
        <v>1905</v>
      </c>
      <c r="D187" s="13" t="str">
        <f>VLOOKUP(C:C,'LListat referències'!A:B,2,FALSE)</f>
        <v>Cubilet 50 ml 4uts</v>
      </c>
      <c r="E187" s="18" t="str">
        <f>VLOOKUP(C:C,'LListat referències'!A:D,4,FALSE)</f>
        <v/>
      </c>
      <c r="F187" s="49">
        <f>VLOOKUP(C:C,'LListat referències'!A:E,5,FALSE)</f>
        <v>3.55</v>
      </c>
      <c r="G187" s="49"/>
      <c r="H187" s="1" t="s">
        <v>797</v>
      </c>
      <c r="I187" s="25"/>
      <c r="J187" s="25">
        <v>11482</v>
      </c>
      <c r="K187" s="25">
        <v>14046</v>
      </c>
      <c r="L187" s="25">
        <v>14046</v>
      </c>
      <c r="M187" s="20">
        <v>19</v>
      </c>
      <c r="N187" s="1">
        <f>Tabla13[[#This Row],[Noche]]-Tabla13[[#This Row],[Mañana ]]</f>
        <v>2564</v>
      </c>
      <c r="O187" s="58"/>
      <c r="P187" s="21">
        <f t="shared" si="5"/>
        <v>0</v>
      </c>
      <c r="Q187" s="22">
        <f>Tabla13[[#This Row],[Merma Salas A &amp; B2]]*1000/Tabla13[[#This Row],[Peso gr.]]</f>
        <v>0</v>
      </c>
      <c r="R187" s="52"/>
      <c r="S187" s="24">
        <f>Tabla13[[#This Row],[Total piezas NOK]]/Tabla13[[#This Row],[Cant. Fabricada (uds)]]</f>
        <v>0</v>
      </c>
    </row>
    <row r="188" spans="1:20" x14ac:dyDescent="0.3">
      <c r="A188" s="43">
        <v>44515</v>
      </c>
      <c r="B188" s="20" t="s">
        <v>771</v>
      </c>
      <c r="C188" s="20" t="s">
        <v>615</v>
      </c>
      <c r="D188" s="13" t="str">
        <f>VLOOKUP(C:C,'LListat referències'!A:B,2,FALSE)</f>
        <v>Tarro 50ml Tinter Quadrat</v>
      </c>
      <c r="E188" s="18" t="str">
        <f>VLOOKUP(C:C,'LListat referències'!A:D,4,FALSE)</f>
        <v>T116</v>
      </c>
      <c r="F188" s="49">
        <f>VLOOKUP(C:C,'LListat referències'!A:E,5,FALSE)</f>
        <v>121.5</v>
      </c>
      <c r="G188" s="49"/>
      <c r="H188" s="1" t="s">
        <v>8</v>
      </c>
      <c r="I188" s="25"/>
      <c r="J188" s="25">
        <v>14140</v>
      </c>
      <c r="K188" s="25">
        <v>14252</v>
      </c>
      <c r="L188" s="25">
        <v>14252</v>
      </c>
      <c r="M188" s="20">
        <v>30</v>
      </c>
      <c r="N188" s="1">
        <f>Tabla13[[#This Row],[Noche]]-Tabla13[[#This Row],[Mañana ]]</f>
        <v>112</v>
      </c>
      <c r="O188" s="58">
        <v>25</v>
      </c>
      <c r="P188" s="21">
        <f t="shared" si="5"/>
        <v>25</v>
      </c>
      <c r="Q188" s="22">
        <f>Tabla13[[#This Row],[Merma Salas A &amp; B2]]*1000/Tabla13[[#This Row],[Peso gr.]]</f>
        <v>205.76131687242798</v>
      </c>
      <c r="R188" s="52">
        <v>25</v>
      </c>
      <c r="S188" s="24" t="s">
        <v>842</v>
      </c>
      <c r="T188" s="19" t="s">
        <v>883</v>
      </c>
    </row>
    <row r="189" spans="1:20" x14ac:dyDescent="0.3">
      <c r="A189" s="43">
        <v>44516</v>
      </c>
      <c r="B189" s="20" t="s">
        <v>857</v>
      </c>
      <c r="C189" s="20">
        <v>1800</v>
      </c>
      <c r="D189" s="13" t="str">
        <f>VLOOKUP(C:C,'LListat referències'!A:B,2,FALSE)</f>
        <v>Cubilet tarro juvena 30 ml</v>
      </c>
      <c r="E189" s="18" t="str">
        <f>VLOOKUP(C:C,'LListat referències'!A:D,4,FALSE)</f>
        <v/>
      </c>
      <c r="F189" s="49">
        <f>VLOOKUP(C:C,'LListat referències'!A:E,5,FALSE)</f>
        <v>5.86</v>
      </c>
      <c r="G189" s="49"/>
      <c r="H189" s="1" t="s">
        <v>797</v>
      </c>
      <c r="I189" s="25"/>
      <c r="J189" s="25">
        <v>7074</v>
      </c>
      <c r="K189" s="25">
        <v>7924</v>
      </c>
      <c r="L189" s="25">
        <v>9180</v>
      </c>
      <c r="M189" s="20">
        <v>46</v>
      </c>
      <c r="N189" s="1">
        <f>Tabla13[[#This Row],[Noche]]-Tabla13[[#This Row],[Mañana ]]</f>
        <v>2106</v>
      </c>
      <c r="O189" s="58">
        <v>0</v>
      </c>
      <c r="P189" s="21">
        <f t="shared" si="5"/>
        <v>0</v>
      </c>
      <c r="Q189" s="22">
        <f>Tabla13[[#This Row],[Merma Salas A &amp; B2]]*1000/Tabla13[[#This Row],[Peso gr.]]</f>
        <v>0</v>
      </c>
      <c r="R189" s="52"/>
      <c r="S189" s="24">
        <f>Tabla13[[#This Row],[Total piezas NOK]]/Tabla13[[#This Row],[Cant. Fabricada (uds)]]</f>
        <v>0</v>
      </c>
    </row>
    <row r="190" spans="1:20" x14ac:dyDescent="0.3">
      <c r="A190" s="43">
        <v>44516</v>
      </c>
      <c r="B190" s="20" t="s">
        <v>859</v>
      </c>
      <c r="C190" s="20" t="s">
        <v>478</v>
      </c>
      <c r="D190" s="13" t="str">
        <f>VLOOKUP(C:C,'LListat referències'!A:B,2,FALSE)</f>
        <v xml:space="preserve">Tarro 50 ml labiomar </v>
      </c>
      <c r="E190" s="18" t="str">
        <f>VLOOKUP(C:C,'LListat referències'!A:D,4,FALSE)</f>
        <v>T079</v>
      </c>
      <c r="F190" s="49">
        <f>VLOOKUP(C:C,'LListat referències'!A:E,5,FALSE)</f>
        <v>82.7</v>
      </c>
      <c r="G190" s="49"/>
      <c r="H190" s="1" t="s">
        <v>15</v>
      </c>
      <c r="I190" s="25"/>
      <c r="J190" s="25"/>
      <c r="K190" s="25"/>
      <c r="L190" s="25"/>
      <c r="M190" s="20"/>
      <c r="N190" s="1">
        <f>Tabla13[[#This Row],[Noche]]-Tabla13[[#This Row],[Mañana ]]</f>
        <v>0</v>
      </c>
      <c r="O190" s="58">
        <v>51</v>
      </c>
      <c r="P190" s="21">
        <f t="shared" si="5"/>
        <v>51</v>
      </c>
      <c r="Q190" s="22">
        <f>Tabla13[[#This Row],[Merma Salas A &amp; B2]]*1000/Tabla13[[#This Row],[Peso gr.]]</f>
        <v>616.68681983071338</v>
      </c>
      <c r="R190" s="52">
        <v>51</v>
      </c>
      <c r="S190" s="24" t="s">
        <v>842</v>
      </c>
      <c r="T190" s="19" t="s">
        <v>862</v>
      </c>
    </row>
    <row r="191" spans="1:20" x14ac:dyDescent="0.3">
      <c r="A191" s="43">
        <v>44516</v>
      </c>
      <c r="B191" s="20" t="s">
        <v>756</v>
      </c>
      <c r="C191" s="20" t="s">
        <v>644</v>
      </c>
      <c r="D191" s="13" t="str">
        <f>VLOOKUP(C:C,'LListat referències'!A:B,2,FALSE)</f>
        <v>Tarro 200ml Quadrat estret (Tapa Rodona)</v>
      </c>
      <c r="E191" s="18">
        <f>VLOOKUP(C:C,'LListat referències'!A:D,4,FALSE)</f>
        <v>0</v>
      </c>
      <c r="F191" s="49">
        <f>VLOOKUP(C:C,'LListat referències'!A:E,5,FALSE)</f>
        <v>220.84</v>
      </c>
      <c r="G191" s="49"/>
      <c r="H191" s="1" t="s">
        <v>7</v>
      </c>
      <c r="I191" s="25"/>
      <c r="J191" s="25">
        <v>24642</v>
      </c>
      <c r="K191" s="25">
        <v>24807</v>
      </c>
      <c r="L191" s="25">
        <v>25051</v>
      </c>
      <c r="M191" s="20">
        <v>41</v>
      </c>
      <c r="N191" s="1">
        <f>Tabla13[[#This Row],[Noche]]-Tabla13[[#This Row],[Mañana ]]</f>
        <v>409</v>
      </c>
      <c r="O191" s="58">
        <v>1.5</v>
      </c>
      <c r="P191" s="21">
        <f t="shared" si="5"/>
        <v>1.5</v>
      </c>
      <c r="Q191" s="22">
        <f>Tabla13[[#This Row],[Merma Salas A &amp; B2]]*1000/Tabla13[[#This Row],[Peso gr.]]</f>
        <v>6.792247781199058</v>
      </c>
      <c r="R191" s="52"/>
      <c r="S191" s="24">
        <f>Tabla13[[#This Row],[Total piezas NOK]]/Tabla13[[#This Row],[Cant. Fabricada (uds)]]</f>
        <v>1.6606962790217745E-2</v>
      </c>
    </row>
    <row r="192" spans="1:20" x14ac:dyDescent="0.3">
      <c r="A192" s="43">
        <v>44516</v>
      </c>
      <c r="B192" s="20" t="s">
        <v>871</v>
      </c>
      <c r="C192" s="20">
        <v>1879</v>
      </c>
      <c r="D192" s="13" t="str">
        <f>VLOOKUP(C:C,'LListat referències'!A:B,2,FALSE)</f>
        <v>Tapa tarro rectagular 50 ml</v>
      </c>
      <c r="E192" s="18" t="str">
        <f>VLOOKUP(C:C,'LListat referències'!A:D,4,FALSE)</f>
        <v>#23 (50 ml)</v>
      </c>
      <c r="F192" s="49">
        <f>VLOOKUP(C:C,'LListat referències'!A:E,5,FALSE)</f>
        <v>22.6</v>
      </c>
      <c r="G192" s="49"/>
      <c r="H192" s="1" t="s">
        <v>15</v>
      </c>
      <c r="I192" s="25"/>
      <c r="J192" s="25">
        <v>6026</v>
      </c>
      <c r="K192" s="25">
        <v>6602</v>
      </c>
      <c r="L192" s="25">
        <v>7404</v>
      </c>
      <c r="M192" s="20">
        <v>20</v>
      </c>
      <c r="N192" s="1">
        <f>Tabla13[[#This Row],[Noche]]-Tabla13[[#This Row],[Mañana ]]</f>
        <v>1378</v>
      </c>
      <c r="O192" s="58">
        <v>5</v>
      </c>
      <c r="P192" s="21">
        <f t="shared" si="5"/>
        <v>5</v>
      </c>
      <c r="Q192" s="22">
        <f>Tabla13[[#This Row],[Merma Salas A &amp; B2]]*1000/Tabla13[[#This Row],[Peso gr.]]</f>
        <v>221.23893805309734</v>
      </c>
      <c r="R192" s="52"/>
      <c r="S192" s="24">
        <f>Tabla13[[#This Row],[Total piezas NOK]]/Tabla13[[#This Row],[Cant. Fabricada (uds)]]</f>
        <v>0.16055075330413451</v>
      </c>
    </row>
    <row r="193" spans="1:20" x14ac:dyDescent="0.3">
      <c r="A193" s="43">
        <v>44516</v>
      </c>
      <c r="B193" s="20" t="s">
        <v>753</v>
      </c>
      <c r="C193" s="20">
        <v>1945</v>
      </c>
      <c r="D193" s="13" t="str">
        <f>VLOOKUP(C:C,'LListat referències'!A:B,2,FALSE)</f>
        <v>Tarro 400 ml</v>
      </c>
      <c r="E193" s="18" t="str">
        <f>VLOOKUP(C:C,'LListat referències'!A:D,4,FALSE)</f>
        <v>T113</v>
      </c>
      <c r="F193" s="49">
        <f>VLOOKUP(C:C,'LListat referències'!A:E,5,FALSE)</f>
        <v>211</v>
      </c>
      <c r="G193" s="49"/>
      <c r="H193" s="1" t="s">
        <v>15</v>
      </c>
      <c r="I193" s="25"/>
      <c r="J193" s="25">
        <v>5932</v>
      </c>
      <c r="K193" s="25">
        <v>6052</v>
      </c>
      <c r="L193" s="25">
        <v>6052</v>
      </c>
      <c r="M193" s="20">
        <v>7</v>
      </c>
      <c r="N193" s="1">
        <f>Tabla13[[#This Row],[Noche]]-Tabla13[[#This Row],[Mañana ]]</f>
        <v>120</v>
      </c>
      <c r="O193" s="58"/>
      <c r="P193" s="21">
        <f t="shared" si="5"/>
        <v>0</v>
      </c>
      <c r="Q193" s="22">
        <f>Tabla13[[#This Row],[Merma Salas A &amp; B2]]*1000/Tabla13[[#This Row],[Peso gr.]]</f>
        <v>0</v>
      </c>
      <c r="R193" s="52"/>
      <c r="S193" s="24">
        <f>Tabla13[[#This Row],[Total piezas NOK]]/Tabla13[[#This Row],[Cant. Fabricada (uds)]]</f>
        <v>0</v>
      </c>
    </row>
    <row r="194" spans="1:20" x14ac:dyDescent="0.3">
      <c r="A194" s="43">
        <v>44516</v>
      </c>
      <c r="B194" s="20" t="s">
        <v>839</v>
      </c>
      <c r="C194" s="20" t="s">
        <v>10</v>
      </c>
      <c r="D194" s="13" t="str">
        <f>VLOOKUP(C:C,'LListat referències'!A:B,2,FALSE)</f>
        <v xml:space="preserve">Tapa 100 ml prima </v>
      </c>
      <c r="E194" s="18" t="str">
        <f>VLOOKUP(C:C,'LListat referències'!A:D,4,FALSE)</f>
        <v>#26(100 ml)</v>
      </c>
      <c r="F194" s="49">
        <f>VLOOKUP(C:C,'LListat referències'!A:E,5,FALSE)</f>
        <v>30.3</v>
      </c>
      <c r="G194" s="49"/>
      <c r="H194" s="1" t="s">
        <v>15</v>
      </c>
      <c r="I194" s="25"/>
      <c r="J194" s="25">
        <v>9846</v>
      </c>
      <c r="K194" s="25">
        <v>10701</v>
      </c>
      <c r="L194" s="25">
        <v>11988</v>
      </c>
      <c r="M194" s="20">
        <v>38</v>
      </c>
      <c r="N194" s="1">
        <f>Tabla13[[#This Row],[Noche]]-Tabla13[[#This Row],[Mañana ]]</f>
        <v>2142</v>
      </c>
      <c r="O194" s="58"/>
      <c r="P194" s="21">
        <f t="shared" si="5"/>
        <v>0</v>
      </c>
      <c r="Q194" s="22">
        <f>Tabla13[[#This Row],[Merma Salas A &amp; B2]]*1000/Tabla13[[#This Row],[Peso gr.]]</f>
        <v>0</v>
      </c>
      <c r="R194" s="52"/>
      <c r="S194" s="24">
        <f>Tabla13[[#This Row],[Total piezas NOK]]/Tabla13[[#This Row],[Cant. Fabricada (uds)]]</f>
        <v>0</v>
      </c>
    </row>
    <row r="195" spans="1:20" x14ac:dyDescent="0.3">
      <c r="A195" s="43">
        <v>44516</v>
      </c>
      <c r="B195" s="20" t="s">
        <v>873</v>
      </c>
      <c r="C195" s="20">
        <v>1704</v>
      </c>
      <c r="D195" s="13" t="str">
        <f>VLOOKUP(C:C,'LListat referències'!A:B,2,FALSE)</f>
        <v>Tarro 50 ml quadrat</v>
      </c>
      <c r="E195" s="18" t="str">
        <f>VLOOKUP(C:C,'LListat referències'!A:D,4,FALSE)</f>
        <v>T046</v>
      </c>
      <c r="F195" s="49">
        <f>VLOOKUP(C:C,'LListat referències'!A:E,5,FALSE)</f>
        <v>99.2</v>
      </c>
      <c r="G195" s="49"/>
      <c r="H195" s="1" t="s">
        <v>15</v>
      </c>
      <c r="I195" s="25"/>
      <c r="J195" s="25">
        <v>1096</v>
      </c>
      <c r="K195" s="25">
        <v>1928</v>
      </c>
      <c r="L195" s="25">
        <v>3208</v>
      </c>
      <c r="M195" s="20">
        <v>51</v>
      </c>
      <c r="N195" s="1">
        <f>Tabla13[[#This Row],[Noche]]-Tabla13[[#This Row],[Mañana ]]</f>
        <v>2112</v>
      </c>
      <c r="O195" s="58"/>
      <c r="P195" s="21">
        <f t="shared" si="5"/>
        <v>0</v>
      </c>
      <c r="Q195" s="22">
        <f>Tabla13[[#This Row],[Merma Salas A &amp; B2]]*1000/Tabla13[[#This Row],[Peso gr.]]</f>
        <v>0</v>
      </c>
      <c r="R195" s="52"/>
      <c r="S195" s="24">
        <f>Tabla13[[#This Row],[Total piezas NOK]]/Tabla13[[#This Row],[Cant. Fabricada (uds)]]</f>
        <v>0</v>
      </c>
    </row>
    <row r="196" spans="1:20" x14ac:dyDescent="0.3">
      <c r="A196" s="43">
        <v>44516</v>
      </c>
      <c r="B196" s="20" t="s">
        <v>881</v>
      </c>
      <c r="C196" s="20">
        <v>1905</v>
      </c>
      <c r="D196" s="13" t="str">
        <f>VLOOKUP(C:C,'LListat referències'!A:B,2,FALSE)</f>
        <v>Cubilet 50 ml 4uts</v>
      </c>
      <c r="E196" s="18" t="str">
        <f>VLOOKUP(C:C,'LListat referències'!A:D,4,FALSE)</f>
        <v/>
      </c>
      <c r="F196" s="49">
        <f>VLOOKUP(C:C,'LListat referències'!A:E,5,FALSE)</f>
        <v>3.55</v>
      </c>
      <c r="G196" s="49"/>
      <c r="H196" s="1" t="s">
        <v>797</v>
      </c>
      <c r="I196" s="25"/>
      <c r="J196" s="25">
        <v>0</v>
      </c>
      <c r="K196" s="25">
        <v>4756</v>
      </c>
      <c r="L196" s="25">
        <v>12020</v>
      </c>
      <c r="M196" s="20">
        <v>19</v>
      </c>
      <c r="N196" s="1">
        <f>Tabla13[[#This Row],[Noche]]-Tabla13[[#This Row],[Mañana ]]</f>
        <v>12020</v>
      </c>
      <c r="O196" s="58"/>
      <c r="P196" s="21">
        <f t="shared" si="5"/>
        <v>0</v>
      </c>
      <c r="Q196" s="22">
        <f>Tabla13[[#This Row],[Merma Salas A &amp; B2]]*1000/Tabla13[[#This Row],[Peso gr.]]</f>
        <v>0</v>
      </c>
      <c r="R196" s="52"/>
      <c r="S196" s="24">
        <f>Tabla13[[#This Row],[Total piezas NOK]]/Tabla13[[#This Row],[Cant. Fabricada (uds)]]</f>
        <v>0</v>
      </c>
    </row>
    <row r="197" spans="1:20" x14ac:dyDescent="0.3">
      <c r="A197" s="43">
        <v>44516</v>
      </c>
      <c r="B197" s="20" t="s">
        <v>771</v>
      </c>
      <c r="C197" s="20" t="s">
        <v>615</v>
      </c>
      <c r="D197" s="13" t="str">
        <f>VLOOKUP(C:C,'LListat referències'!A:B,2,FALSE)</f>
        <v>Tarro 50ml Tinter Quadrat</v>
      </c>
      <c r="E197" s="18" t="str">
        <f>VLOOKUP(C:C,'LListat referències'!A:D,4,FALSE)</f>
        <v>T116</v>
      </c>
      <c r="F197" s="49">
        <f>VLOOKUP(C:C,'LListat referències'!A:E,5,FALSE)</f>
        <v>121.5</v>
      </c>
      <c r="G197" s="49"/>
      <c r="H197" s="1" t="s">
        <v>8</v>
      </c>
      <c r="I197" s="25"/>
      <c r="J197" s="25"/>
      <c r="K197" s="25"/>
      <c r="L197" s="25"/>
      <c r="M197" s="20">
        <v>30</v>
      </c>
      <c r="N197" s="1">
        <f>Tabla13[[#This Row],[Noche]]-Tabla13[[#This Row],[Mañana ]]</f>
        <v>0</v>
      </c>
      <c r="O197" s="58">
        <v>30</v>
      </c>
      <c r="P197" s="21">
        <f t="shared" si="5"/>
        <v>30</v>
      </c>
      <c r="Q197" s="22">
        <f>Tabla13[[#This Row],[Merma Salas A &amp; B2]]*1000/Tabla13[[#This Row],[Peso gr.]]</f>
        <v>246.91358024691357</v>
      </c>
      <c r="R197" s="52">
        <v>30</v>
      </c>
      <c r="S197" s="24" t="s">
        <v>842</v>
      </c>
      <c r="T197" s="19" t="s">
        <v>883</v>
      </c>
    </row>
    <row r="198" spans="1:20" x14ac:dyDescent="0.3">
      <c r="A198" s="43">
        <v>44517</v>
      </c>
      <c r="B198" s="20" t="s">
        <v>857</v>
      </c>
      <c r="C198" s="20">
        <v>1800</v>
      </c>
      <c r="D198" s="13" t="str">
        <f>VLOOKUP(C:C,'LListat referències'!A:B,2,FALSE)</f>
        <v>Cubilet tarro juvena 30 ml</v>
      </c>
      <c r="E198" s="18" t="str">
        <f>VLOOKUP(C:C,'LListat referències'!A:D,4,FALSE)</f>
        <v/>
      </c>
      <c r="F198" s="49">
        <f>VLOOKUP(C:C,'LListat referències'!A:E,5,FALSE)</f>
        <v>5.86</v>
      </c>
      <c r="G198" s="49"/>
      <c r="H198" s="1" t="s">
        <v>797</v>
      </c>
      <c r="I198" s="25"/>
      <c r="J198" s="25">
        <v>10332</v>
      </c>
      <c r="K198" s="25">
        <v>11501</v>
      </c>
      <c r="L198" s="25">
        <v>12701</v>
      </c>
      <c r="M198" s="20">
        <v>46</v>
      </c>
      <c r="N198" s="1">
        <f>Tabla13[[#This Row],[Noche]]-Tabla13[[#This Row],[Mañana ]]</f>
        <v>2369</v>
      </c>
      <c r="O198" s="58">
        <v>0</v>
      </c>
      <c r="P198" s="21">
        <f t="shared" si="5"/>
        <v>0</v>
      </c>
      <c r="Q198" s="22">
        <f>Tabla13[[#This Row],[Merma Salas A &amp; B2]]*1000/Tabla13[[#This Row],[Peso gr.]]</f>
        <v>0</v>
      </c>
      <c r="R198" s="52"/>
      <c r="S198" s="24">
        <f>Tabla13[[#This Row],[Total piezas NOK]]/Tabla13[[#This Row],[Cant. Fabricada (uds)]]</f>
        <v>0</v>
      </c>
    </row>
    <row r="199" spans="1:20" x14ac:dyDescent="0.3">
      <c r="A199" s="43">
        <v>44517</v>
      </c>
      <c r="B199" s="20" t="s">
        <v>858</v>
      </c>
      <c r="C199" s="20">
        <v>1799</v>
      </c>
      <c r="D199" s="13" t="str">
        <f>VLOOKUP(C:C,'LListat referències'!A:B,2,FALSE)</f>
        <v>Tarro tapa juvena 30ml</v>
      </c>
      <c r="E199" s="18" t="str">
        <f>VLOOKUP(C:C,'LListat referències'!A:D,4,FALSE)</f>
        <v>T071</v>
      </c>
      <c r="F199" s="49">
        <f>VLOOKUP(C:C,'LListat referències'!A:E,5,FALSE)</f>
        <v>43.5</v>
      </c>
      <c r="G199" s="49"/>
      <c r="H199" s="1" t="s">
        <v>15</v>
      </c>
      <c r="I199" s="25"/>
      <c r="J199" s="25">
        <v>342</v>
      </c>
      <c r="K199" s="25">
        <v>1426</v>
      </c>
      <c r="L199" s="25">
        <v>1862</v>
      </c>
      <c r="M199" s="20">
        <v>45</v>
      </c>
      <c r="N199" s="1">
        <f>Tabla13[[#This Row],[Noche]]-Tabla13[[#This Row],[Mañana ]]</f>
        <v>1520</v>
      </c>
      <c r="O199" s="58">
        <v>0</v>
      </c>
      <c r="P199" s="21">
        <f t="shared" si="5"/>
        <v>0</v>
      </c>
      <c r="Q199" s="22">
        <f>Tabla13[[#This Row],[Merma Salas A &amp; B2]]*1000/Tabla13[[#This Row],[Peso gr.]]</f>
        <v>0</v>
      </c>
      <c r="R199" s="52"/>
      <c r="S199" s="24">
        <f>Tabla13[[#This Row],[Total piezas NOK]]/Tabla13[[#This Row],[Cant. Fabricada (uds)]]</f>
        <v>0</v>
      </c>
    </row>
    <row r="200" spans="1:20" x14ac:dyDescent="0.3">
      <c r="A200" s="43">
        <v>44517</v>
      </c>
      <c r="B200" s="20" t="s">
        <v>759</v>
      </c>
      <c r="C200" s="20">
        <v>1861</v>
      </c>
      <c r="D200" s="13" t="str">
        <f>VLOOKUP(C:C,'LListat referències'!A:B,2,FALSE)</f>
        <v>Tarro 50ml Standard 8 unitats</v>
      </c>
      <c r="E200" s="18" t="str">
        <f>VLOOKUP(C:C,'LListat referències'!A:D,4,FALSE)</f>
        <v>T022</v>
      </c>
      <c r="F200" s="49">
        <f>VLOOKUP(C:C,'LListat referències'!A:E,5,FALSE)</f>
        <v>92</v>
      </c>
      <c r="G200" s="49"/>
      <c r="H200" s="1" t="s">
        <v>15</v>
      </c>
      <c r="I200" s="25"/>
      <c r="J200" s="25">
        <v>0</v>
      </c>
      <c r="K200" s="25">
        <v>1181</v>
      </c>
      <c r="L200" s="25">
        <v>3045</v>
      </c>
      <c r="M200" s="20">
        <v>43</v>
      </c>
      <c r="N200" s="1">
        <f>Tabla13[[#This Row],[Noche]]-Tabla13[[#This Row],[Mañana ]]</f>
        <v>3045</v>
      </c>
      <c r="O200" s="58">
        <v>35</v>
      </c>
      <c r="P200" s="21">
        <f t="shared" si="5"/>
        <v>35</v>
      </c>
      <c r="Q200" s="22">
        <f>Tabla13[[#This Row],[Merma Salas A &amp; B2]]*1000/Tabla13[[#This Row],[Peso gr.]]</f>
        <v>380.43478260869563</v>
      </c>
      <c r="R200" s="52"/>
      <c r="S200" s="24">
        <f>Tabla13[[#This Row],[Total piezas NOK]]/Tabla13[[#This Row],[Cant. Fabricada (uds)]]</f>
        <v>0.1249375312343828</v>
      </c>
      <c r="T200" s="19" t="s">
        <v>875</v>
      </c>
    </row>
    <row r="201" spans="1:20" x14ac:dyDescent="0.3">
      <c r="A201" s="43">
        <v>44517</v>
      </c>
      <c r="B201" s="20" t="s">
        <v>756</v>
      </c>
      <c r="C201" s="20" t="s">
        <v>644</v>
      </c>
      <c r="D201" s="13" t="str">
        <f>VLOOKUP(C:C,'LListat referències'!A:B,2,FALSE)</f>
        <v>Tarro 200ml Quadrat estret (Tapa Rodona)</v>
      </c>
      <c r="E201" s="18">
        <f>VLOOKUP(C:C,'LListat referències'!A:D,4,FALSE)</f>
        <v>0</v>
      </c>
      <c r="F201" s="49">
        <f>VLOOKUP(C:C,'LListat referències'!A:E,5,FALSE)</f>
        <v>220.84</v>
      </c>
      <c r="G201" s="49"/>
      <c r="H201" s="1" t="s">
        <v>7</v>
      </c>
      <c r="I201" s="25"/>
      <c r="J201" s="25">
        <v>25279</v>
      </c>
      <c r="K201" s="25">
        <v>25509</v>
      </c>
      <c r="L201" s="25">
        <v>25746</v>
      </c>
      <c r="M201" s="20">
        <v>41</v>
      </c>
      <c r="N201" s="1">
        <f>Tabla13[[#This Row],[Noche]]-Tabla13[[#This Row],[Mañana ]]</f>
        <v>467</v>
      </c>
      <c r="O201" s="58">
        <v>1.5</v>
      </c>
      <c r="P201" s="21">
        <f t="shared" ref="P201:P264" si="6">SUM(O201:O201)</f>
        <v>1.5</v>
      </c>
      <c r="Q201" s="22">
        <f>Tabla13[[#This Row],[Merma Salas A &amp; B2]]*1000/Tabla13[[#This Row],[Peso gr.]]</f>
        <v>6.792247781199058</v>
      </c>
      <c r="R201" s="52"/>
      <c r="S201" s="24">
        <f>Tabla13[[#This Row],[Total piezas NOK]]/Tabla13[[#This Row],[Cant. Fabricada (uds)]]</f>
        <v>1.4544427797000124E-2</v>
      </c>
    </row>
    <row r="202" spans="1:20" x14ac:dyDescent="0.3">
      <c r="A202" s="43">
        <v>44517</v>
      </c>
      <c r="B202" s="20" t="s">
        <v>871</v>
      </c>
      <c r="C202" s="20">
        <v>1879</v>
      </c>
      <c r="D202" s="13" t="str">
        <f>VLOOKUP(C:C,'LListat referències'!A:B,2,FALSE)</f>
        <v>Tapa tarro rectagular 50 ml</v>
      </c>
      <c r="E202" s="18" t="str">
        <f>VLOOKUP(C:C,'LListat referències'!A:D,4,FALSE)</f>
        <v>#23 (50 ml)</v>
      </c>
      <c r="F202" s="49">
        <f>VLOOKUP(C:C,'LListat referències'!A:E,5,FALSE)</f>
        <v>22.6</v>
      </c>
      <c r="G202" s="49"/>
      <c r="H202" s="1" t="s">
        <v>15</v>
      </c>
      <c r="I202" s="25"/>
      <c r="J202" s="25">
        <v>8164</v>
      </c>
      <c r="K202" s="25">
        <v>8904</v>
      </c>
      <c r="L202" s="25">
        <v>9666</v>
      </c>
      <c r="M202" s="20">
        <v>20</v>
      </c>
      <c r="N202" s="1">
        <f>Tabla13[[#This Row],[Noche]]-Tabla13[[#This Row],[Mañana ]]</f>
        <v>1502</v>
      </c>
      <c r="O202" s="58">
        <v>2.5</v>
      </c>
      <c r="P202" s="21">
        <f t="shared" si="6"/>
        <v>2.5</v>
      </c>
      <c r="Q202" s="22">
        <f>Tabla13[[#This Row],[Merma Salas A &amp; B2]]*1000/Tabla13[[#This Row],[Peso gr.]]</f>
        <v>110.61946902654867</v>
      </c>
      <c r="R202" s="52"/>
      <c r="S202" s="24">
        <f>Tabla13[[#This Row],[Total piezas NOK]]/Tabla13[[#This Row],[Cant. Fabricada (uds)]]</f>
        <v>7.3648115197435873E-2</v>
      </c>
    </row>
    <row r="203" spans="1:20" x14ac:dyDescent="0.3">
      <c r="A203" s="43">
        <v>44517</v>
      </c>
      <c r="B203" s="20" t="s">
        <v>839</v>
      </c>
      <c r="C203" s="20" t="s">
        <v>10</v>
      </c>
      <c r="D203" s="13" t="str">
        <f>VLOOKUP(C:C,'LListat referències'!A:B,2,FALSE)</f>
        <v xml:space="preserve">Tapa 100 ml prima </v>
      </c>
      <c r="E203" s="18" t="str">
        <f>VLOOKUP(C:C,'LListat referències'!A:D,4,FALSE)</f>
        <v>#26(100 ml)</v>
      </c>
      <c r="F203" s="49">
        <f>VLOOKUP(C:C,'LListat referències'!A:E,5,FALSE)</f>
        <v>30.3</v>
      </c>
      <c r="G203" s="49"/>
      <c r="H203" s="1" t="s">
        <v>15</v>
      </c>
      <c r="I203" s="25"/>
      <c r="J203" s="25">
        <v>11988</v>
      </c>
      <c r="K203" s="25">
        <v>14370</v>
      </c>
      <c r="L203" s="25">
        <v>15378</v>
      </c>
      <c r="M203" s="20">
        <v>38</v>
      </c>
      <c r="N203" s="1">
        <f>Tabla13[[#This Row],[Noche]]-Tabla13[[#This Row],[Mañana ]]</f>
        <v>3390</v>
      </c>
      <c r="O203" s="58">
        <v>5</v>
      </c>
      <c r="P203" s="21">
        <f t="shared" si="6"/>
        <v>5</v>
      </c>
      <c r="Q203" s="22">
        <f>Tabla13[[#This Row],[Merma Salas A &amp; B2]]*1000/Tabla13[[#This Row],[Peso gr.]]</f>
        <v>165.01650165016503</v>
      </c>
      <c r="R203" s="52"/>
      <c r="S203" s="24">
        <f>Tabla13[[#This Row],[Total piezas NOK]]/Tabla13[[#This Row],[Cant. Fabricada (uds)]]</f>
        <v>4.8677434115092927E-2</v>
      </c>
    </row>
    <row r="204" spans="1:20" x14ac:dyDescent="0.3">
      <c r="A204" s="43">
        <v>44517</v>
      </c>
      <c r="B204" s="20" t="s">
        <v>873</v>
      </c>
      <c r="C204" s="20">
        <v>1704</v>
      </c>
      <c r="D204" s="13" t="str">
        <f>VLOOKUP(C:C,'LListat referències'!A:B,2,FALSE)</f>
        <v>Tarro 50 ml quadrat</v>
      </c>
      <c r="E204" s="18" t="str">
        <f>VLOOKUP(C:C,'LListat referències'!A:D,4,FALSE)</f>
        <v>T046</v>
      </c>
      <c r="F204" s="49">
        <f>VLOOKUP(C:C,'LListat referències'!A:E,5,FALSE)</f>
        <v>99.2</v>
      </c>
      <c r="G204" s="49"/>
      <c r="H204" s="1" t="s">
        <v>15</v>
      </c>
      <c r="I204" s="25"/>
      <c r="J204" s="25">
        <v>4380</v>
      </c>
      <c r="K204" s="25">
        <v>5516</v>
      </c>
      <c r="L204" s="25">
        <v>6760</v>
      </c>
      <c r="M204" s="20">
        <v>51</v>
      </c>
      <c r="N204" s="1">
        <f>Tabla13[[#This Row],[Noche]]-Tabla13[[#This Row],[Mañana ]]</f>
        <v>2380</v>
      </c>
      <c r="O204" s="58"/>
      <c r="P204" s="21">
        <f t="shared" si="6"/>
        <v>0</v>
      </c>
      <c r="Q204" s="22">
        <f>Tabla13[[#This Row],[Merma Salas A &amp; B2]]*1000/Tabla13[[#This Row],[Peso gr.]]</f>
        <v>0</v>
      </c>
      <c r="R204" s="52"/>
      <c r="S204" s="24">
        <f>Tabla13[[#This Row],[Total piezas NOK]]/Tabla13[[#This Row],[Cant. Fabricada (uds)]]</f>
        <v>0</v>
      </c>
    </row>
    <row r="205" spans="1:20" x14ac:dyDescent="0.3">
      <c r="A205" s="43">
        <v>44517</v>
      </c>
      <c r="B205" s="20" t="s">
        <v>876</v>
      </c>
      <c r="C205" s="20">
        <v>1904</v>
      </c>
      <c r="D205" s="13" t="str">
        <f>VLOOKUP(C:C,'LListat referències'!A:B,2,FALSE)</f>
        <v xml:space="preserve">Interior tapa 200ml </v>
      </c>
      <c r="E205" s="18" t="str">
        <f>VLOOKUP(C:C,'LListat referències'!A:D,4,FALSE)</f>
        <v/>
      </c>
      <c r="F205" s="49">
        <f>VLOOKUP(C:C,'LListat referències'!A:E,5,FALSE)</f>
        <v>10</v>
      </c>
      <c r="G205" s="49"/>
      <c r="H205" s="1" t="s">
        <v>797</v>
      </c>
      <c r="I205" s="25"/>
      <c r="J205" s="25"/>
      <c r="K205" s="25">
        <v>3260</v>
      </c>
      <c r="L205" s="25">
        <v>3260</v>
      </c>
      <c r="M205" s="20">
        <v>17</v>
      </c>
      <c r="N205" s="1">
        <f>Tabla13[[#This Row],[Noche]]-Tabla13[[#This Row],[Mañana ]]</f>
        <v>3260</v>
      </c>
      <c r="O205" s="58"/>
      <c r="P205" s="21">
        <f t="shared" si="6"/>
        <v>0</v>
      </c>
      <c r="Q205" s="22">
        <f>Tabla13[[#This Row],[Merma Salas A &amp; B2]]*1000/Tabla13[[#This Row],[Peso gr.]]</f>
        <v>0</v>
      </c>
      <c r="R205" s="52"/>
      <c r="S205" s="24">
        <f>Tabla13[[#This Row],[Total piezas NOK]]/Tabla13[[#This Row],[Cant. Fabricada (uds)]]</f>
        <v>0</v>
      </c>
    </row>
    <row r="206" spans="1:20" x14ac:dyDescent="0.3">
      <c r="A206" s="43">
        <v>44517</v>
      </c>
      <c r="B206" s="20" t="s">
        <v>867</v>
      </c>
      <c r="C206" s="20">
        <v>1904</v>
      </c>
      <c r="D206" s="13" t="str">
        <f>VLOOKUP(C:C,'LListat referències'!A:B,2,FALSE)</f>
        <v xml:space="preserve">Interior tapa 200ml </v>
      </c>
      <c r="E206" s="18" t="str">
        <f>VLOOKUP(C:C,'LListat referències'!A:D,4,FALSE)</f>
        <v/>
      </c>
      <c r="F206" s="49">
        <f>VLOOKUP(C:C,'LListat referències'!A:E,5,FALSE)</f>
        <v>10</v>
      </c>
      <c r="G206" s="49"/>
      <c r="H206" s="1" t="s">
        <v>797</v>
      </c>
      <c r="I206" s="25"/>
      <c r="J206" s="25">
        <v>0</v>
      </c>
      <c r="K206" s="25">
        <v>396</v>
      </c>
      <c r="L206" s="25">
        <v>4424</v>
      </c>
      <c r="M206" s="20">
        <v>17</v>
      </c>
      <c r="N206" s="1">
        <f>Tabla13[[#This Row],[Noche]]-Tabla13[[#This Row],[Mañana ]]</f>
        <v>4424</v>
      </c>
      <c r="O206" s="58"/>
      <c r="P206" s="21">
        <f t="shared" si="6"/>
        <v>0</v>
      </c>
      <c r="Q206" s="22">
        <f>Tabla13[[#This Row],[Merma Salas A &amp; B2]]*1000/Tabla13[[#This Row],[Peso gr.]]</f>
        <v>0</v>
      </c>
      <c r="R206" s="52"/>
      <c r="S206" s="24">
        <f>Tabla13[[#This Row],[Total piezas NOK]]/Tabla13[[#This Row],[Cant. Fabricada (uds)]]</f>
        <v>0</v>
      </c>
    </row>
    <row r="207" spans="1:20" x14ac:dyDescent="0.3">
      <c r="A207" s="43">
        <v>44518</v>
      </c>
      <c r="B207" s="20" t="s">
        <v>857</v>
      </c>
      <c r="C207" s="20">
        <v>1801</v>
      </c>
      <c r="D207" s="13" t="str">
        <f>VLOOKUP(C:C,'LListat referències'!A:B,2,FALSE)</f>
        <v>Int. tapa juvena 30 ml</v>
      </c>
      <c r="E207" s="18" t="str">
        <f>VLOOKUP(C:C,'LListat referències'!A:D,4,FALSE)</f>
        <v/>
      </c>
      <c r="F207" s="49">
        <f>VLOOKUP(C:C,'LListat referències'!A:E,5,FALSE)</f>
        <v>5.86</v>
      </c>
      <c r="G207" s="49"/>
      <c r="H207" s="1" t="s">
        <v>797</v>
      </c>
      <c r="I207" s="25"/>
      <c r="J207" s="25"/>
      <c r="K207" s="25">
        <v>1089</v>
      </c>
      <c r="L207" s="25">
        <v>2581</v>
      </c>
      <c r="M207" s="20">
        <v>46</v>
      </c>
      <c r="N207" s="1">
        <f>Tabla13[[#This Row],[Noche]]-Tabla13[[#This Row],[Mañana ]]</f>
        <v>2581</v>
      </c>
      <c r="O207" s="58">
        <v>0</v>
      </c>
      <c r="P207" s="21">
        <f t="shared" si="6"/>
        <v>0</v>
      </c>
      <c r="Q207" s="22">
        <f>Tabla13[[#This Row],[Merma Salas A &amp; B2]]*1000/Tabla13[[#This Row],[Peso gr.]]</f>
        <v>0</v>
      </c>
      <c r="R207" s="52"/>
      <c r="S207" s="24">
        <f>Tabla13[[#This Row],[Total piezas NOK]]/Tabla13[[#This Row],[Cant. Fabricada (uds)]]</f>
        <v>0</v>
      </c>
    </row>
    <row r="208" spans="1:20" x14ac:dyDescent="0.3">
      <c r="A208" s="43">
        <v>44518</v>
      </c>
      <c r="B208" s="20" t="s">
        <v>759</v>
      </c>
      <c r="C208" s="20">
        <v>1861</v>
      </c>
      <c r="D208" s="13" t="str">
        <f>VLOOKUP(C:C,'LListat referències'!A:B,2,FALSE)</f>
        <v>Tarro 50ml Standard 8 unitats</v>
      </c>
      <c r="E208" s="18" t="str">
        <f>VLOOKUP(C:C,'LListat referències'!A:D,4,FALSE)</f>
        <v>T022</v>
      </c>
      <c r="F208" s="49">
        <f>VLOOKUP(C:C,'LListat referències'!A:E,5,FALSE)</f>
        <v>92</v>
      </c>
      <c r="G208" s="49"/>
      <c r="H208" s="1" t="s">
        <v>15</v>
      </c>
      <c r="I208" s="25"/>
      <c r="J208" s="25">
        <v>4928</v>
      </c>
      <c r="K208" s="25">
        <v>6678</v>
      </c>
      <c r="L208" s="25">
        <v>8505</v>
      </c>
      <c r="M208" s="20">
        <v>43</v>
      </c>
      <c r="N208" s="1">
        <f>Tabla13[[#This Row],[Noche]]-Tabla13[[#This Row],[Mañana ]]</f>
        <v>3577</v>
      </c>
      <c r="O208" s="58">
        <v>55</v>
      </c>
      <c r="P208" s="21">
        <f t="shared" si="6"/>
        <v>55</v>
      </c>
      <c r="Q208" s="22">
        <f>Tabla13[[#This Row],[Merma Salas A &amp; B2]]*1000/Tabla13[[#This Row],[Peso gr.]]</f>
        <v>597.82608695652175</v>
      </c>
      <c r="R208" s="52">
        <v>55</v>
      </c>
      <c r="S208" s="24">
        <f>Tabla13[[#This Row],[Total piezas NOK]]/Tabla13[[#This Row],[Cant. Fabricada (uds)]]</f>
        <v>0.16713058064202452</v>
      </c>
      <c r="T208" s="19" t="s">
        <v>866</v>
      </c>
    </row>
    <row r="209" spans="1:19" x14ac:dyDescent="0.3">
      <c r="A209" s="43">
        <v>44518</v>
      </c>
      <c r="B209" s="20" t="s">
        <v>756</v>
      </c>
      <c r="C209" s="20" t="s">
        <v>644</v>
      </c>
      <c r="D209" s="13" t="str">
        <f>VLOOKUP(C:C,'LListat referències'!A:B,2,FALSE)</f>
        <v>Tarro 200ml Quadrat estret (Tapa Rodona)</v>
      </c>
      <c r="E209" s="18">
        <f>VLOOKUP(C:C,'LListat referències'!A:D,4,FALSE)</f>
        <v>0</v>
      </c>
      <c r="F209" s="49">
        <f>VLOOKUP(C:C,'LListat referències'!A:E,5,FALSE)</f>
        <v>220.84</v>
      </c>
      <c r="G209" s="49"/>
      <c r="H209" s="1" t="s">
        <v>7</v>
      </c>
      <c r="I209" s="25"/>
      <c r="J209" s="25">
        <v>25986</v>
      </c>
      <c r="K209" s="25">
        <v>26208</v>
      </c>
      <c r="L209" s="25">
        <v>26428</v>
      </c>
      <c r="M209" s="20">
        <v>41</v>
      </c>
      <c r="N209" s="1">
        <f>Tabla13[[#This Row],[Noche]]-Tabla13[[#This Row],[Mañana ]]</f>
        <v>442</v>
      </c>
      <c r="O209" s="58"/>
      <c r="P209" s="21">
        <f t="shared" si="6"/>
        <v>0</v>
      </c>
      <c r="Q209" s="22">
        <f>Tabla13[[#This Row],[Merma Salas A &amp; B2]]*1000/Tabla13[[#This Row],[Peso gr.]]</f>
        <v>0</v>
      </c>
      <c r="R209" s="52"/>
      <c r="S209" s="24">
        <f>Tabla13[[#This Row],[Total piezas NOK]]/Tabla13[[#This Row],[Cant. Fabricada (uds)]]</f>
        <v>0</v>
      </c>
    </row>
    <row r="210" spans="1:19" x14ac:dyDescent="0.3">
      <c r="A210" s="43">
        <v>44518</v>
      </c>
      <c r="B210" s="20" t="s">
        <v>871</v>
      </c>
      <c r="C210" s="20">
        <v>1879</v>
      </c>
      <c r="D210" s="13" t="str">
        <f>VLOOKUP(C:C,'LListat referències'!A:B,2,FALSE)</f>
        <v>Tapa tarro rectagular 50 ml</v>
      </c>
      <c r="E210" s="18" t="str">
        <f>VLOOKUP(C:C,'LListat referències'!A:D,4,FALSE)</f>
        <v>#23 (50 ml)</v>
      </c>
      <c r="F210" s="49">
        <f>VLOOKUP(C:C,'LListat referències'!A:E,5,FALSE)</f>
        <v>22.6</v>
      </c>
      <c r="G210" s="49"/>
      <c r="H210" s="1" t="s">
        <v>15</v>
      </c>
      <c r="I210" s="25"/>
      <c r="J210" s="25">
        <v>10122</v>
      </c>
      <c r="K210" s="25">
        <v>10850</v>
      </c>
      <c r="L210" s="25">
        <v>11648</v>
      </c>
      <c r="M210" s="20">
        <v>20</v>
      </c>
      <c r="N210" s="1">
        <f>Tabla13[[#This Row],[Noche]]-Tabla13[[#This Row],[Mañana ]]</f>
        <v>1526</v>
      </c>
      <c r="O210" s="58">
        <v>3</v>
      </c>
      <c r="P210" s="21">
        <f t="shared" si="6"/>
        <v>3</v>
      </c>
      <c r="Q210" s="22">
        <f>Tabla13[[#This Row],[Merma Salas A &amp; B2]]*1000/Tabla13[[#This Row],[Peso gr.]]</f>
        <v>132.74336283185841</v>
      </c>
      <c r="R210" s="52"/>
      <c r="S210" s="24">
        <f>Tabla13[[#This Row],[Total piezas NOK]]/Tabla13[[#This Row],[Cant. Fabricada (uds)]]</f>
        <v>8.6987786914717175E-2</v>
      </c>
    </row>
    <row r="211" spans="1:19" x14ac:dyDescent="0.3">
      <c r="A211" s="43">
        <v>44518</v>
      </c>
      <c r="B211" s="20" t="s">
        <v>839</v>
      </c>
      <c r="C211" s="20" t="s">
        <v>10</v>
      </c>
      <c r="D211" s="13" t="str">
        <f>VLOOKUP(C:C,'LListat referències'!A:B,2,FALSE)</f>
        <v xml:space="preserve">Tapa 100 ml prima </v>
      </c>
      <c r="E211" s="18" t="str">
        <f>VLOOKUP(C:C,'LListat referències'!A:D,4,FALSE)</f>
        <v>#26(100 ml)</v>
      </c>
      <c r="F211" s="49">
        <f>VLOOKUP(C:C,'LListat referències'!A:E,5,FALSE)</f>
        <v>30.3</v>
      </c>
      <c r="G211" s="49"/>
      <c r="H211" s="1" t="s">
        <v>15</v>
      </c>
      <c r="I211" s="25"/>
      <c r="J211" s="25">
        <v>16230</v>
      </c>
      <c r="K211" s="25">
        <v>17002</v>
      </c>
      <c r="L211" s="25">
        <v>17848</v>
      </c>
      <c r="M211" s="20">
        <v>38</v>
      </c>
      <c r="N211" s="1">
        <f>Tabla13[[#This Row],[Noche]]-Tabla13[[#This Row],[Mañana ]]</f>
        <v>1618</v>
      </c>
      <c r="O211" s="58">
        <v>5</v>
      </c>
      <c r="P211" s="21">
        <f t="shared" si="6"/>
        <v>5</v>
      </c>
      <c r="Q211" s="22">
        <f>Tabla13[[#This Row],[Merma Salas A &amp; B2]]*1000/Tabla13[[#This Row],[Peso gr.]]</f>
        <v>165.01650165016503</v>
      </c>
      <c r="R211" s="52"/>
      <c r="S211" s="24">
        <f>Tabla13[[#This Row],[Total piezas NOK]]/Tabla13[[#This Row],[Cant. Fabricada (uds)]]</f>
        <v>0.10198794910393388</v>
      </c>
    </row>
    <row r="212" spans="1:19" x14ac:dyDescent="0.3">
      <c r="A212" s="43">
        <v>44518</v>
      </c>
      <c r="B212" s="20" t="s">
        <v>873</v>
      </c>
      <c r="C212" s="20">
        <v>1704</v>
      </c>
      <c r="D212" s="13" t="str">
        <f>VLOOKUP(C:C,'LListat referències'!A:B,2,FALSE)</f>
        <v>Tarro 50 ml quadrat</v>
      </c>
      <c r="E212" s="18" t="str">
        <f>VLOOKUP(C:C,'LListat referències'!A:D,4,FALSE)</f>
        <v>T046</v>
      </c>
      <c r="F212" s="49">
        <f>VLOOKUP(C:C,'LListat referències'!A:E,5,FALSE)</f>
        <v>99.2</v>
      </c>
      <c r="G212" s="49"/>
      <c r="H212" s="1" t="s">
        <v>15</v>
      </c>
      <c r="I212" s="25"/>
      <c r="J212" s="25">
        <v>8000</v>
      </c>
      <c r="K212" s="25">
        <v>9140</v>
      </c>
      <c r="L212" s="25">
        <v>10360</v>
      </c>
      <c r="M212" s="20">
        <v>51</v>
      </c>
      <c r="N212" s="1">
        <f>Tabla13[[#This Row],[Noche]]-Tabla13[[#This Row],[Mañana ]]</f>
        <v>2360</v>
      </c>
      <c r="O212" s="58"/>
      <c r="P212" s="21">
        <f t="shared" si="6"/>
        <v>0</v>
      </c>
      <c r="Q212" s="22">
        <f>Tabla13[[#This Row],[Merma Salas A &amp; B2]]*1000/Tabla13[[#This Row],[Peso gr.]]</f>
        <v>0</v>
      </c>
      <c r="R212" s="52"/>
      <c r="S212" s="24">
        <f>Tabla13[[#This Row],[Total piezas NOK]]/Tabla13[[#This Row],[Cant. Fabricada (uds)]]</f>
        <v>0</v>
      </c>
    </row>
    <row r="213" spans="1:19" x14ac:dyDescent="0.3">
      <c r="A213" s="43">
        <v>44518</v>
      </c>
      <c r="B213" s="20" t="s">
        <v>867</v>
      </c>
      <c r="C213" s="20">
        <v>1904</v>
      </c>
      <c r="D213" s="13" t="str">
        <f>VLOOKUP(C:C,'LListat referències'!A:B,2,FALSE)</f>
        <v xml:space="preserve">Interior tapa 200ml </v>
      </c>
      <c r="E213" s="18" t="str">
        <f>VLOOKUP(C:C,'LListat referències'!A:D,4,FALSE)</f>
        <v/>
      </c>
      <c r="F213" s="49">
        <f>VLOOKUP(C:C,'LListat referències'!A:E,5,FALSE)</f>
        <v>10</v>
      </c>
      <c r="G213" s="49"/>
      <c r="H213" s="1" t="s">
        <v>797</v>
      </c>
      <c r="I213" s="25"/>
      <c r="J213" s="25">
        <v>7928</v>
      </c>
      <c r="K213" s="25">
        <v>11532</v>
      </c>
      <c r="L213" s="25">
        <v>15392</v>
      </c>
      <c r="M213" s="20">
        <v>17</v>
      </c>
      <c r="N213" s="1">
        <f>Tabla13[[#This Row],[Noche]]-Tabla13[[#This Row],[Mañana ]]</f>
        <v>7464</v>
      </c>
      <c r="O213" s="58"/>
      <c r="P213" s="21">
        <f t="shared" si="6"/>
        <v>0</v>
      </c>
      <c r="Q213" s="22">
        <f>Tabla13[[#This Row],[Merma Salas A &amp; B2]]*1000/Tabla13[[#This Row],[Peso gr.]]</f>
        <v>0</v>
      </c>
      <c r="R213" s="52"/>
      <c r="S213" s="24">
        <f>Tabla13[[#This Row],[Total piezas NOK]]/Tabla13[[#This Row],[Cant. Fabricada (uds)]]</f>
        <v>0</v>
      </c>
    </row>
    <row r="214" spans="1:19" x14ac:dyDescent="0.3">
      <c r="A214" s="43">
        <v>44518</v>
      </c>
      <c r="B214" s="20" t="s">
        <v>858</v>
      </c>
      <c r="C214" s="20">
        <v>1799</v>
      </c>
      <c r="D214" s="13" t="str">
        <f>VLOOKUP(C:C,'LListat referències'!A:B,2,FALSE)</f>
        <v>Tarro tapa juvena 30ml</v>
      </c>
      <c r="E214" s="18" t="str">
        <f>VLOOKUP(C:C,'LListat referències'!A:D,4,FALSE)</f>
        <v>T071</v>
      </c>
      <c r="F214" s="49">
        <f>VLOOKUP(C:C,'LListat referències'!A:E,5,FALSE)</f>
        <v>43.5</v>
      </c>
      <c r="G214" s="49">
        <v>90</v>
      </c>
      <c r="H214" s="1" t="s">
        <v>15</v>
      </c>
      <c r="I214" s="25"/>
      <c r="J214" s="25">
        <v>342</v>
      </c>
      <c r="K214" s="25">
        <v>1426</v>
      </c>
      <c r="L214" s="25">
        <v>1826</v>
      </c>
      <c r="M214" s="20">
        <v>45</v>
      </c>
      <c r="N214" s="1">
        <f>Tabla13[[#This Row],[Noche]]-Tabla13[[#This Row],[Mañana ]]</f>
        <v>1484</v>
      </c>
      <c r="O214" s="58"/>
      <c r="P214" s="21">
        <f t="shared" si="6"/>
        <v>0</v>
      </c>
      <c r="Q214" s="22">
        <f>Tabla13[[#This Row],[Merma Salas A &amp; B2]]*1000/Tabla13[[#This Row],[Peso gr.]]</f>
        <v>0</v>
      </c>
      <c r="R214" s="52"/>
      <c r="S214" s="24">
        <f>Tabla13[[#This Row],[Total piezas NOK]]/Tabla13[[#This Row],[Cant. Fabricada (uds)]]</f>
        <v>0</v>
      </c>
    </row>
    <row r="215" spans="1:19" x14ac:dyDescent="0.3">
      <c r="A215" s="43">
        <v>44519</v>
      </c>
      <c r="B215" s="20" t="s">
        <v>856</v>
      </c>
      <c r="C215" s="20">
        <v>1171</v>
      </c>
      <c r="D215" s="13" t="str">
        <f>VLOOKUP(C:C,'LListat referències'!A:B,2,FALSE)</f>
        <v>Obturador BOTELLA</v>
      </c>
      <c r="E215" s="18" t="str">
        <f>VLOOKUP(C:C,'LListat referències'!A:D,4,FALSE)</f>
        <v/>
      </c>
      <c r="F215" s="49">
        <v>0.3</v>
      </c>
      <c r="G215" s="49"/>
      <c r="H215" s="1" t="s">
        <v>868</v>
      </c>
      <c r="I215" s="25"/>
      <c r="J215" s="25">
        <v>2940</v>
      </c>
      <c r="K215" s="25">
        <v>5044</v>
      </c>
      <c r="L215" s="25">
        <v>5044</v>
      </c>
      <c r="M215" s="20">
        <v>48</v>
      </c>
      <c r="N215" s="1">
        <f>Tabla13[[#This Row],[Noche]]-Tabla13[[#This Row],[Mañana ]]</f>
        <v>2104</v>
      </c>
      <c r="O215" s="58">
        <v>0</v>
      </c>
      <c r="P215" s="21">
        <f t="shared" si="6"/>
        <v>0</v>
      </c>
      <c r="Q215" s="22">
        <f>Tabla13[[#This Row],[Merma Salas A &amp; B2]]*1000/Tabla13[[#This Row],[Peso gr.]]</f>
        <v>0</v>
      </c>
      <c r="R215" s="52"/>
      <c r="S215" s="24">
        <f>Tabla13[[#This Row],[Total piezas NOK]]/Tabla13[[#This Row],[Cant. Fabricada (uds)]]</f>
        <v>0</v>
      </c>
    </row>
    <row r="216" spans="1:19" x14ac:dyDescent="0.3">
      <c r="A216" s="43">
        <v>44519</v>
      </c>
      <c r="B216" s="20" t="s">
        <v>857</v>
      </c>
      <c r="C216" s="20">
        <v>1801</v>
      </c>
      <c r="D216" s="13" t="str">
        <f>VLOOKUP(C:C,'LListat referències'!A:B,2,FALSE)</f>
        <v>Int. tapa juvena 30 ml</v>
      </c>
      <c r="E216" s="18" t="str">
        <f>VLOOKUP(C:C,'LListat referències'!A:D,4,FALSE)</f>
        <v/>
      </c>
      <c r="F216" s="49">
        <f>VLOOKUP(C:C,'LListat referències'!A:E,5,FALSE)</f>
        <v>5.86</v>
      </c>
      <c r="G216" s="49"/>
      <c r="H216" s="1" t="s">
        <v>797</v>
      </c>
      <c r="I216" s="25"/>
      <c r="J216" s="25">
        <v>3997</v>
      </c>
      <c r="K216" s="25">
        <v>5463</v>
      </c>
      <c r="L216" s="25">
        <v>5526</v>
      </c>
      <c r="M216" s="20">
        <v>46</v>
      </c>
      <c r="N216" s="1">
        <f>Tabla13[[#This Row],[Noche]]-Tabla13[[#This Row],[Mañana ]]</f>
        <v>1529</v>
      </c>
      <c r="O216" s="58">
        <v>0</v>
      </c>
      <c r="P216" s="21">
        <f t="shared" si="6"/>
        <v>0</v>
      </c>
      <c r="Q216" s="22">
        <f>Tabla13[[#This Row],[Merma Salas A &amp; B2]]*1000/Tabla13[[#This Row],[Peso gr.]]</f>
        <v>0</v>
      </c>
      <c r="R216" s="52"/>
      <c r="S216" s="24">
        <f>Tabla13[[#This Row],[Total piezas NOK]]/Tabla13[[#This Row],[Cant. Fabricada (uds)]]</f>
        <v>0</v>
      </c>
    </row>
    <row r="217" spans="1:19" x14ac:dyDescent="0.3">
      <c r="A217" s="43">
        <v>44519</v>
      </c>
      <c r="B217" s="20" t="s">
        <v>860</v>
      </c>
      <c r="C217" s="20" t="s">
        <v>478</v>
      </c>
      <c r="D217" s="13" t="str">
        <f>VLOOKUP(C:C,'LListat referències'!A:B,2,FALSE)</f>
        <v xml:space="preserve">Tarro 50 ml labiomar </v>
      </c>
      <c r="E217" s="18" t="str">
        <f>VLOOKUP(C:C,'LListat referències'!A:D,4,FALSE)</f>
        <v>T079</v>
      </c>
      <c r="F217" s="49">
        <f>VLOOKUP(C:C,'LListat referències'!A:E,5,FALSE)</f>
        <v>82.7</v>
      </c>
      <c r="G217" s="49"/>
      <c r="H217" s="1" t="s">
        <v>8</v>
      </c>
      <c r="I217" s="25"/>
      <c r="J217" s="25">
        <v>603</v>
      </c>
      <c r="K217" s="25">
        <v>1278</v>
      </c>
      <c r="L217" s="25">
        <v>1278</v>
      </c>
      <c r="M217" s="20">
        <v>44</v>
      </c>
      <c r="N217" s="1">
        <f>Tabla13[[#This Row],[Noche]]-Tabla13[[#This Row],[Mañana ]]</f>
        <v>675</v>
      </c>
      <c r="O217" s="58"/>
      <c r="P217" s="21">
        <f t="shared" si="6"/>
        <v>0</v>
      </c>
      <c r="Q217" s="22">
        <f>Tabla13[[#This Row],[Merma Salas A &amp; B2]]*1000/Tabla13[[#This Row],[Peso gr.]]</f>
        <v>0</v>
      </c>
      <c r="R217" s="52"/>
      <c r="S217" s="24">
        <f>Tabla13[[#This Row],[Total piezas NOK]]/Tabla13[[#This Row],[Cant. Fabricada (uds)]]</f>
        <v>0</v>
      </c>
    </row>
    <row r="218" spans="1:19" x14ac:dyDescent="0.3">
      <c r="A218" s="43">
        <v>44519</v>
      </c>
      <c r="B218" s="20" t="s">
        <v>759</v>
      </c>
      <c r="C218" s="20">
        <v>1861</v>
      </c>
      <c r="D218" s="13" t="str">
        <f>VLOOKUP(C:C,'LListat referències'!A:B,2,FALSE)</f>
        <v>Tarro 50ml Standard 8 unitats</v>
      </c>
      <c r="E218" s="18" t="str">
        <f>VLOOKUP(C:C,'LListat referències'!A:D,4,FALSE)</f>
        <v>T022</v>
      </c>
      <c r="F218" s="49">
        <f>VLOOKUP(C:C,'LListat referències'!A:E,5,FALSE)</f>
        <v>92</v>
      </c>
      <c r="G218" s="49"/>
      <c r="H218" s="1" t="s">
        <v>15</v>
      </c>
      <c r="I218" s="25"/>
      <c r="J218" s="25">
        <v>10395</v>
      </c>
      <c r="K218" s="25">
        <v>12075</v>
      </c>
      <c r="L218" s="25">
        <v>13531</v>
      </c>
      <c r="M218" s="20">
        <v>43</v>
      </c>
      <c r="N218" s="1">
        <f>Tabla13[[#This Row],[Noche]]-Tabla13[[#This Row],[Mañana ]]</f>
        <v>3136</v>
      </c>
      <c r="O218" s="58"/>
      <c r="P218" s="21">
        <f t="shared" si="6"/>
        <v>0</v>
      </c>
      <c r="Q218" s="22">
        <f>Tabla13[[#This Row],[Merma Salas A &amp; B2]]*1000/Tabla13[[#This Row],[Peso gr.]]</f>
        <v>0</v>
      </c>
      <c r="R218" s="52"/>
      <c r="S218" s="24">
        <f>Tabla13[[#This Row],[Total piezas NOK]]/Tabla13[[#This Row],[Cant. Fabricada (uds)]]</f>
        <v>0</v>
      </c>
    </row>
    <row r="219" spans="1:19" x14ac:dyDescent="0.3">
      <c r="A219" s="43">
        <v>44519</v>
      </c>
      <c r="B219" s="20" t="s">
        <v>756</v>
      </c>
      <c r="C219" s="20" t="s">
        <v>644</v>
      </c>
      <c r="D219" s="13" t="str">
        <f>VLOOKUP(C:C,'LListat referències'!A:B,2,FALSE)</f>
        <v>Tarro 200ml Quadrat estret (Tapa Rodona)</v>
      </c>
      <c r="E219" s="18">
        <f>VLOOKUP(C:C,'LListat referències'!A:D,4,FALSE)</f>
        <v>0</v>
      </c>
      <c r="F219" s="49">
        <f>VLOOKUP(C:C,'LListat referències'!A:E,5,FALSE)</f>
        <v>220.84</v>
      </c>
      <c r="G219" s="49"/>
      <c r="H219" s="1" t="s">
        <v>7</v>
      </c>
      <c r="I219" s="25"/>
      <c r="J219" s="25">
        <v>26643</v>
      </c>
      <c r="K219" s="25">
        <v>26867</v>
      </c>
      <c r="L219" s="25">
        <v>27062</v>
      </c>
      <c r="M219" s="20">
        <v>41</v>
      </c>
      <c r="N219" s="1">
        <f>Tabla13[[#This Row],[Noche]]-Tabla13[[#This Row],[Mañana ]]</f>
        <v>419</v>
      </c>
      <c r="O219" s="58"/>
      <c r="P219" s="21">
        <f t="shared" si="6"/>
        <v>0</v>
      </c>
      <c r="Q219" s="22">
        <f>Tabla13[[#This Row],[Merma Salas A &amp; B2]]*1000/Tabla13[[#This Row],[Peso gr.]]</f>
        <v>0</v>
      </c>
      <c r="R219" s="52"/>
      <c r="S219" s="24">
        <f>Tabla13[[#This Row],[Total piezas NOK]]/Tabla13[[#This Row],[Cant. Fabricada (uds)]]</f>
        <v>0</v>
      </c>
    </row>
    <row r="220" spans="1:19" x14ac:dyDescent="0.3">
      <c r="A220" s="43">
        <v>44519</v>
      </c>
      <c r="B220" s="20" t="s">
        <v>871</v>
      </c>
      <c r="C220" s="20">
        <v>1879</v>
      </c>
      <c r="D220" s="13" t="str">
        <f>VLOOKUP(C:C,'LListat referències'!A:B,2,FALSE)</f>
        <v>Tapa tarro rectagular 50 ml</v>
      </c>
      <c r="E220" s="18" t="str">
        <f>VLOOKUP(C:C,'LListat referències'!A:D,4,FALSE)</f>
        <v>#23 (50 ml)</v>
      </c>
      <c r="F220" s="49">
        <f>VLOOKUP(C:C,'LListat referències'!A:E,5,FALSE)</f>
        <v>22.6</v>
      </c>
      <c r="G220" s="49"/>
      <c r="H220" s="1" t="s">
        <v>15</v>
      </c>
      <c r="I220" s="25"/>
      <c r="J220" s="25">
        <v>12348</v>
      </c>
      <c r="K220" s="25">
        <v>13102</v>
      </c>
      <c r="L220" s="25">
        <v>13748</v>
      </c>
      <c r="M220" s="20">
        <v>20</v>
      </c>
      <c r="N220" s="1">
        <f>Tabla13[[#This Row],[Noche]]-Tabla13[[#This Row],[Mañana ]]</f>
        <v>1400</v>
      </c>
      <c r="O220" s="58">
        <v>5</v>
      </c>
      <c r="P220" s="21">
        <f t="shared" si="6"/>
        <v>5</v>
      </c>
      <c r="Q220" s="22">
        <f>Tabla13[[#This Row],[Merma Salas A &amp; B2]]*1000/Tabla13[[#This Row],[Peso gr.]]</f>
        <v>221.23893805309734</v>
      </c>
      <c r="R220" s="52"/>
      <c r="S220" s="24">
        <f>Tabla13[[#This Row],[Total piezas NOK]]/Tabla13[[#This Row],[Cant. Fabricada (uds)]]</f>
        <v>0.15802781289506954</v>
      </c>
    </row>
    <row r="221" spans="1:19" x14ac:dyDescent="0.3">
      <c r="A221" s="43">
        <v>44519</v>
      </c>
      <c r="B221" s="20" t="s">
        <v>839</v>
      </c>
      <c r="C221" s="20" t="s">
        <v>10</v>
      </c>
      <c r="D221" s="13" t="str">
        <f>VLOOKUP(C:C,'LListat referències'!A:B,2,FALSE)</f>
        <v xml:space="preserve">Tapa 100 ml prima </v>
      </c>
      <c r="E221" s="18" t="str">
        <f>VLOOKUP(C:C,'LListat referències'!A:D,4,FALSE)</f>
        <v>#26(100 ml)</v>
      </c>
      <c r="F221" s="49">
        <f>VLOOKUP(C:C,'LListat referències'!A:E,5,FALSE)</f>
        <v>30.3</v>
      </c>
      <c r="G221" s="49"/>
      <c r="H221" s="1" t="s">
        <v>15</v>
      </c>
      <c r="I221" s="25"/>
      <c r="J221" s="25">
        <v>18700</v>
      </c>
      <c r="K221" s="25">
        <v>19494</v>
      </c>
      <c r="L221" s="25">
        <v>19846</v>
      </c>
      <c r="M221" s="20">
        <v>38</v>
      </c>
      <c r="N221" s="1">
        <f>Tabla13[[#This Row],[Noche]]-Tabla13[[#This Row],[Mañana ]]</f>
        <v>1146</v>
      </c>
      <c r="O221" s="58">
        <v>5</v>
      </c>
      <c r="P221" s="21">
        <f t="shared" si="6"/>
        <v>5</v>
      </c>
      <c r="Q221" s="22">
        <f>Tabla13[[#This Row],[Merma Salas A &amp; B2]]*1000/Tabla13[[#This Row],[Peso gr.]]</f>
        <v>165.01650165016503</v>
      </c>
      <c r="R221" s="52"/>
      <c r="S221" s="24">
        <f>Tabla13[[#This Row],[Total piezas NOK]]/Tabla13[[#This Row],[Cant. Fabricada (uds)]]</f>
        <v>0.14399345693731677</v>
      </c>
    </row>
    <row r="222" spans="1:19" x14ac:dyDescent="0.3">
      <c r="A222" s="43">
        <v>44519</v>
      </c>
      <c r="B222" s="20" t="s">
        <v>873</v>
      </c>
      <c r="C222" s="20">
        <v>1704</v>
      </c>
      <c r="D222" s="13" t="str">
        <f>VLOOKUP(C:C,'LListat referències'!A:B,2,FALSE)</f>
        <v>Tarro 50 ml quadrat</v>
      </c>
      <c r="E222" s="18" t="str">
        <f>VLOOKUP(C:C,'LListat referències'!A:D,4,FALSE)</f>
        <v>T046</v>
      </c>
      <c r="F222" s="49">
        <f>VLOOKUP(C:C,'LListat referències'!A:E,5,FALSE)</f>
        <v>99.2</v>
      </c>
      <c r="G222" s="49"/>
      <c r="H222" s="1" t="s">
        <v>15</v>
      </c>
      <c r="I222" s="25"/>
      <c r="J222" s="25">
        <v>11600</v>
      </c>
      <c r="K222" s="25">
        <v>12312</v>
      </c>
      <c r="L222" s="25">
        <v>12312</v>
      </c>
      <c r="M222" s="20">
        <v>51</v>
      </c>
      <c r="N222" s="1">
        <f>Tabla13[[#This Row],[Noche]]-Tabla13[[#This Row],[Mañana ]]</f>
        <v>712</v>
      </c>
      <c r="O222" s="58"/>
      <c r="P222" s="21">
        <f t="shared" si="6"/>
        <v>0</v>
      </c>
      <c r="Q222" s="22">
        <f>Tabla13[[#This Row],[Merma Salas A &amp; B2]]*1000/Tabla13[[#This Row],[Peso gr.]]</f>
        <v>0</v>
      </c>
      <c r="R222" s="52"/>
      <c r="S222" s="24">
        <f>Tabla13[[#This Row],[Total piezas NOK]]/Tabla13[[#This Row],[Cant. Fabricada (uds)]]</f>
        <v>0</v>
      </c>
    </row>
    <row r="223" spans="1:19" x14ac:dyDescent="0.3">
      <c r="A223" s="43">
        <v>44519</v>
      </c>
      <c r="B223" s="20" t="s">
        <v>867</v>
      </c>
      <c r="C223" s="20">
        <v>1904</v>
      </c>
      <c r="D223" s="13" t="str">
        <f>VLOOKUP(C:C,'LListat referències'!A:B,2,FALSE)</f>
        <v xml:space="preserve">Interior tapa 200ml </v>
      </c>
      <c r="E223" s="18" t="str">
        <f>VLOOKUP(C:C,'LListat referències'!A:D,4,FALSE)</f>
        <v/>
      </c>
      <c r="F223" s="49">
        <f>VLOOKUP(C:C,'LListat referències'!A:E,5,FALSE)</f>
        <v>10</v>
      </c>
      <c r="G223" s="49"/>
      <c r="H223" s="1" t="s">
        <v>797</v>
      </c>
      <c r="I223" s="25"/>
      <c r="J223" s="25">
        <v>19232</v>
      </c>
      <c r="K223" s="25">
        <v>23072</v>
      </c>
      <c r="L223" s="25">
        <v>26488</v>
      </c>
      <c r="M223" s="20">
        <v>17</v>
      </c>
      <c r="N223" s="1">
        <f>Tabla13[[#This Row],[Noche]]-Tabla13[[#This Row],[Mañana ]]</f>
        <v>7256</v>
      </c>
      <c r="O223" s="58"/>
      <c r="P223" s="21">
        <f t="shared" si="6"/>
        <v>0</v>
      </c>
      <c r="Q223" s="22">
        <f>Tabla13[[#This Row],[Merma Salas A &amp; B2]]*1000/Tabla13[[#This Row],[Peso gr.]]</f>
        <v>0</v>
      </c>
      <c r="R223" s="52"/>
      <c r="S223" s="24">
        <f>Tabla13[[#This Row],[Total piezas NOK]]/Tabla13[[#This Row],[Cant. Fabricada (uds)]]</f>
        <v>0</v>
      </c>
    </row>
    <row r="224" spans="1:19" x14ac:dyDescent="0.3">
      <c r="A224" s="43">
        <v>44519</v>
      </c>
      <c r="B224" s="20" t="s">
        <v>858</v>
      </c>
      <c r="C224" s="20">
        <v>1799</v>
      </c>
      <c r="D224" s="13" t="str">
        <f>VLOOKUP(C:C,'LListat referències'!A:B,2,FALSE)</f>
        <v>Tarro tapa juvena 30ml</v>
      </c>
      <c r="E224" s="18" t="str">
        <f>VLOOKUP(C:C,'LListat referències'!A:D,4,FALSE)</f>
        <v>T071</v>
      </c>
      <c r="F224" s="49">
        <f>VLOOKUP(C:C,'LListat referències'!A:E,5,FALSE)</f>
        <v>43.5</v>
      </c>
      <c r="G224" s="49">
        <v>90</v>
      </c>
      <c r="H224" s="1" t="s">
        <v>15</v>
      </c>
      <c r="I224" s="25"/>
      <c r="J224" s="25">
        <v>2848</v>
      </c>
      <c r="K224" s="25"/>
      <c r="L224" s="25">
        <v>2848</v>
      </c>
      <c r="M224" s="20">
        <v>45</v>
      </c>
      <c r="N224" s="1">
        <f>Tabla13[[#This Row],[Noche]]-Tabla13[[#This Row],[Mañana ]]</f>
        <v>0</v>
      </c>
      <c r="O224" s="58"/>
      <c r="P224" s="21">
        <f t="shared" si="6"/>
        <v>0</v>
      </c>
      <c r="Q224" s="22">
        <f>Tabla13[[#This Row],[Merma Salas A &amp; B2]]*1000/Tabla13[[#This Row],[Peso gr.]]</f>
        <v>0</v>
      </c>
      <c r="R224" s="52"/>
      <c r="S224" s="24" t="s">
        <v>842</v>
      </c>
    </row>
    <row r="225" spans="1:20" x14ac:dyDescent="0.3">
      <c r="A225" s="43">
        <v>44522</v>
      </c>
      <c r="B225" s="20" t="s">
        <v>857</v>
      </c>
      <c r="C225" s="20">
        <v>1801</v>
      </c>
      <c r="D225" s="13" t="str">
        <f>VLOOKUP(C:C,'LListat referències'!A:B,2,FALSE)</f>
        <v>Int. tapa juvena 30 ml</v>
      </c>
      <c r="E225" s="18" t="str">
        <f>VLOOKUP(C:C,'LListat referències'!A:D,4,FALSE)</f>
        <v/>
      </c>
      <c r="F225" s="49">
        <f>VLOOKUP(C:C,'LListat referències'!A:E,5,FALSE)</f>
        <v>5.86</v>
      </c>
      <c r="G225" s="49"/>
      <c r="H225" s="1" t="s">
        <v>797</v>
      </c>
      <c r="I225" s="25"/>
      <c r="J225" s="25">
        <v>6780</v>
      </c>
      <c r="K225" s="25">
        <v>8221</v>
      </c>
      <c r="L225" s="25">
        <v>9796</v>
      </c>
      <c r="M225" s="20">
        <v>46</v>
      </c>
      <c r="N225" s="1">
        <f>Tabla13[[#This Row],[Noche]]-Tabla13[[#This Row],[Mañana ]]</f>
        <v>3016</v>
      </c>
      <c r="O225" s="58">
        <v>0</v>
      </c>
      <c r="P225" s="21">
        <f t="shared" si="6"/>
        <v>0</v>
      </c>
      <c r="Q225" s="22">
        <f>Tabla13[[#This Row],[Merma Salas A &amp; B2]]*1000/Tabla13[[#This Row],[Peso gr.]]</f>
        <v>0</v>
      </c>
      <c r="R225" s="52"/>
      <c r="S225" s="24">
        <f>Tabla13[[#This Row],[Total piezas NOK]]/Tabla13[[#This Row],[Cant. Fabricada (uds)]]</f>
        <v>0</v>
      </c>
    </row>
    <row r="226" spans="1:20" x14ac:dyDescent="0.3">
      <c r="A226" s="43">
        <v>44522</v>
      </c>
      <c r="B226" s="20" t="s">
        <v>861</v>
      </c>
      <c r="C226" s="20" t="s">
        <v>478</v>
      </c>
      <c r="D226" s="13" t="str">
        <f>VLOOKUP(C:C,'LListat referències'!A:B,2,FALSE)</f>
        <v xml:space="preserve">Tarro 50 ml labiomar </v>
      </c>
      <c r="E226" s="18" t="str">
        <f>VLOOKUP(C:C,'LListat referències'!A:D,4,FALSE)</f>
        <v>T079</v>
      </c>
      <c r="F226" s="49">
        <f>VLOOKUP(C:C,'LListat referències'!A:E,5,FALSE)</f>
        <v>82.7</v>
      </c>
      <c r="G226" s="49"/>
      <c r="H226" s="1" t="s">
        <v>8</v>
      </c>
      <c r="I226" s="25"/>
      <c r="J226" s="25">
        <v>1950</v>
      </c>
      <c r="K226" s="25">
        <v>2736</v>
      </c>
      <c r="L226" s="25">
        <v>3582</v>
      </c>
      <c r="M226" s="20">
        <v>44</v>
      </c>
      <c r="N226" s="1">
        <f>Tabla13[[#This Row],[Noche]]-Tabla13[[#This Row],[Mañana ]]</f>
        <v>1632</v>
      </c>
      <c r="O226" s="58"/>
      <c r="P226" s="21">
        <f t="shared" si="6"/>
        <v>0</v>
      </c>
      <c r="Q226" s="22">
        <f>Tabla13[[#This Row],[Merma Salas A &amp; B2]]*1000/Tabla13[[#This Row],[Peso gr.]]</f>
        <v>0</v>
      </c>
      <c r="R226" s="52"/>
      <c r="S226" s="24">
        <f>Tabla13[[#This Row],[Total piezas NOK]]/Tabla13[[#This Row],[Cant. Fabricada (uds)]]</f>
        <v>0</v>
      </c>
    </row>
    <row r="227" spans="1:20" x14ac:dyDescent="0.3">
      <c r="A227" s="43">
        <v>44522</v>
      </c>
      <c r="B227" s="20" t="s">
        <v>756</v>
      </c>
      <c r="C227" s="20" t="s">
        <v>644</v>
      </c>
      <c r="D227" s="13" t="str">
        <f>VLOOKUP(C:C,'LListat referències'!A:B,2,FALSE)</f>
        <v>Tarro 200ml Quadrat estret (Tapa Rodona)</v>
      </c>
      <c r="E227" s="18">
        <f>VLOOKUP(C:C,'LListat referències'!A:D,4,FALSE)</f>
        <v>0</v>
      </c>
      <c r="F227" s="49">
        <f>VLOOKUP(C:C,'LListat referències'!A:E,5,FALSE)</f>
        <v>220.84</v>
      </c>
      <c r="G227" s="49"/>
      <c r="H227" s="1" t="s">
        <v>7</v>
      </c>
      <c r="I227" s="25"/>
      <c r="J227" s="25">
        <v>27271</v>
      </c>
      <c r="K227" s="25">
        <v>27493</v>
      </c>
      <c r="L227" s="25">
        <v>27727</v>
      </c>
      <c r="M227" s="20">
        <v>41</v>
      </c>
      <c r="N227" s="1">
        <f>Tabla13[[#This Row],[Noche]]-Tabla13[[#This Row],[Mañana ]]</f>
        <v>456</v>
      </c>
      <c r="O227" s="58">
        <v>2</v>
      </c>
      <c r="P227" s="21">
        <f t="shared" si="6"/>
        <v>2</v>
      </c>
      <c r="Q227" s="22">
        <f>Tabla13[[#This Row],[Merma Salas A &amp; B2]]*1000/Tabla13[[#This Row],[Peso gr.]]</f>
        <v>9.0563303749320774</v>
      </c>
      <c r="R227" s="52"/>
      <c r="S227" s="24">
        <f>Tabla13[[#This Row],[Total piezas NOK]]/Tabla13[[#This Row],[Cant. Fabricada (uds)]]</f>
        <v>1.986037362923701E-2</v>
      </c>
    </row>
    <row r="228" spans="1:20" x14ac:dyDescent="0.3">
      <c r="A228" s="43">
        <v>44522</v>
      </c>
      <c r="B228" s="20" t="s">
        <v>869</v>
      </c>
      <c r="C228" s="20" t="s">
        <v>542</v>
      </c>
      <c r="D228" s="13" t="str">
        <f>VLOOKUP(C:C,'LListat referències'!A:B,2,FALSE)</f>
        <v>Tapa 15ml per tarro Tintero</v>
      </c>
      <c r="E228" s="18" t="str">
        <f>VLOOKUP(C:C,'LListat referències'!A:D,4,FALSE)</f>
        <v>#23</v>
      </c>
      <c r="F228" s="49">
        <f>VLOOKUP(C:C,'LListat referències'!A:E,5,FALSE)</f>
        <v>10</v>
      </c>
      <c r="G228" s="49"/>
      <c r="H228" s="1" t="s">
        <v>8</v>
      </c>
      <c r="I228" s="25"/>
      <c r="J228" s="25"/>
      <c r="K228" s="25"/>
      <c r="L228" s="25"/>
      <c r="M228" s="20"/>
      <c r="N228" s="1">
        <f>Tabla13[[#This Row],[Noche]]-Tabla13[[#This Row],[Mañana ]]</f>
        <v>0</v>
      </c>
      <c r="O228" s="58">
        <v>5</v>
      </c>
      <c r="P228" s="21">
        <f t="shared" si="6"/>
        <v>5</v>
      </c>
      <c r="Q228" s="22">
        <f>Tabla13[[#This Row],[Merma Salas A &amp; B2]]*1000/Tabla13[[#This Row],[Peso gr.]]</f>
        <v>500</v>
      </c>
      <c r="R228" s="52">
        <v>5</v>
      </c>
      <c r="S228" s="24" t="s">
        <v>842</v>
      </c>
      <c r="T228" s="19" t="s">
        <v>870</v>
      </c>
    </row>
    <row r="229" spans="1:20" x14ac:dyDescent="0.3">
      <c r="A229" s="43">
        <v>44522</v>
      </c>
      <c r="B229" s="20" t="s">
        <v>871</v>
      </c>
      <c r="C229" s="20">
        <v>1879</v>
      </c>
      <c r="D229" s="13" t="str">
        <f>VLOOKUP(C:C,'LListat referències'!A:B,2,FALSE)</f>
        <v>Tapa tarro rectagular 50 ml</v>
      </c>
      <c r="E229" s="18" t="str">
        <f>VLOOKUP(C:C,'LListat referències'!A:D,4,FALSE)</f>
        <v>#23 (50 ml)</v>
      </c>
      <c r="F229" s="49">
        <f>VLOOKUP(C:C,'LListat referències'!A:E,5,FALSE)</f>
        <v>22.6</v>
      </c>
      <c r="G229" s="49"/>
      <c r="H229" s="1" t="s">
        <v>15</v>
      </c>
      <c r="I229" s="25"/>
      <c r="J229" s="25">
        <v>14440</v>
      </c>
      <c r="K229" s="25">
        <v>15184</v>
      </c>
      <c r="L229" s="25">
        <v>15978</v>
      </c>
      <c r="M229" s="20">
        <v>20</v>
      </c>
      <c r="N229" s="1">
        <f>Tabla13[[#This Row],[Noche]]-Tabla13[[#This Row],[Mañana ]]</f>
        <v>1538</v>
      </c>
      <c r="O229" s="58">
        <v>10</v>
      </c>
      <c r="P229" s="21">
        <f t="shared" si="6"/>
        <v>10</v>
      </c>
      <c r="Q229" s="22">
        <f>Tabla13[[#This Row],[Merma Salas A &amp; B2]]*1000/Tabla13[[#This Row],[Peso gr.]]</f>
        <v>442.47787610619469</v>
      </c>
      <c r="R229" s="52">
        <v>10</v>
      </c>
      <c r="S229" s="24">
        <f>Tabla13[[#This Row],[Total piezas NOK]]/Tabla13[[#This Row],[Cant. Fabricada (uds)]]</f>
        <v>0.28769692854759082</v>
      </c>
      <c r="T229" s="19" t="s">
        <v>872</v>
      </c>
    </row>
    <row r="230" spans="1:20" x14ac:dyDescent="0.3">
      <c r="A230" s="43">
        <v>44522</v>
      </c>
      <c r="B230" s="20" t="s">
        <v>839</v>
      </c>
      <c r="C230" s="20" t="s">
        <v>10</v>
      </c>
      <c r="D230" s="13" t="str">
        <f>VLOOKUP(C:C,'LListat referències'!A:B,2,FALSE)</f>
        <v xml:space="preserve">Tapa 100 ml prima </v>
      </c>
      <c r="E230" s="18" t="str">
        <f>VLOOKUP(C:C,'LListat referències'!A:D,4,FALSE)</f>
        <v>#26(100 ml)</v>
      </c>
      <c r="F230" s="49">
        <f>VLOOKUP(C:C,'LListat referències'!A:E,5,FALSE)</f>
        <v>30.3</v>
      </c>
      <c r="G230" s="49"/>
      <c r="H230" s="1" t="s">
        <v>15</v>
      </c>
      <c r="I230" s="25"/>
      <c r="J230" s="25"/>
      <c r="K230" s="25"/>
      <c r="L230" s="25"/>
      <c r="M230" s="20"/>
      <c r="N230" s="1">
        <f>Tabla13[[#This Row],[Noche]]-Tabla13[[#This Row],[Mañana ]]</f>
        <v>0</v>
      </c>
      <c r="O230" s="58">
        <v>10</v>
      </c>
      <c r="P230" s="21">
        <f t="shared" si="6"/>
        <v>10</v>
      </c>
      <c r="Q230" s="22">
        <f>Tabla13[[#This Row],[Merma Salas A &amp; B2]]*1000/Tabla13[[#This Row],[Peso gr.]]</f>
        <v>330.03300330033005</v>
      </c>
      <c r="R230" s="52">
        <v>10</v>
      </c>
      <c r="S230" s="24" t="s">
        <v>842</v>
      </c>
    </row>
    <row r="231" spans="1:20" x14ac:dyDescent="0.3">
      <c r="A231" s="43">
        <v>44522</v>
      </c>
      <c r="B231" s="20" t="s">
        <v>867</v>
      </c>
      <c r="C231" s="20">
        <v>1904</v>
      </c>
      <c r="D231" s="13" t="str">
        <f>VLOOKUP(C:C,'LListat referències'!A:B,2,FALSE)</f>
        <v xml:space="preserve">Interior tapa 200ml </v>
      </c>
      <c r="E231" s="18" t="str">
        <f>VLOOKUP(C:C,'LListat referències'!A:D,4,FALSE)</f>
        <v/>
      </c>
      <c r="F231" s="49">
        <f>VLOOKUP(C:C,'LListat referències'!A:E,5,FALSE)</f>
        <v>10</v>
      </c>
      <c r="G231" s="49"/>
      <c r="H231" s="1" t="s">
        <v>797</v>
      </c>
      <c r="I231" s="25"/>
      <c r="J231" s="25"/>
      <c r="K231" s="25"/>
      <c r="L231" s="25">
        <v>30160</v>
      </c>
      <c r="M231" s="20">
        <v>17</v>
      </c>
      <c r="N231" s="1">
        <f>Tabla13[[#This Row],[Noche]]-Tabla13[[#This Row],[Mañana ]]</f>
        <v>30160</v>
      </c>
      <c r="O231" s="58"/>
      <c r="P231" s="21">
        <f t="shared" si="6"/>
        <v>0</v>
      </c>
      <c r="Q231" s="22">
        <f>Tabla13[[#This Row],[Merma Salas A &amp; B2]]*1000/Tabla13[[#This Row],[Peso gr.]]</f>
        <v>0</v>
      </c>
      <c r="R231" s="52"/>
      <c r="S231" s="24">
        <f>Tabla13[[#This Row],[Total piezas NOK]]/Tabla13[[#This Row],[Cant. Fabricada (uds)]]</f>
        <v>0</v>
      </c>
    </row>
    <row r="232" spans="1:20" x14ac:dyDescent="0.3">
      <c r="A232" s="43">
        <v>44522</v>
      </c>
      <c r="B232" s="20" t="s">
        <v>881</v>
      </c>
      <c r="C232" s="20">
        <v>1905</v>
      </c>
      <c r="D232" s="13" t="str">
        <f>VLOOKUP(C:C,'LListat referències'!A:B,2,FALSE)</f>
        <v>Cubilet 50 ml 4uts</v>
      </c>
      <c r="E232" s="18" t="str">
        <f>VLOOKUP(C:C,'LListat referències'!A:D,4,FALSE)</f>
        <v/>
      </c>
      <c r="F232" s="49">
        <f>VLOOKUP(C:C,'LListat referències'!A:E,5,FALSE)</f>
        <v>3.55</v>
      </c>
      <c r="G232" s="49"/>
      <c r="H232" s="1" t="s">
        <v>797</v>
      </c>
      <c r="I232" s="25"/>
      <c r="J232" s="25">
        <v>19488</v>
      </c>
      <c r="K232" s="25">
        <v>26048</v>
      </c>
      <c r="L232" s="25">
        <v>27488</v>
      </c>
      <c r="M232" s="20">
        <v>19</v>
      </c>
      <c r="N232" s="1">
        <f>Tabla13[[#This Row],[Noche]]-Tabla13[[#This Row],[Mañana ]]</f>
        <v>8000</v>
      </c>
      <c r="O232" s="58"/>
      <c r="P232" s="21">
        <f t="shared" si="6"/>
        <v>0</v>
      </c>
      <c r="Q232" s="22">
        <f>Tabla13[[#This Row],[Merma Salas A &amp; B2]]*1000/Tabla13[[#This Row],[Peso gr.]]</f>
        <v>0</v>
      </c>
      <c r="R232" s="52"/>
      <c r="S232" s="24">
        <f>Tabla13[[#This Row],[Total piezas NOK]]/Tabla13[[#This Row],[Cant. Fabricada (uds)]]</f>
        <v>0</v>
      </c>
    </row>
    <row r="233" spans="1:20" x14ac:dyDescent="0.3">
      <c r="A233" s="43">
        <v>44522</v>
      </c>
      <c r="B233" s="20" t="s">
        <v>771</v>
      </c>
      <c r="C233" s="20" t="s">
        <v>615</v>
      </c>
      <c r="D233" s="13" t="str">
        <f>VLOOKUP(C:C,'LListat referències'!A:B,2,FALSE)</f>
        <v>Tarro 50ml Tinter Quadrat</v>
      </c>
      <c r="E233" s="18" t="str">
        <f>VLOOKUP(C:C,'LListat referències'!A:D,4,FALSE)</f>
        <v>T116</v>
      </c>
      <c r="F233" s="49">
        <f>VLOOKUP(C:C,'LListat referències'!A:E,5,FALSE)</f>
        <v>121.5</v>
      </c>
      <c r="G233" s="49"/>
      <c r="H233" s="1" t="s">
        <v>8</v>
      </c>
      <c r="I233" s="25"/>
      <c r="J233" s="25">
        <v>14638</v>
      </c>
      <c r="K233" s="25">
        <v>15068</v>
      </c>
      <c r="L233" s="25">
        <v>15526</v>
      </c>
      <c r="M233" s="20">
        <v>30</v>
      </c>
      <c r="N233" s="1">
        <f>Tabla13[[#This Row],[Noche]]-Tabla13[[#This Row],[Mañana ]]</f>
        <v>888</v>
      </c>
      <c r="O233" s="58"/>
      <c r="P233" s="21">
        <f t="shared" si="6"/>
        <v>0</v>
      </c>
      <c r="Q233" s="22">
        <f>Tabla13[[#This Row],[Merma Salas A &amp; B2]]*1000/Tabla13[[#This Row],[Peso gr.]]</f>
        <v>0</v>
      </c>
      <c r="R233" s="52"/>
      <c r="S233" s="24">
        <f>Tabla13[[#This Row],[Total piezas NOK]]/Tabla13[[#This Row],[Cant. Fabricada (uds)]]</f>
        <v>0</v>
      </c>
    </row>
    <row r="234" spans="1:20" x14ac:dyDescent="0.3">
      <c r="A234" s="43">
        <v>44523</v>
      </c>
      <c r="B234" s="20" t="s">
        <v>771</v>
      </c>
      <c r="C234" s="20" t="s">
        <v>615</v>
      </c>
      <c r="D234" s="13" t="str">
        <f>VLOOKUP(C:C,'LListat referències'!A:B,2,FALSE)</f>
        <v>Tarro 50ml Tinter Quadrat</v>
      </c>
      <c r="E234" s="18" t="str">
        <f>VLOOKUP(C:C,'LListat referències'!A:D,4,FALSE)</f>
        <v>T116</v>
      </c>
      <c r="F234" s="49">
        <f>VLOOKUP(C:C,'LListat referències'!A:E,5,FALSE)</f>
        <v>121.5</v>
      </c>
      <c r="G234" s="49"/>
      <c r="H234" s="1" t="s">
        <v>8</v>
      </c>
      <c r="I234" s="25"/>
      <c r="J234" s="25">
        <v>15992</v>
      </c>
      <c r="K234" s="25">
        <v>16424</v>
      </c>
      <c r="L234" s="25">
        <v>16890</v>
      </c>
      <c r="M234" s="20">
        <v>30</v>
      </c>
      <c r="N234" s="1">
        <f>Tabla13[[#This Row],[Noche]]-Tabla13[[#This Row],[Mañana ]]</f>
        <v>898</v>
      </c>
      <c r="O234" s="58">
        <v>10</v>
      </c>
      <c r="P234" s="21">
        <f t="shared" si="6"/>
        <v>10</v>
      </c>
      <c r="Q234" s="22">
        <f>Tabla13[[#This Row],[Merma Salas A &amp; B2]]*1000/Tabla13[[#This Row],[Peso gr.]]</f>
        <v>82.304526748971199</v>
      </c>
      <c r="R234" s="52"/>
      <c r="S234" s="24">
        <f>Tabla13[[#This Row],[Total piezas NOK]]/Tabla13[[#This Row],[Cant. Fabricada (uds)]]</f>
        <v>9.1653147827362141E-2</v>
      </c>
    </row>
    <row r="235" spans="1:20" x14ac:dyDescent="0.3">
      <c r="A235" s="43">
        <v>44523</v>
      </c>
      <c r="B235" s="20" t="s">
        <v>856</v>
      </c>
      <c r="C235" s="20">
        <v>1171</v>
      </c>
      <c r="D235" s="13" t="str">
        <f>VLOOKUP(C:C,'LListat referències'!A:B,2,FALSE)</f>
        <v>Obturador BOTELLA</v>
      </c>
      <c r="E235" s="18" t="str">
        <f>VLOOKUP(C:C,'LListat referències'!A:D,4,FALSE)</f>
        <v/>
      </c>
      <c r="F235" s="49">
        <v>0.1</v>
      </c>
      <c r="G235" s="49"/>
      <c r="H235" s="1" t="s">
        <v>868</v>
      </c>
      <c r="I235" s="25"/>
      <c r="J235" s="25">
        <v>8160</v>
      </c>
      <c r="K235" s="25">
        <v>11800</v>
      </c>
      <c r="L235" s="25">
        <v>11800</v>
      </c>
      <c r="M235" s="20">
        <v>48</v>
      </c>
      <c r="N235" s="1">
        <f>Tabla13[[#This Row],[Noche]]-Tabla13[[#This Row],[Mañana ]]</f>
        <v>3640</v>
      </c>
      <c r="O235" s="58"/>
      <c r="P235" s="21">
        <f t="shared" si="6"/>
        <v>0</v>
      </c>
      <c r="Q235" s="22">
        <f>Tabla13[[#This Row],[Merma Salas A &amp; B2]]*1000/Tabla13[[#This Row],[Peso gr.]]</f>
        <v>0</v>
      </c>
      <c r="R235" s="52"/>
      <c r="S235" s="24">
        <f>Tabla13[[#This Row],[Total piezas NOK]]/Tabla13[[#This Row],[Cant. Fabricada (uds)]]</f>
        <v>0</v>
      </c>
    </row>
    <row r="236" spans="1:20" x14ac:dyDescent="0.3">
      <c r="A236" s="43">
        <v>44523</v>
      </c>
      <c r="B236" s="20" t="s">
        <v>890</v>
      </c>
      <c r="C236" s="20">
        <v>1801</v>
      </c>
      <c r="D236" s="13" t="str">
        <f>VLOOKUP(C:C,'LListat referències'!A:B,2,FALSE)</f>
        <v>Int. tapa juvena 30 ml</v>
      </c>
      <c r="E236" s="18" t="str">
        <f>VLOOKUP(C:C,'LListat referències'!A:D,4,FALSE)</f>
        <v/>
      </c>
      <c r="F236" s="49">
        <f>VLOOKUP(C:C,'LListat referències'!A:E,5,FALSE)</f>
        <v>5.86</v>
      </c>
      <c r="G236" s="49"/>
      <c r="H236" s="1" t="s">
        <v>797</v>
      </c>
      <c r="I236" s="25"/>
      <c r="J236" s="25">
        <v>11371</v>
      </c>
      <c r="K236" s="25">
        <v>11977</v>
      </c>
      <c r="L236" s="25">
        <v>11977</v>
      </c>
      <c r="M236" s="20">
        <v>46</v>
      </c>
      <c r="N236" s="1">
        <f>Tabla13[[#This Row],[Noche]]-Tabla13[[#This Row],[Mañana ]]</f>
        <v>606</v>
      </c>
      <c r="O236" s="58"/>
      <c r="P236" s="21">
        <f t="shared" si="6"/>
        <v>0</v>
      </c>
      <c r="Q236" s="22">
        <f>Tabla13[[#This Row],[Merma Salas A &amp; B2]]*1000/Tabla13[[#This Row],[Peso gr.]]</f>
        <v>0</v>
      </c>
      <c r="R236" s="52"/>
      <c r="S236" s="24">
        <f>Tabla13[[#This Row],[Total piezas NOK]]/Tabla13[[#This Row],[Cant. Fabricada (uds)]]</f>
        <v>0</v>
      </c>
    </row>
    <row r="237" spans="1:20" x14ac:dyDescent="0.3">
      <c r="A237" s="43">
        <v>44523</v>
      </c>
      <c r="B237" s="20" t="s">
        <v>899</v>
      </c>
      <c r="C237" s="20" t="s">
        <v>478</v>
      </c>
      <c r="D237" s="13" t="str">
        <f>VLOOKUP(C:C,'LListat referències'!A:B,2,FALSE)</f>
        <v xml:space="preserve">Tarro 50 ml labiomar </v>
      </c>
      <c r="E237" s="18" t="str">
        <f>VLOOKUP(C:C,'LListat referències'!A:D,4,FALSE)</f>
        <v>T079</v>
      </c>
      <c r="F237" s="49">
        <f>VLOOKUP(C:C,'LListat referències'!A:E,5,FALSE)</f>
        <v>82.7</v>
      </c>
      <c r="G237" s="49">
        <v>103.83</v>
      </c>
      <c r="H237" s="1" t="s">
        <v>8</v>
      </c>
      <c r="I237" s="25"/>
      <c r="J237" s="25">
        <v>4272</v>
      </c>
      <c r="K237" s="25">
        <v>4617</v>
      </c>
      <c r="L237" s="25">
        <v>4782</v>
      </c>
      <c r="M237" s="20">
        <v>44</v>
      </c>
      <c r="N237" s="1">
        <f>Tabla13[[#This Row],[Noche]]-Tabla13[[#This Row],[Mañana ]]</f>
        <v>510</v>
      </c>
      <c r="O237" s="58">
        <v>5</v>
      </c>
      <c r="P237" s="21">
        <f t="shared" si="6"/>
        <v>5</v>
      </c>
      <c r="Q237" s="22">
        <f>Tabla13[[#This Row],[Merma Salas A &amp; B2]]*1000/Tabla13[[#This Row],[Peso gr.]]</f>
        <v>60.459492140266022</v>
      </c>
      <c r="R237" s="52"/>
      <c r="S237" s="24">
        <f>Tabla13[[#This Row],[Total piezas NOK]]/Tabla13[[#This Row],[Cant. Fabricada (uds)]]</f>
        <v>0.11854802380444318</v>
      </c>
      <c r="T237" s="19" t="s">
        <v>837</v>
      </c>
    </row>
    <row r="238" spans="1:20" x14ac:dyDescent="0.3">
      <c r="A238" s="43">
        <v>44523</v>
      </c>
      <c r="B238" s="20" t="s">
        <v>756</v>
      </c>
      <c r="C238" s="20" t="s">
        <v>644</v>
      </c>
      <c r="D238" s="13" t="str">
        <f>VLOOKUP(C:C,'LListat referències'!A:B,2,FALSE)</f>
        <v>Tarro 200ml Quadrat estret (Tapa Rodona)</v>
      </c>
      <c r="E238" s="18">
        <f>VLOOKUP(C:C,'LListat referències'!A:D,4,FALSE)</f>
        <v>0</v>
      </c>
      <c r="F238" s="49">
        <f>VLOOKUP(C:C,'LListat referències'!A:E,5,FALSE)</f>
        <v>220.84</v>
      </c>
      <c r="G238" s="49">
        <v>112.6</v>
      </c>
      <c r="H238" s="1" t="s">
        <v>7</v>
      </c>
      <c r="I238" s="25"/>
      <c r="J238" s="25">
        <v>27969</v>
      </c>
      <c r="K238" s="25">
        <v>28188</v>
      </c>
      <c r="L238" s="25">
        <v>28420</v>
      </c>
      <c r="M238" s="20">
        <v>41</v>
      </c>
      <c r="N238" s="1">
        <f>Tabla13[[#This Row],[Noche]]-Tabla13[[#This Row],[Mañana ]]</f>
        <v>451</v>
      </c>
      <c r="O238" s="58">
        <v>5</v>
      </c>
      <c r="P238" s="21">
        <f t="shared" si="6"/>
        <v>5</v>
      </c>
      <c r="Q238" s="22">
        <f>Tabla13[[#This Row],[Merma Salas A &amp; B2]]*1000/Tabla13[[#This Row],[Peso gr.]]</f>
        <v>22.640825937330195</v>
      </c>
      <c r="R238" s="52"/>
      <c r="S238" s="24">
        <f>Tabla13[[#This Row],[Total piezas NOK]]/Tabla13[[#This Row],[Cant. Fabricada (uds)]]</f>
        <v>5.0201387887650099E-2</v>
      </c>
    </row>
    <row r="239" spans="1:20" x14ac:dyDescent="0.3">
      <c r="A239" s="43">
        <v>44523</v>
      </c>
      <c r="B239" s="20" t="s">
        <v>839</v>
      </c>
      <c r="C239" s="20" t="s">
        <v>10</v>
      </c>
      <c r="D239" s="13" t="str">
        <f>VLOOKUP(C:C,'LListat referències'!A:B,2,FALSE)</f>
        <v xml:space="preserve">Tapa 100 ml prima </v>
      </c>
      <c r="E239" s="18" t="str">
        <f>VLOOKUP(C:C,'LListat referències'!A:D,4,FALSE)</f>
        <v>#26(100 ml)</v>
      </c>
      <c r="F239" s="49">
        <f>VLOOKUP(C:C,'LListat referències'!A:E,5,FALSE)</f>
        <v>30.3</v>
      </c>
      <c r="G239" s="49">
        <v>66.400000000000006</v>
      </c>
      <c r="H239" s="1" t="s">
        <v>15</v>
      </c>
      <c r="I239" s="25"/>
      <c r="J239" s="25">
        <v>21202</v>
      </c>
      <c r="K239" s="25">
        <v>21997</v>
      </c>
      <c r="L239" s="25">
        <v>22257</v>
      </c>
      <c r="M239" s="20">
        <v>38</v>
      </c>
      <c r="N239" s="1">
        <f>Tabla13[[#This Row],[Noche]]-Tabla13[[#This Row],[Mañana ]]</f>
        <v>1055</v>
      </c>
      <c r="O239" s="58"/>
      <c r="P239" s="21">
        <f t="shared" si="6"/>
        <v>0</v>
      </c>
      <c r="Q239" s="22">
        <f>Tabla13[[#This Row],[Merma Salas A &amp; B2]]*1000/Tabla13[[#This Row],[Peso gr.]]</f>
        <v>0</v>
      </c>
      <c r="R239" s="52"/>
      <c r="S239" s="24">
        <f>Tabla13[[#This Row],[Total piezas NOK]]/Tabla13[[#This Row],[Cant. Fabricada (uds)]]</f>
        <v>0</v>
      </c>
    </row>
    <row r="240" spans="1:20" x14ac:dyDescent="0.3">
      <c r="A240" s="43">
        <v>44523</v>
      </c>
      <c r="B240" s="20" t="s">
        <v>869</v>
      </c>
      <c r="C240" s="20" t="s">
        <v>542</v>
      </c>
      <c r="D240" s="13" t="str">
        <f>VLOOKUP(C:C,'LListat referències'!A:B,2,FALSE)</f>
        <v>Tapa 15ml per tarro Tintero</v>
      </c>
      <c r="E240" s="18" t="str">
        <f>VLOOKUP(C:C,'LListat referències'!A:D,4,FALSE)</f>
        <v>#23</v>
      </c>
      <c r="F240" s="49">
        <f>VLOOKUP(C:C,'LListat referències'!A:E,5,FALSE)</f>
        <v>10</v>
      </c>
      <c r="G240" s="49">
        <v>41.96</v>
      </c>
      <c r="H240" s="1" t="s">
        <v>8</v>
      </c>
      <c r="I240" s="25"/>
      <c r="J240" s="25"/>
      <c r="K240" s="25"/>
      <c r="L240" s="25"/>
      <c r="M240" s="20">
        <v>25</v>
      </c>
      <c r="N240" s="1">
        <f>Tabla13[[#This Row],[Noche]]-Tabla13[[#This Row],[Mañana ]]</f>
        <v>0</v>
      </c>
      <c r="O240" s="58">
        <v>4</v>
      </c>
      <c r="P240" s="21">
        <f t="shared" si="6"/>
        <v>4</v>
      </c>
      <c r="Q240" s="22">
        <f>Tabla13[[#This Row],[Merma Salas A &amp; B2]]*1000/Tabla13[[#This Row],[Peso gr.]]</f>
        <v>400</v>
      </c>
      <c r="R240" s="52">
        <v>4</v>
      </c>
      <c r="S240" s="24" t="s">
        <v>842</v>
      </c>
    </row>
    <row r="241" spans="1:20" x14ac:dyDescent="0.3">
      <c r="A241" s="43">
        <v>44523</v>
      </c>
      <c r="B241" s="20" t="s">
        <v>871</v>
      </c>
      <c r="C241" s="20">
        <v>1879</v>
      </c>
      <c r="D241" s="13" t="str">
        <f>VLOOKUP(C:C,'LListat referències'!A:B,2,FALSE)</f>
        <v>Tapa tarro rectagular 50 ml</v>
      </c>
      <c r="E241" s="18" t="str">
        <f>VLOOKUP(C:C,'LListat referències'!A:D,4,FALSE)</f>
        <v>#23 (50 ml)</v>
      </c>
      <c r="F241" s="49">
        <f>VLOOKUP(C:C,'LListat referències'!A:E,5,FALSE)</f>
        <v>22.6</v>
      </c>
      <c r="G241" s="49">
        <v>73.69</v>
      </c>
      <c r="H241" s="1" t="s">
        <v>8</v>
      </c>
      <c r="I241" s="25"/>
      <c r="J241" s="25">
        <v>16776</v>
      </c>
      <c r="K241" s="25">
        <v>17516</v>
      </c>
      <c r="L241" s="25">
        <v>18312</v>
      </c>
      <c r="M241" s="20">
        <v>20</v>
      </c>
      <c r="N241" s="1">
        <f>Tabla13[[#This Row],[Noche]]-Tabla13[[#This Row],[Mañana ]]</f>
        <v>1536</v>
      </c>
      <c r="O241" s="58">
        <v>5</v>
      </c>
      <c r="P241" s="21">
        <f t="shared" si="6"/>
        <v>5</v>
      </c>
      <c r="Q241" s="22">
        <f>Tabla13[[#This Row],[Merma Salas A &amp; B2]]*1000/Tabla13[[#This Row],[Peso gr.]]</f>
        <v>221.23893805309734</v>
      </c>
      <c r="R241" s="52"/>
      <c r="S241" s="24">
        <f>Tabla13[[#This Row],[Total piezas NOK]]/Tabla13[[#This Row],[Cant. Fabricada (uds)]]</f>
        <v>0.14403576696165191</v>
      </c>
    </row>
    <row r="242" spans="1:20" x14ac:dyDescent="0.3">
      <c r="A242" s="43">
        <v>44524</v>
      </c>
      <c r="B242" s="20" t="s">
        <v>884</v>
      </c>
      <c r="C242" s="20">
        <v>1861</v>
      </c>
      <c r="D242" s="13" t="str">
        <f>VLOOKUP(C:C,'LListat referències'!A:B,2,FALSE)</f>
        <v>Tarro 50ml Standard 8 unitats</v>
      </c>
      <c r="E242" s="18" t="str">
        <f>VLOOKUP(C:C,'LListat referències'!A:D,4,FALSE)</f>
        <v>T022</v>
      </c>
      <c r="F242" s="49">
        <f>VLOOKUP(C:C,'LListat referències'!A:E,5,FALSE)</f>
        <v>92</v>
      </c>
      <c r="G242" s="49"/>
      <c r="H242" s="1" t="s">
        <v>885</v>
      </c>
      <c r="I242" s="25"/>
      <c r="J242" s="25"/>
      <c r="K242" s="25"/>
      <c r="L242" s="25"/>
      <c r="M242" s="20">
        <v>40</v>
      </c>
      <c r="N242" s="1">
        <f>Tabla13[[#This Row],[Noche]]-Tabla13[[#This Row],[Mañana ]]</f>
        <v>0</v>
      </c>
      <c r="O242" s="58">
        <v>130</v>
      </c>
      <c r="P242" s="21">
        <f t="shared" si="6"/>
        <v>130</v>
      </c>
      <c r="Q242" s="22">
        <f>Tabla13[[#This Row],[Merma Salas A &amp; B2]]*1000/Tabla13[[#This Row],[Peso gr.]]</f>
        <v>1413.0434782608695</v>
      </c>
      <c r="R242" s="52"/>
      <c r="S242" s="24" t="s">
        <v>889</v>
      </c>
    </row>
    <row r="243" spans="1:20" x14ac:dyDescent="0.3">
      <c r="A243" s="43">
        <v>44524</v>
      </c>
      <c r="B243" s="20" t="s">
        <v>856</v>
      </c>
      <c r="C243" s="20">
        <v>1171</v>
      </c>
      <c r="D243" s="13" t="str">
        <f>VLOOKUP(C:C,'LListat referències'!A:B,2,FALSE)</f>
        <v>Obturador BOTELLA</v>
      </c>
      <c r="E243" s="18" t="str">
        <f>VLOOKUP(C:C,'LListat referències'!A:D,4,FALSE)</f>
        <v/>
      </c>
      <c r="F243" s="49">
        <v>0.1</v>
      </c>
      <c r="G243" s="49"/>
      <c r="H243" s="1" t="s">
        <v>887</v>
      </c>
      <c r="I243" s="25"/>
      <c r="J243" s="25">
        <v>3572</v>
      </c>
      <c r="K243" s="25">
        <v>7704</v>
      </c>
      <c r="L243" s="25">
        <v>14592</v>
      </c>
      <c r="M243" s="20">
        <v>48</v>
      </c>
      <c r="N243" s="1">
        <f>Tabla13[[#This Row],[Noche]]-Tabla13[[#This Row],[Mañana ]]</f>
        <v>11020</v>
      </c>
      <c r="O243" s="58"/>
      <c r="P243" s="21">
        <f t="shared" si="6"/>
        <v>0</v>
      </c>
      <c r="Q243" s="22">
        <f>Tabla13[[#This Row],[Merma Salas A &amp; B2]]*1000/Tabla13[[#This Row],[Peso gr.]]</f>
        <v>0</v>
      </c>
      <c r="R243" s="52"/>
      <c r="S243" s="24">
        <f>Tabla13[[#This Row],[Total piezas NOK]]/Tabla13[[#This Row],[Cant. Fabricada (uds)]]</f>
        <v>0</v>
      </c>
    </row>
    <row r="244" spans="1:20" x14ac:dyDescent="0.3">
      <c r="A244" s="43">
        <v>44524</v>
      </c>
      <c r="B244" s="20" t="s">
        <v>893</v>
      </c>
      <c r="C244" s="20">
        <v>1809</v>
      </c>
      <c r="D244" s="13" t="str">
        <f>VLOOKUP(C:C,'LListat referències'!A:B,2,FALSE)</f>
        <v>Tarro 200ml mónaco</v>
      </c>
      <c r="E244" s="18" t="str">
        <f>VLOOKUP(C:C,'LListat referències'!A:D,4,FALSE)</f>
        <v>T060</v>
      </c>
      <c r="F244" s="49">
        <f>VLOOKUP(C:C,'LListat referències'!A:E,5,FALSE)</f>
        <v>47.15</v>
      </c>
      <c r="G244" s="49">
        <v>82.5</v>
      </c>
      <c r="H244" s="1" t="s">
        <v>7</v>
      </c>
      <c r="I244" s="25"/>
      <c r="J244" s="25">
        <v>1072</v>
      </c>
      <c r="K244" s="25">
        <v>2404</v>
      </c>
      <c r="L244" s="25">
        <v>3908</v>
      </c>
      <c r="M244" s="20">
        <v>39</v>
      </c>
      <c r="N244" s="1">
        <f>Tabla13[[#This Row],[Noche]]-Tabla13[[#This Row],[Mañana ]]</f>
        <v>2836</v>
      </c>
      <c r="O244" s="58">
        <v>100</v>
      </c>
      <c r="P244" s="21">
        <f t="shared" si="6"/>
        <v>100</v>
      </c>
      <c r="Q244" s="22">
        <f>Tabla13[[#This Row],[Merma Salas A &amp; B2]]*1000/Tabla13[[#This Row],[Peso gr.]]</f>
        <v>2120.8907741251328</v>
      </c>
      <c r="R244" s="52">
        <v>100</v>
      </c>
      <c r="S244" s="24">
        <f>Tabla13[[#This Row],[Total piezas NOK]]/Tabla13[[#This Row],[Cant. Fabricada (uds)]]</f>
        <v>0.74784583008643613</v>
      </c>
      <c r="T244" s="19" t="s">
        <v>894</v>
      </c>
    </row>
    <row r="245" spans="1:20" x14ac:dyDescent="0.3">
      <c r="A245" s="43">
        <v>44524</v>
      </c>
      <c r="B245" s="20" t="s">
        <v>858</v>
      </c>
      <c r="C245" s="20">
        <v>1799</v>
      </c>
      <c r="D245" s="13" t="str">
        <f>VLOOKUP(C:C,'LListat referències'!A:B,2,FALSE)</f>
        <v>Tarro tapa juvena 30ml</v>
      </c>
      <c r="E245" s="18" t="str">
        <f>VLOOKUP(C:C,'LListat referències'!A:D,4,FALSE)</f>
        <v>T071</v>
      </c>
      <c r="F245" s="49">
        <f>VLOOKUP(C:C,'LListat referències'!A:E,5,FALSE)</f>
        <v>43.5</v>
      </c>
      <c r="G245" s="49">
        <v>90</v>
      </c>
      <c r="H245" s="1" t="s">
        <v>15</v>
      </c>
      <c r="I245" s="25"/>
      <c r="J245" s="25"/>
      <c r="K245" s="25"/>
      <c r="L245" s="25"/>
      <c r="M245" s="20">
        <v>45</v>
      </c>
      <c r="N245" s="1">
        <f>Tabla13[[#This Row],[Noche]]-Tabla13[[#This Row],[Mañana ]]</f>
        <v>0</v>
      </c>
      <c r="O245" s="58">
        <v>155</v>
      </c>
      <c r="P245" s="21">
        <f t="shared" si="6"/>
        <v>155</v>
      </c>
      <c r="Q245" s="22">
        <f>Tabla13[[#This Row],[Merma Salas A &amp; B2]]*1000/Tabla13[[#This Row],[Peso gr.]]</f>
        <v>3563.2183908045977</v>
      </c>
      <c r="R245" s="52">
        <v>155</v>
      </c>
      <c r="S245" s="24" t="s">
        <v>842</v>
      </c>
      <c r="T245" s="19" t="s">
        <v>897</v>
      </c>
    </row>
    <row r="246" spans="1:20" x14ac:dyDescent="0.3">
      <c r="A246" s="43">
        <v>44524</v>
      </c>
      <c r="B246" s="20" t="s">
        <v>899</v>
      </c>
      <c r="C246" s="20" t="s">
        <v>478</v>
      </c>
      <c r="D246" s="13" t="str">
        <f>VLOOKUP(C:C,'LListat referències'!A:B,2,FALSE)</f>
        <v xml:space="preserve">Tarro 50 ml labiomar </v>
      </c>
      <c r="E246" s="18" t="str">
        <f>VLOOKUP(C:C,'LListat referències'!A:D,4,FALSE)</f>
        <v>T079</v>
      </c>
      <c r="F246" s="49">
        <f>VLOOKUP(C:C,'LListat referències'!A:E,5,FALSE)</f>
        <v>82.7</v>
      </c>
      <c r="G246" s="49">
        <v>103.83</v>
      </c>
      <c r="H246" s="1" t="s">
        <v>8</v>
      </c>
      <c r="I246" s="25"/>
      <c r="J246" s="25">
        <v>5643</v>
      </c>
      <c r="K246" s="25">
        <v>6426</v>
      </c>
      <c r="L246" s="25">
        <v>7281</v>
      </c>
      <c r="M246" s="20">
        <v>44</v>
      </c>
      <c r="N246" s="1">
        <f>Tabla13[[#This Row],[Noche]]-Tabla13[[#This Row],[Mañana ]]</f>
        <v>1638</v>
      </c>
      <c r="O246" s="58">
        <v>5</v>
      </c>
      <c r="P246" s="21">
        <f t="shared" si="6"/>
        <v>5</v>
      </c>
      <c r="Q246" s="22">
        <f>Tabla13[[#This Row],[Merma Salas A &amp; B2]]*1000/Tabla13[[#This Row],[Peso gr.]]</f>
        <v>60.459492140266022</v>
      </c>
      <c r="R246" s="52"/>
      <c r="S246" s="24">
        <f>Tabla13[[#This Row],[Total piezas NOK]]/Tabla13[[#This Row],[Cant. Fabricada (uds)]]</f>
        <v>3.6910556862189269E-2</v>
      </c>
    </row>
    <row r="247" spans="1:20" x14ac:dyDescent="0.3">
      <c r="A247" s="43">
        <v>44524</v>
      </c>
      <c r="B247" s="20" t="s">
        <v>901</v>
      </c>
      <c r="C247" s="20" t="s">
        <v>644</v>
      </c>
      <c r="D247" s="13" t="str">
        <f>VLOOKUP(C:C,'LListat referències'!A:B,2,FALSE)</f>
        <v>Tarro 200ml Quadrat estret (Tapa Rodona)</v>
      </c>
      <c r="E247" s="18">
        <f>VLOOKUP(C:C,'LListat referències'!A:D,4,FALSE)</f>
        <v>0</v>
      </c>
      <c r="F247" s="49">
        <f>VLOOKUP(C:C,'LListat referències'!A:E,5,FALSE)</f>
        <v>220.84</v>
      </c>
      <c r="G247" s="49">
        <v>112.6</v>
      </c>
      <c r="H247" s="1" t="s">
        <v>7</v>
      </c>
      <c r="I247" s="25"/>
      <c r="J247" s="25">
        <v>28661</v>
      </c>
      <c r="K247" s="25">
        <v>28885</v>
      </c>
      <c r="L247" s="25">
        <v>29114</v>
      </c>
      <c r="M247" s="20">
        <v>41</v>
      </c>
      <c r="N247" s="1">
        <f>Tabla13[[#This Row],[Noche]]-Tabla13[[#This Row],[Mañana ]]</f>
        <v>453</v>
      </c>
      <c r="O247" s="58">
        <v>30</v>
      </c>
      <c r="P247" s="21">
        <f t="shared" si="6"/>
        <v>30</v>
      </c>
      <c r="Q247" s="22">
        <f>Tabla13[[#This Row],[Merma Salas A &amp; B2]]*1000/Tabla13[[#This Row],[Peso gr.]]</f>
        <v>135.84495562398115</v>
      </c>
      <c r="R247" s="52"/>
      <c r="S247" s="24">
        <f>Tabla13[[#This Row],[Total piezas NOK]]/Tabla13[[#This Row],[Cant. Fabricada (uds)]]</f>
        <v>0.29987848923616151</v>
      </c>
    </row>
    <row r="248" spans="1:20" x14ac:dyDescent="0.3">
      <c r="A248" s="43">
        <v>44524</v>
      </c>
      <c r="B248" s="20" t="s">
        <v>909</v>
      </c>
      <c r="C248" s="20">
        <v>1936</v>
      </c>
      <c r="D248" s="13" t="str">
        <f>VLOOKUP(C:C,'LListat referències'!A:B,2,FALSE)</f>
        <v>Cubilet 200 ml.</v>
      </c>
      <c r="E248" s="18" t="str">
        <f>VLOOKUP(C:C,'LListat referències'!A:D,4,FALSE)</f>
        <v/>
      </c>
      <c r="F248" s="49">
        <f>VLOOKUP(C:C,'LListat referències'!A:E,5,FALSE)</f>
        <v>14.18</v>
      </c>
      <c r="G248" s="49">
        <v>26.58</v>
      </c>
      <c r="H248" s="1" t="s">
        <v>797</v>
      </c>
      <c r="I248" s="25"/>
      <c r="J248" s="25">
        <v>2372</v>
      </c>
      <c r="K248" s="25">
        <v>5180</v>
      </c>
      <c r="L248" s="25">
        <v>5180</v>
      </c>
      <c r="M248" s="20">
        <v>17</v>
      </c>
      <c r="N248" s="1">
        <f>Tabla13[[#This Row],[Noche]]-Tabla13[[#This Row],[Mañana ]]</f>
        <v>2808</v>
      </c>
      <c r="O248" s="58"/>
      <c r="P248" s="21">
        <f t="shared" si="6"/>
        <v>0</v>
      </c>
      <c r="Q248" s="22">
        <f>Tabla13[[#This Row],[Merma Salas A &amp; B2]]*1000/Tabla13[[#This Row],[Peso gr.]]</f>
        <v>0</v>
      </c>
      <c r="R248" s="52"/>
      <c r="S248" s="24">
        <f>Tabla13[[#This Row],[Total piezas NOK]]/Tabla13[[#This Row],[Cant. Fabricada (uds)]]</f>
        <v>0</v>
      </c>
    </row>
    <row r="249" spans="1:20" x14ac:dyDescent="0.3">
      <c r="A249" s="43">
        <v>44524</v>
      </c>
      <c r="B249" s="20" t="s">
        <v>771</v>
      </c>
      <c r="C249" s="20" t="s">
        <v>615</v>
      </c>
      <c r="D249" s="13" t="str">
        <f>VLOOKUP(C:C,'LListat referències'!A:B,2,FALSE)</f>
        <v>Tarro 50ml Tinter Quadrat</v>
      </c>
      <c r="E249" s="18" t="str">
        <f>VLOOKUP(C:C,'LListat referències'!A:D,4,FALSE)</f>
        <v>T116</v>
      </c>
      <c r="F249" s="49">
        <f>VLOOKUP(C:C,'LListat referències'!A:E,5,FALSE)</f>
        <v>121.5</v>
      </c>
      <c r="G249" s="49">
        <v>126.1</v>
      </c>
      <c r="H249" s="1" t="s">
        <v>8</v>
      </c>
      <c r="I249" s="25"/>
      <c r="J249" s="25">
        <v>17378</v>
      </c>
      <c r="K249" s="25">
        <v>17786</v>
      </c>
      <c r="L249" s="25">
        <v>18252</v>
      </c>
      <c r="M249" s="20">
        <v>30</v>
      </c>
      <c r="N249" s="1">
        <f>Tabla13[[#This Row],[Noche]]-Tabla13[[#This Row],[Mañana ]]</f>
        <v>874</v>
      </c>
      <c r="O249" s="58">
        <v>15</v>
      </c>
      <c r="P249" s="21">
        <f t="shared" si="6"/>
        <v>15</v>
      </c>
      <c r="Q249" s="22">
        <f>Tabla13[[#This Row],[Merma Salas A &amp; B2]]*1000/Tabla13[[#This Row],[Peso gr.]]</f>
        <v>123.45679012345678</v>
      </c>
      <c r="R249" s="52"/>
      <c r="S249" s="24">
        <f>Tabla13[[#This Row],[Total piezas NOK]]/Tabla13[[#This Row],[Cant. Fabricada (uds)]]</f>
        <v>0.14125490860807413</v>
      </c>
    </row>
    <row r="250" spans="1:20" x14ac:dyDescent="0.3">
      <c r="A250" s="43">
        <v>44524</v>
      </c>
      <c r="B250" s="20" t="s">
        <v>839</v>
      </c>
      <c r="C250" s="20" t="s">
        <v>10</v>
      </c>
      <c r="D250" s="13" t="str">
        <f>VLOOKUP(C:C,'LListat referències'!A:B,2,FALSE)</f>
        <v xml:space="preserve">Tapa 100 ml prima </v>
      </c>
      <c r="E250" s="18" t="str">
        <f>VLOOKUP(C:C,'LListat referències'!A:D,4,FALSE)</f>
        <v>#26(100 ml)</v>
      </c>
      <c r="F250" s="49">
        <f>VLOOKUP(C:C,'LListat referències'!A:E,5,FALSE)</f>
        <v>30.3</v>
      </c>
      <c r="G250" s="49">
        <v>66.400000000000006</v>
      </c>
      <c r="H250" s="1" t="s">
        <v>15</v>
      </c>
      <c r="I250" s="25"/>
      <c r="J250" s="25"/>
      <c r="K250" s="25"/>
      <c r="L250" s="25"/>
      <c r="M250" s="20">
        <v>38</v>
      </c>
      <c r="N250" s="1">
        <f>Tabla13[[#This Row],[Noche]]-Tabla13[[#This Row],[Mañana ]]</f>
        <v>0</v>
      </c>
      <c r="O250" s="58">
        <v>30</v>
      </c>
      <c r="P250" s="21">
        <f t="shared" si="6"/>
        <v>30</v>
      </c>
      <c r="Q250" s="22">
        <f>Tabla13[[#This Row],[Merma Salas A &amp; B2]]*1000/Tabla13[[#This Row],[Peso gr.]]</f>
        <v>990.09900990099004</v>
      </c>
      <c r="R250" s="52">
        <v>30</v>
      </c>
      <c r="S250" s="24" t="s">
        <v>842</v>
      </c>
    </row>
    <row r="251" spans="1:20" x14ac:dyDescent="0.3">
      <c r="A251" s="43">
        <v>44524</v>
      </c>
      <c r="B251" s="20" t="s">
        <v>805</v>
      </c>
      <c r="C251" s="20">
        <v>1879</v>
      </c>
      <c r="D251" s="13" t="str">
        <f>VLOOKUP(C:C,'LListat referències'!A:B,2,FALSE)</f>
        <v>Tapa tarro rectagular 50 ml</v>
      </c>
      <c r="E251" s="18" t="str">
        <f>VLOOKUP(C:C,'LListat referències'!A:D,4,FALSE)</f>
        <v>#23 (50 ml)</v>
      </c>
      <c r="F251" s="49">
        <f>VLOOKUP(C:C,'LListat referències'!A:E,5,FALSE)</f>
        <v>22.6</v>
      </c>
      <c r="G251" s="49">
        <v>73.69</v>
      </c>
      <c r="H251" s="1" t="s">
        <v>8</v>
      </c>
      <c r="I251" s="25"/>
      <c r="J251" s="25">
        <v>19050</v>
      </c>
      <c r="K251" s="25">
        <v>19792</v>
      </c>
      <c r="L251" s="25">
        <v>20578</v>
      </c>
      <c r="M251" s="20">
        <v>20</v>
      </c>
      <c r="N251" s="1">
        <f>Tabla13[[#This Row],[Noche]]-Tabla13[[#This Row],[Mañana ]]</f>
        <v>1528</v>
      </c>
      <c r="O251" s="58">
        <v>4</v>
      </c>
      <c r="P251" s="21">
        <f t="shared" si="6"/>
        <v>4</v>
      </c>
      <c r="Q251" s="22">
        <f>Tabla13[[#This Row],[Merma Salas A &amp; B2]]*1000/Tabla13[[#This Row],[Peso gr.]]</f>
        <v>176.99115044247787</v>
      </c>
      <c r="R251" s="52"/>
      <c r="S251" s="24">
        <f>Tabla13[[#This Row],[Total piezas NOK]]/Tabla13[[#This Row],[Cant. Fabricada (uds)]]</f>
        <v>0.11583190473984153</v>
      </c>
    </row>
    <row r="252" spans="1:20" x14ac:dyDescent="0.3">
      <c r="A252" s="43">
        <v>44525</v>
      </c>
      <c r="B252" s="20" t="s">
        <v>884</v>
      </c>
      <c r="C252" s="20">
        <v>1861</v>
      </c>
      <c r="D252" s="13" t="str">
        <f>VLOOKUP(C:C,'LListat referències'!A:B,2,FALSE)</f>
        <v>Tarro 50ml Standard 8 unitats</v>
      </c>
      <c r="E252" s="18" t="str">
        <f>VLOOKUP(C:C,'LListat referències'!A:D,4,FALSE)</f>
        <v>T022</v>
      </c>
      <c r="F252" s="49">
        <f>VLOOKUP(C:C,'LListat referències'!A:E,5,FALSE)</f>
        <v>92</v>
      </c>
      <c r="G252" s="49"/>
      <c r="H252" s="1" t="s">
        <v>885</v>
      </c>
      <c r="I252" s="25"/>
      <c r="J252" s="25"/>
      <c r="K252" s="25"/>
      <c r="L252" s="25"/>
      <c r="M252" s="20">
        <v>40</v>
      </c>
      <c r="N252" s="1">
        <f>Tabla13[[#This Row],[Noche]]-Tabla13[[#This Row],[Mañana ]]</f>
        <v>0</v>
      </c>
      <c r="O252" s="58">
        <v>360</v>
      </c>
      <c r="P252" s="21">
        <f t="shared" si="6"/>
        <v>360</v>
      </c>
      <c r="Q252" s="22">
        <f>Tabla13[[#This Row],[Merma Salas A &amp; B2]]*1000/Tabla13[[#This Row],[Peso gr.]]</f>
        <v>3913.0434782608695</v>
      </c>
      <c r="R252" s="52"/>
      <c r="S252" s="24" t="s">
        <v>889</v>
      </c>
    </row>
    <row r="253" spans="1:20" x14ac:dyDescent="0.3">
      <c r="A253" s="43">
        <v>44525</v>
      </c>
      <c r="B253" s="20" t="s">
        <v>856</v>
      </c>
      <c r="C253" s="20">
        <v>1171</v>
      </c>
      <c r="D253" s="13" t="str">
        <f>VLOOKUP(C:C,'LListat referències'!A:B,2,FALSE)</f>
        <v>Obturador BOTELLA</v>
      </c>
      <c r="E253" s="18" t="str">
        <f>VLOOKUP(C:C,'LListat referències'!A:D,4,FALSE)</f>
        <v/>
      </c>
      <c r="F253" s="49">
        <v>0.1</v>
      </c>
      <c r="G253" s="49"/>
      <c r="H253" s="1" t="s">
        <v>888</v>
      </c>
      <c r="I253" s="25"/>
      <c r="J253" s="25">
        <v>21680</v>
      </c>
      <c r="K253" s="25">
        <v>26500</v>
      </c>
      <c r="L253" s="25">
        <v>26500</v>
      </c>
      <c r="M253" s="20">
        <v>48</v>
      </c>
      <c r="N253" s="1">
        <f>Tabla13[[#This Row],[Noche]]-Tabla13[[#This Row],[Mañana ]]</f>
        <v>4820</v>
      </c>
      <c r="O253" s="58"/>
      <c r="P253" s="21">
        <f t="shared" si="6"/>
        <v>0</v>
      </c>
      <c r="Q253" s="22">
        <f>Tabla13[[#This Row],[Merma Salas A &amp; B2]]*1000/Tabla13[[#This Row],[Peso gr.]]</f>
        <v>0</v>
      </c>
      <c r="R253" s="52"/>
      <c r="S253" s="24">
        <f>Tabla13[[#This Row],[Total piezas NOK]]/Tabla13[[#This Row],[Cant. Fabricada (uds)]]</f>
        <v>0</v>
      </c>
    </row>
    <row r="254" spans="1:20" x14ac:dyDescent="0.3">
      <c r="A254" s="43">
        <v>44525</v>
      </c>
      <c r="B254" s="20" t="s">
        <v>893</v>
      </c>
      <c r="C254" s="20">
        <v>1809</v>
      </c>
      <c r="D254" s="13" t="str">
        <f>VLOOKUP(C:C,'LListat referències'!A:B,2,FALSE)</f>
        <v>Tarro 200ml mónaco</v>
      </c>
      <c r="E254" s="18" t="str">
        <f>VLOOKUP(C:C,'LListat referències'!A:D,4,FALSE)</f>
        <v>T060</v>
      </c>
      <c r="F254" s="49">
        <f>VLOOKUP(C:C,'LListat referències'!A:E,5,FALSE)</f>
        <v>47.15</v>
      </c>
      <c r="G254" s="49">
        <v>82.5</v>
      </c>
      <c r="H254" s="1" t="s">
        <v>7</v>
      </c>
      <c r="I254" s="25"/>
      <c r="J254" s="25">
        <v>5192</v>
      </c>
      <c r="K254" s="25">
        <v>6564</v>
      </c>
      <c r="L254" s="25">
        <v>8056</v>
      </c>
      <c r="M254" s="20">
        <v>39</v>
      </c>
      <c r="N254" s="1">
        <f>Tabla13[[#This Row],[Noche]]-Tabla13[[#This Row],[Mañana ]]</f>
        <v>2864</v>
      </c>
      <c r="O254" s="58">
        <v>80</v>
      </c>
      <c r="P254" s="21">
        <f t="shared" si="6"/>
        <v>80</v>
      </c>
      <c r="Q254" s="22">
        <f>Tabla13[[#This Row],[Merma Salas A &amp; B2]]*1000/Tabla13[[#This Row],[Peso gr.]]</f>
        <v>1696.7126193001061</v>
      </c>
      <c r="R254" s="52">
        <v>80</v>
      </c>
      <c r="S254" s="24">
        <f>Tabla13[[#This Row],[Total piezas NOK]]/Tabla13[[#This Row],[Cant. Fabricada (uds)]]</f>
        <v>0.59242759053774652</v>
      </c>
      <c r="T254" s="19" t="s">
        <v>894</v>
      </c>
    </row>
    <row r="255" spans="1:20" x14ac:dyDescent="0.3">
      <c r="A255" s="43">
        <v>44525</v>
      </c>
      <c r="B255" s="20" t="s">
        <v>895</v>
      </c>
      <c r="C255" s="20" t="s">
        <v>604</v>
      </c>
      <c r="D255" s="13" t="str">
        <f>VLOOKUP(C:C,'LListat referències'!A:B,2,FALSE)</f>
        <v>Tapa gota gruixuda</v>
      </c>
      <c r="E255" s="18" t="str">
        <f>VLOOKUP(C:C,'LListat referències'!A:D,4,FALSE)</f>
        <v>#40</v>
      </c>
      <c r="F255" s="49">
        <f>VLOOKUP(C:C,'LListat referències'!A:E,5,FALSE)</f>
        <v>54.1</v>
      </c>
      <c r="G255" s="49">
        <v>114.02</v>
      </c>
      <c r="H255" s="1" t="s">
        <v>8</v>
      </c>
      <c r="I255" s="25"/>
      <c r="J255" s="25">
        <v>0</v>
      </c>
      <c r="K255" s="25">
        <v>310</v>
      </c>
      <c r="L255" s="25">
        <v>1194</v>
      </c>
      <c r="M255" s="20">
        <v>45</v>
      </c>
      <c r="N255" s="1">
        <f>Tabla13[[#This Row],[Noche]]-Tabla13[[#This Row],[Mañana ]]</f>
        <v>1194</v>
      </c>
      <c r="O255" s="58">
        <v>60</v>
      </c>
      <c r="P255" s="21">
        <f t="shared" si="6"/>
        <v>60</v>
      </c>
      <c r="Q255" s="22">
        <f>Tabla13[[#This Row],[Merma Salas A &amp; B2]]*1000/Tabla13[[#This Row],[Peso gr.]]</f>
        <v>1109.0573012939001</v>
      </c>
      <c r="R255" s="52">
        <v>60</v>
      </c>
      <c r="S255" s="24">
        <f>Tabla13[[#This Row],[Total piezas NOK]]/Tabla13[[#This Row],[Cant. Fabricada (uds)]]</f>
        <v>0.92885871130142383</v>
      </c>
      <c r="T255" s="19" t="s">
        <v>803</v>
      </c>
    </row>
    <row r="256" spans="1:20" x14ac:dyDescent="0.3">
      <c r="A256" s="43">
        <v>44525</v>
      </c>
      <c r="B256" s="20" t="s">
        <v>899</v>
      </c>
      <c r="C256" s="20" t="s">
        <v>478</v>
      </c>
      <c r="D256" s="13" t="str">
        <f>VLOOKUP(C:C,'LListat referències'!A:B,2,FALSE)</f>
        <v xml:space="preserve">Tarro 50 ml labiomar </v>
      </c>
      <c r="E256" s="18" t="str">
        <f>VLOOKUP(C:C,'LListat referències'!A:D,4,FALSE)</f>
        <v>T079</v>
      </c>
      <c r="F256" s="49">
        <f>VLOOKUP(C:C,'LListat referències'!A:E,5,FALSE)</f>
        <v>82.7</v>
      </c>
      <c r="G256" s="49">
        <v>103.83</v>
      </c>
      <c r="H256" s="1" t="s">
        <v>8</v>
      </c>
      <c r="I256" s="25"/>
      <c r="J256" s="25">
        <v>8133</v>
      </c>
      <c r="K256" s="25">
        <v>8922</v>
      </c>
      <c r="L256" s="25">
        <v>9774</v>
      </c>
      <c r="M256" s="20">
        <v>44</v>
      </c>
      <c r="N256" s="1">
        <f>Tabla13[[#This Row],[Noche]]-Tabla13[[#This Row],[Mañana ]]</f>
        <v>1641</v>
      </c>
      <c r="O256" s="58">
        <v>15</v>
      </c>
      <c r="P256" s="21">
        <f t="shared" si="6"/>
        <v>15</v>
      </c>
      <c r="Q256" s="22">
        <f>Tabla13[[#This Row],[Merma Salas A &amp; B2]]*1000/Tabla13[[#This Row],[Peso gr.]]</f>
        <v>181.37847642079805</v>
      </c>
      <c r="R256" s="52"/>
      <c r="S256" s="24">
        <f>Tabla13[[#This Row],[Total piezas NOK]]/Tabla13[[#This Row],[Cant. Fabricada (uds)]]</f>
        <v>0.1105292360882377</v>
      </c>
    </row>
    <row r="257" spans="1:20" x14ac:dyDescent="0.3">
      <c r="A257" s="43">
        <v>44525</v>
      </c>
      <c r="B257" s="20" t="s">
        <v>839</v>
      </c>
      <c r="C257" s="20" t="s">
        <v>644</v>
      </c>
      <c r="D257" s="13" t="str">
        <f>VLOOKUP(C:C,'LListat referències'!A:B,2,FALSE)</f>
        <v>Tarro 200ml Quadrat estret (Tapa Rodona)</v>
      </c>
      <c r="E257" s="18">
        <f>VLOOKUP(C:C,'LListat referències'!A:D,4,FALSE)</f>
        <v>0</v>
      </c>
      <c r="F257" s="49">
        <f>VLOOKUP(C:C,'LListat referències'!A:E,5,FALSE)</f>
        <v>220.84</v>
      </c>
      <c r="G257" s="49">
        <v>112.6</v>
      </c>
      <c r="H257" s="1" t="s">
        <v>7</v>
      </c>
      <c r="I257" s="25"/>
      <c r="J257" s="25">
        <v>29354</v>
      </c>
      <c r="K257" s="25">
        <v>29577</v>
      </c>
      <c r="L257" s="25">
        <v>29814</v>
      </c>
      <c r="M257" s="20">
        <v>41</v>
      </c>
      <c r="N257" s="1">
        <f>Tabla13[[#This Row],[Noche]]-Tabla13[[#This Row],[Mañana ]]</f>
        <v>460</v>
      </c>
      <c r="O257" s="58">
        <v>25</v>
      </c>
      <c r="P257" s="21">
        <f t="shared" si="6"/>
        <v>25</v>
      </c>
      <c r="Q257" s="22">
        <f>Tabla13[[#This Row],[Merma Salas A &amp; B2]]*1000/Tabla13[[#This Row],[Peso gr.]]</f>
        <v>113.20412968665097</v>
      </c>
      <c r="R257" s="52"/>
      <c r="S257" s="24">
        <f>Tabla13[[#This Row],[Total piezas NOK]]/Tabla13[[#This Row],[Cant. Fabricada (uds)]]</f>
        <v>0.24609593410141517</v>
      </c>
    </row>
    <row r="258" spans="1:20" x14ac:dyDescent="0.3">
      <c r="A258" s="43">
        <v>44525</v>
      </c>
      <c r="B258" s="20" t="s">
        <v>761</v>
      </c>
      <c r="C258" s="20" t="s">
        <v>657</v>
      </c>
      <c r="D258" s="13" t="str">
        <f>VLOOKUP(C:C,'LListat referències'!A:B,2,FALSE)</f>
        <v>Tapa simple 200ml baixa prima</v>
      </c>
      <c r="E258" s="18" t="str">
        <f>VLOOKUP(C:C,'LListat referències'!A:D,4,FALSE)</f>
        <v>#45</v>
      </c>
      <c r="F258" s="49">
        <f>VLOOKUP(C:C,'LListat referències'!A:E,5,FALSE)</f>
        <v>3.73</v>
      </c>
      <c r="G258" s="49">
        <v>37.909999999999997</v>
      </c>
      <c r="H258" s="1" t="s">
        <v>764</v>
      </c>
      <c r="I258" s="25"/>
      <c r="J258" s="25">
        <v>274</v>
      </c>
      <c r="K258" s="25">
        <v>1586</v>
      </c>
      <c r="L258" s="25">
        <v>2870</v>
      </c>
      <c r="M258" s="20">
        <v>19</v>
      </c>
      <c r="N258" s="1">
        <f>Tabla13[[#This Row],[Noche]]-Tabla13[[#This Row],[Mañana ]]</f>
        <v>2596</v>
      </c>
      <c r="O258" s="58"/>
      <c r="P258" s="21">
        <f t="shared" si="6"/>
        <v>0</v>
      </c>
      <c r="Q258" s="22">
        <f>Tabla13[[#This Row],[Merma Salas A &amp; B2]]*1000/Tabla13[[#This Row],[Peso gr.]]</f>
        <v>0</v>
      </c>
      <c r="R258" s="52"/>
      <c r="S258" s="24">
        <f>Tabla13[[#This Row],[Total piezas NOK]]/Tabla13[[#This Row],[Cant. Fabricada (uds)]]</f>
        <v>0</v>
      </c>
    </row>
    <row r="259" spans="1:20" x14ac:dyDescent="0.3">
      <c r="A259" s="43">
        <v>44525</v>
      </c>
      <c r="B259" s="20" t="s">
        <v>771</v>
      </c>
      <c r="C259" s="20" t="s">
        <v>615</v>
      </c>
      <c r="D259" s="13" t="str">
        <f>VLOOKUP(C:C,'LListat referències'!A:B,2,FALSE)</f>
        <v>Tarro 50ml Tinter Quadrat</v>
      </c>
      <c r="E259" s="18" t="str">
        <f>VLOOKUP(C:C,'LListat referències'!A:D,4,FALSE)</f>
        <v>T116</v>
      </c>
      <c r="F259" s="49">
        <f>VLOOKUP(C:C,'LListat referències'!A:E,5,FALSE)</f>
        <v>121.5</v>
      </c>
      <c r="G259" s="49">
        <v>126.1</v>
      </c>
      <c r="H259" s="1" t="s">
        <v>8</v>
      </c>
      <c r="I259" s="25"/>
      <c r="J259" s="25">
        <v>18716</v>
      </c>
      <c r="K259" s="25">
        <v>19144</v>
      </c>
      <c r="L259" s="25">
        <v>19610</v>
      </c>
      <c r="M259" s="20">
        <v>30</v>
      </c>
      <c r="N259" s="1">
        <f>Tabla13[[#This Row],[Noche]]-Tabla13[[#This Row],[Mañana ]]</f>
        <v>894</v>
      </c>
      <c r="O259" s="58">
        <v>30</v>
      </c>
      <c r="P259" s="21">
        <f t="shared" si="6"/>
        <v>30</v>
      </c>
      <c r="Q259" s="22">
        <f>Tabla13[[#This Row],[Merma Salas A &amp; B2]]*1000/Tabla13[[#This Row],[Peso gr.]]</f>
        <v>246.91358024691357</v>
      </c>
      <c r="R259" s="52">
        <v>30</v>
      </c>
      <c r="S259" s="24">
        <f>Tabla13[[#This Row],[Total piezas NOK]]/Tabla13[[#This Row],[Cant. Fabricada (uds)]]</f>
        <v>0.27618968707708452</v>
      </c>
    </row>
    <row r="260" spans="1:20" x14ac:dyDescent="0.3">
      <c r="A260" s="43">
        <v>44525</v>
      </c>
      <c r="B260" s="20" t="s">
        <v>915</v>
      </c>
      <c r="C260" s="20">
        <v>1879</v>
      </c>
      <c r="D260" s="13" t="str">
        <f>VLOOKUP(C:C,'LListat referències'!A:B,2,FALSE)</f>
        <v>Tapa tarro rectagular 50 ml</v>
      </c>
      <c r="E260" s="18" t="str">
        <f>VLOOKUP(C:C,'LListat referències'!A:D,4,FALSE)</f>
        <v>#23 (50 ml)</v>
      </c>
      <c r="F260" s="49">
        <f>VLOOKUP(C:C,'LListat referències'!A:E,5,FALSE)</f>
        <v>22.6</v>
      </c>
      <c r="G260" s="49">
        <v>73.69</v>
      </c>
      <c r="H260" s="1" t="s">
        <v>8</v>
      </c>
      <c r="I260" s="25"/>
      <c r="J260" s="25">
        <v>20578</v>
      </c>
      <c r="K260" s="25">
        <v>22018</v>
      </c>
      <c r="L260" s="25">
        <v>22736</v>
      </c>
      <c r="M260" s="20">
        <v>20</v>
      </c>
      <c r="N260" s="1">
        <f>Tabla13[[#This Row],[Noche]]-Tabla13[[#This Row],[Mañana ]]</f>
        <v>2158</v>
      </c>
      <c r="O260" s="58">
        <v>5</v>
      </c>
      <c r="P260" s="21">
        <f t="shared" si="6"/>
        <v>5</v>
      </c>
      <c r="Q260" s="22">
        <f>Tabla13[[#This Row],[Merma Salas A &amp; B2]]*1000/Tabla13[[#This Row],[Peso gr.]]</f>
        <v>221.23893805309734</v>
      </c>
      <c r="R260" s="52"/>
      <c r="S260" s="24">
        <f>Tabla13[[#This Row],[Total piezas NOK]]/Tabla13[[#This Row],[Cant. Fabricada (uds)]]</f>
        <v>0.10252036054360396</v>
      </c>
    </row>
    <row r="261" spans="1:20" x14ac:dyDescent="0.3">
      <c r="A261" s="43">
        <v>44525</v>
      </c>
      <c r="B261" s="20" t="s">
        <v>770</v>
      </c>
      <c r="C261" s="20">
        <v>1997</v>
      </c>
      <c r="D261" s="13">
        <f>VLOOKUP(C:C,'LListat referències'!A:B,2,FALSE)</f>
        <v>0</v>
      </c>
      <c r="E261" s="18">
        <f>VLOOKUP(C:C,'LListat referències'!A:D,4,FALSE)</f>
        <v>0</v>
      </c>
      <c r="F261" s="49">
        <f>VLOOKUP(C:C,'LListat referències'!A:E,5,FALSE)</f>
        <v>3.35</v>
      </c>
      <c r="G261" s="49">
        <v>28.23</v>
      </c>
      <c r="H261" s="1" t="s">
        <v>763</v>
      </c>
      <c r="I261" s="25"/>
      <c r="J261" s="25">
        <v>0</v>
      </c>
      <c r="K261" s="25">
        <v>5202</v>
      </c>
      <c r="L261" s="25">
        <v>11802</v>
      </c>
      <c r="M261" s="20">
        <v>9</v>
      </c>
      <c r="N261" s="1">
        <f>Tabla13[[#This Row],[Noche]]-Tabla13[[#This Row],[Mañana ]]</f>
        <v>11802</v>
      </c>
      <c r="O261" s="58"/>
      <c r="P261" s="21">
        <f t="shared" si="6"/>
        <v>0</v>
      </c>
      <c r="Q261" s="22">
        <f>Tabla13[[#This Row],[Merma Salas A &amp; B2]]*1000/Tabla13[[#This Row],[Peso gr.]]</f>
        <v>0</v>
      </c>
      <c r="R261" s="52"/>
      <c r="S261" s="24">
        <f>Tabla13[[#This Row],[Total piezas NOK]]/Tabla13[[#This Row],[Cant. Fabricada (uds)]]</f>
        <v>0</v>
      </c>
    </row>
    <row r="262" spans="1:20" x14ac:dyDescent="0.3">
      <c r="A262" s="43">
        <v>44526</v>
      </c>
      <c r="B262" s="20" t="s">
        <v>884</v>
      </c>
      <c r="C262" s="20">
        <v>1861</v>
      </c>
      <c r="D262" s="13" t="str">
        <f>VLOOKUP(C:C,'LListat referències'!A:B,2,FALSE)</f>
        <v>Tarro 50ml Standard 8 unitats</v>
      </c>
      <c r="E262" s="18" t="str">
        <f>VLOOKUP(C:C,'LListat referències'!A:D,4,FALSE)</f>
        <v>T022</v>
      </c>
      <c r="F262" s="49">
        <f>VLOOKUP(C:C,'LListat referències'!A:E,5,FALSE)</f>
        <v>92</v>
      </c>
      <c r="G262" s="49"/>
      <c r="H262" s="1" t="s">
        <v>885</v>
      </c>
      <c r="I262" s="25"/>
      <c r="J262" s="25"/>
      <c r="K262" s="25"/>
      <c r="L262" s="25"/>
      <c r="M262" s="20">
        <v>40</v>
      </c>
      <c r="N262" s="1">
        <f>Tabla13[[#This Row],[Noche]]-Tabla13[[#This Row],[Mañana ]]</f>
        <v>0</v>
      </c>
      <c r="O262" s="58">
        <v>455</v>
      </c>
      <c r="P262" s="21">
        <f t="shared" si="6"/>
        <v>455</v>
      </c>
      <c r="Q262" s="22">
        <f>Tabla13[[#This Row],[Merma Salas A &amp; B2]]*1000/Tabla13[[#This Row],[Peso gr.]]</f>
        <v>4945.652173913043</v>
      </c>
      <c r="R262" s="52"/>
      <c r="S262" s="24" t="s">
        <v>889</v>
      </c>
    </row>
    <row r="263" spans="1:20" x14ac:dyDescent="0.3">
      <c r="A263" s="43">
        <v>44526</v>
      </c>
      <c r="B263" s="20" t="s">
        <v>893</v>
      </c>
      <c r="C263" s="20">
        <v>1809</v>
      </c>
      <c r="D263" s="13" t="str">
        <f>VLOOKUP(C:C,'LListat referències'!A:B,2,FALSE)</f>
        <v>Tarro 200ml mónaco</v>
      </c>
      <c r="E263" s="18" t="str">
        <f>VLOOKUP(C:C,'LListat referències'!A:D,4,FALSE)</f>
        <v>T060</v>
      </c>
      <c r="F263" s="49">
        <f>VLOOKUP(C:C,'LListat referències'!A:E,5,FALSE)</f>
        <v>47.15</v>
      </c>
      <c r="G263" s="49">
        <v>82.5</v>
      </c>
      <c r="H263" s="1" t="s">
        <v>7</v>
      </c>
      <c r="I263" s="25"/>
      <c r="J263" s="25">
        <v>9564</v>
      </c>
      <c r="K263" s="25">
        <v>10728</v>
      </c>
      <c r="L263" s="25">
        <v>11824</v>
      </c>
      <c r="M263" s="20">
        <v>39</v>
      </c>
      <c r="N263" s="1">
        <f>Tabla13[[#This Row],[Noche]]-Tabla13[[#This Row],[Mañana ]]</f>
        <v>2260</v>
      </c>
      <c r="O263" s="58">
        <v>10</v>
      </c>
      <c r="P263" s="21">
        <f t="shared" si="6"/>
        <v>10</v>
      </c>
      <c r="Q263" s="22">
        <f>Tabla13[[#This Row],[Merma Salas A &amp; B2]]*1000/Tabla13[[#This Row],[Peso gr.]]</f>
        <v>212.08907741251326</v>
      </c>
      <c r="R263" s="52"/>
      <c r="S263" s="24">
        <f>Tabla13[[#This Row],[Total piezas NOK]]/Tabla13[[#This Row],[Cant. Fabricada (uds)]]</f>
        <v>9.3844724518811179E-2</v>
      </c>
    </row>
    <row r="264" spans="1:20" x14ac:dyDescent="0.3">
      <c r="A264" s="43">
        <v>44526</v>
      </c>
      <c r="B264" s="20" t="s">
        <v>895</v>
      </c>
      <c r="C264" s="20" t="s">
        <v>604</v>
      </c>
      <c r="D264" s="13" t="str">
        <f>VLOOKUP(C:C,'LListat referències'!A:B,2,FALSE)</f>
        <v>Tapa gota gruixuda</v>
      </c>
      <c r="E264" s="18" t="str">
        <f>VLOOKUP(C:C,'LListat referències'!A:D,4,FALSE)</f>
        <v>#40</v>
      </c>
      <c r="F264" s="49">
        <f>VLOOKUP(C:C,'LListat referències'!A:E,5,FALSE)</f>
        <v>54.1</v>
      </c>
      <c r="G264" s="49">
        <v>114.02</v>
      </c>
      <c r="H264" s="1" t="s">
        <v>8</v>
      </c>
      <c r="I264" s="25"/>
      <c r="J264" s="25">
        <v>2326</v>
      </c>
      <c r="K264" s="25">
        <v>3214</v>
      </c>
      <c r="L264" s="25">
        <v>4034</v>
      </c>
      <c r="M264" s="20">
        <v>45</v>
      </c>
      <c r="N264" s="1">
        <f>Tabla13[[#This Row],[Noche]]-Tabla13[[#This Row],[Mañana ]]</f>
        <v>1708</v>
      </c>
      <c r="O264" s="58">
        <v>35</v>
      </c>
      <c r="P264" s="21">
        <f t="shared" si="6"/>
        <v>35</v>
      </c>
      <c r="Q264" s="22">
        <f>Tabla13[[#This Row],[Merma Salas A &amp; B2]]*1000/Tabla13[[#This Row],[Peso gr.]]</f>
        <v>646.95009242144181</v>
      </c>
      <c r="R264" s="52"/>
      <c r="S264" s="24">
        <f>Tabla13[[#This Row],[Total piezas NOK]]/Tabla13[[#This Row],[Cant. Fabricada (uds)]]</f>
        <v>0.37877640071512986</v>
      </c>
    </row>
    <row r="265" spans="1:20" x14ac:dyDescent="0.3">
      <c r="A265" s="43">
        <v>44526</v>
      </c>
      <c r="B265" s="20" t="s">
        <v>899</v>
      </c>
      <c r="C265" s="20" t="s">
        <v>478</v>
      </c>
      <c r="D265" s="13" t="str">
        <f>VLOOKUP(C:C,'LListat referències'!A:B,2,FALSE)</f>
        <v xml:space="preserve">Tarro 50 ml labiomar </v>
      </c>
      <c r="E265" s="18" t="str">
        <f>VLOOKUP(C:C,'LListat referències'!A:D,4,FALSE)</f>
        <v>T079</v>
      </c>
      <c r="F265" s="49">
        <f>VLOOKUP(C:C,'LListat referències'!A:E,5,FALSE)</f>
        <v>82.7</v>
      </c>
      <c r="G265" s="49">
        <v>103.83</v>
      </c>
      <c r="H265" s="1" t="s">
        <v>8</v>
      </c>
      <c r="I265" s="25"/>
      <c r="J265" s="25">
        <v>10695</v>
      </c>
      <c r="K265" s="25">
        <v>11409</v>
      </c>
      <c r="L265" s="25">
        <v>12087</v>
      </c>
      <c r="M265" s="20">
        <v>44</v>
      </c>
      <c r="N265" s="1">
        <f>Tabla13[[#This Row],[Noche]]-Tabla13[[#This Row],[Mañana ]]</f>
        <v>1392</v>
      </c>
      <c r="O265" s="58">
        <v>5</v>
      </c>
      <c r="P265" s="21">
        <f t="shared" ref="P265:P328" si="7">SUM(O265:O265)</f>
        <v>5</v>
      </c>
      <c r="Q265" s="22">
        <f>Tabla13[[#This Row],[Merma Salas A &amp; B2]]*1000/Tabla13[[#This Row],[Peso gr.]]</f>
        <v>60.459492140266022</v>
      </c>
      <c r="R265" s="52"/>
      <c r="S265" s="24">
        <f>Tabla13[[#This Row],[Total piezas NOK]]/Tabla13[[#This Row],[Cant. Fabricada (uds)]]</f>
        <v>4.3433543204214095E-2</v>
      </c>
    </row>
    <row r="266" spans="1:20" x14ac:dyDescent="0.3">
      <c r="A266" s="43">
        <v>44526</v>
      </c>
      <c r="B266" s="20" t="s">
        <v>867</v>
      </c>
      <c r="C266" s="20" t="s">
        <v>644</v>
      </c>
      <c r="D266" s="13" t="str">
        <f>VLOOKUP(C:C,'LListat referències'!A:B,2,FALSE)</f>
        <v>Tarro 200ml Quadrat estret (Tapa Rodona)</v>
      </c>
      <c r="E266" s="18">
        <f>VLOOKUP(C:C,'LListat referències'!A:D,4,FALSE)</f>
        <v>0</v>
      </c>
      <c r="F266" s="49">
        <f>VLOOKUP(C:C,'LListat referències'!A:E,5,FALSE)</f>
        <v>220.84</v>
      </c>
      <c r="G266" s="49">
        <v>112.6</v>
      </c>
      <c r="H266" s="1" t="s">
        <v>7</v>
      </c>
      <c r="I266" s="25"/>
      <c r="J266" s="25">
        <v>30073</v>
      </c>
      <c r="K266" s="25">
        <v>30278</v>
      </c>
      <c r="L266" s="25">
        <v>30480</v>
      </c>
      <c r="M266" s="20">
        <v>41</v>
      </c>
      <c r="N266" s="1">
        <f>Tabla13[[#This Row],[Noche]]-Tabla13[[#This Row],[Mañana ]]</f>
        <v>407</v>
      </c>
      <c r="O266" s="58">
        <v>5</v>
      </c>
      <c r="P266" s="21">
        <f t="shared" si="7"/>
        <v>5</v>
      </c>
      <c r="Q266" s="22">
        <f>Tabla13[[#This Row],[Merma Salas A &amp; B2]]*1000/Tabla13[[#This Row],[Peso gr.]]</f>
        <v>22.640825937330195</v>
      </c>
      <c r="R266" s="52"/>
      <c r="S266" s="24">
        <f>Tabla13[[#This Row],[Total piezas NOK]]/Tabla13[[#This Row],[Cant. Fabricada (uds)]]</f>
        <v>5.5628564956585247E-2</v>
      </c>
    </row>
    <row r="267" spans="1:20" x14ac:dyDescent="0.3">
      <c r="A267" s="43">
        <v>44526</v>
      </c>
      <c r="B267" s="20" t="s">
        <v>771</v>
      </c>
      <c r="C267" s="20" t="s">
        <v>615</v>
      </c>
      <c r="D267" s="13" t="str">
        <f>VLOOKUP(C:C,'LListat referències'!A:B,2,FALSE)</f>
        <v>Tarro 50ml Tinter Quadrat</v>
      </c>
      <c r="E267" s="18" t="str">
        <f>VLOOKUP(C:C,'LListat referències'!A:D,4,FALSE)</f>
        <v>T116</v>
      </c>
      <c r="F267" s="49">
        <f>VLOOKUP(C:C,'LListat referències'!A:E,5,FALSE)</f>
        <v>121.5</v>
      </c>
      <c r="G267" s="49">
        <v>126.1</v>
      </c>
      <c r="H267" s="1" t="s">
        <v>8</v>
      </c>
      <c r="I267" s="25"/>
      <c r="J267" s="25">
        <v>20092</v>
      </c>
      <c r="K267" s="25">
        <v>20470</v>
      </c>
      <c r="L267" s="25">
        <v>20848</v>
      </c>
      <c r="M267" s="20">
        <v>30</v>
      </c>
      <c r="N267" s="1">
        <f>Tabla13[[#This Row],[Noche]]-Tabla13[[#This Row],[Mañana ]]</f>
        <v>756</v>
      </c>
      <c r="O267" s="58">
        <v>5</v>
      </c>
      <c r="P267" s="21">
        <f t="shared" si="7"/>
        <v>5</v>
      </c>
      <c r="Q267" s="22">
        <f>Tabla13[[#This Row],[Merma Salas A &amp; B2]]*1000/Tabla13[[#This Row],[Peso gr.]]</f>
        <v>41.152263374485599</v>
      </c>
      <c r="R267" s="52"/>
      <c r="S267" s="24">
        <f>Tabla13[[#This Row],[Total piezas NOK]]/Tabla13[[#This Row],[Cant. Fabricada (uds)]]</f>
        <v>5.4434210812811641E-2</v>
      </c>
    </row>
    <row r="268" spans="1:20" x14ac:dyDescent="0.3">
      <c r="A268" s="43">
        <v>44526</v>
      </c>
      <c r="B268" s="20" t="s">
        <v>869</v>
      </c>
      <c r="C268" s="20" t="s">
        <v>542</v>
      </c>
      <c r="D268" s="13" t="str">
        <f>VLOOKUP(C:C,'LListat referències'!A:B,2,FALSE)</f>
        <v>Tapa 15ml per tarro Tintero</v>
      </c>
      <c r="E268" s="18" t="str">
        <f>VLOOKUP(C:C,'LListat referències'!A:D,4,FALSE)</f>
        <v>#23</v>
      </c>
      <c r="F268" s="49">
        <f>VLOOKUP(C:C,'LListat referències'!A:E,5,FALSE)</f>
        <v>10</v>
      </c>
      <c r="G268" s="49">
        <v>41.96</v>
      </c>
      <c r="H268" s="1" t="s">
        <v>8</v>
      </c>
      <c r="I268" s="25"/>
      <c r="J268" s="25">
        <v>0</v>
      </c>
      <c r="K268" s="25">
        <v>938</v>
      </c>
      <c r="L268" s="25">
        <v>2272</v>
      </c>
      <c r="M268" s="20">
        <v>25</v>
      </c>
      <c r="N268" s="1">
        <f>Tabla13[[#This Row],[Noche]]-Tabla13[[#This Row],[Mañana ]]</f>
        <v>2272</v>
      </c>
      <c r="O268" s="58"/>
      <c r="P268" s="21">
        <f t="shared" si="7"/>
        <v>0</v>
      </c>
      <c r="Q268" s="22">
        <f>Tabla13[[#This Row],[Merma Salas A &amp; B2]]*1000/Tabla13[[#This Row],[Peso gr.]]</f>
        <v>0</v>
      </c>
      <c r="R268" s="52"/>
      <c r="S268" s="24">
        <f>Tabla13[[#This Row],[Total piezas NOK]]/Tabla13[[#This Row],[Cant. Fabricada (uds)]]</f>
        <v>0</v>
      </c>
    </row>
    <row r="269" spans="1:20" x14ac:dyDescent="0.3">
      <c r="A269" s="43">
        <v>44526</v>
      </c>
      <c r="B269" s="20" t="s">
        <v>916</v>
      </c>
      <c r="C269" s="20">
        <v>1879</v>
      </c>
      <c r="D269" s="13" t="str">
        <f>VLOOKUP(C:C,'LListat referències'!A:B,2,FALSE)</f>
        <v>Tapa tarro rectagular 50 ml</v>
      </c>
      <c r="E269" s="18" t="str">
        <f>VLOOKUP(C:C,'LListat referències'!A:D,4,FALSE)</f>
        <v>#23 (50 ml)</v>
      </c>
      <c r="F269" s="49">
        <f>VLOOKUP(C:C,'LListat referències'!A:E,5,FALSE)</f>
        <v>22.6</v>
      </c>
      <c r="G269" s="49">
        <v>73.69</v>
      </c>
      <c r="H269" s="1" t="s">
        <v>8</v>
      </c>
      <c r="I269" s="25"/>
      <c r="J269" s="25">
        <v>23500</v>
      </c>
      <c r="K269" s="25">
        <v>24158</v>
      </c>
      <c r="L269" s="25">
        <v>24158</v>
      </c>
      <c r="M269" s="20">
        <v>20</v>
      </c>
      <c r="N269" s="1">
        <f>Tabla13[[#This Row],[Noche]]-Tabla13[[#This Row],[Mañana ]]</f>
        <v>658</v>
      </c>
      <c r="O269" s="58">
        <v>2.5</v>
      </c>
      <c r="P269" s="21">
        <f t="shared" si="7"/>
        <v>2.5</v>
      </c>
      <c r="Q269" s="22">
        <f>Tabla13[[#This Row],[Merma Salas A &amp; B2]]*1000/Tabla13[[#This Row],[Peso gr.]]</f>
        <v>110.61946902654867</v>
      </c>
      <c r="R269" s="52"/>
      <c r="S269" s="24">
        <f>Tabla13[[#This Row],[Total piezas NOK]]/Tabla13[[#This Row],[Cant. Fabricada (uds)]]</f>
        <v>0.1681146945692229</v>
      </c>
    </row>
    <row r="270" spans="1:20" x14ac:dyDescent="0.3">
      <c r="A270" s="43">
        <v>44526</v>
      </c>
      <c r="B270" s="20" t="s">
        <v>770</v>
      </c>
      <c r="C270" s="20">
        <v>1997</v>
      </c>
      <c r="D270" s="13">
        <f>VLOOKUP(C:C,'LListat referències'!A:B,2,FALSE)</f>
        <v>0</v>
      </c>
      <c r="E270" s="18">
        <f>VLOOKUP(C:C,'LListat referències'!A:D,4,FALSE)</f>
        <v>0</v>
      </c>
      <c r="F270" s="49">
        <f>VLOOKUP(C:C,'LListat referències'!A:E,5,FALSE)</f>
        <v>3.35</v>
      </c>
      <c r="G270" s="49">
        <v>28.23</v>
      </c>
      <c r="H270" s="1" t="s">
        <v>763</v>
      </c>
      <c r="I270" s="25"/>
      <c r="J270" s="25">
        <v>18708</v>
      </c>
      <c r="K270" s="25">
        <v>22578</v>
      </c>
      <c r="L270" s="25">
        <v>22578</v>
      </c>
      <c r="M270" s="20">
        <v>9</v>
      </c>
      <c r="N270" s="1">
        <f>Tabla13[[#This Row],[Noche]]-Tabla13[[#This Row],[Mañana ]]</f>
        <v>3870</v>
      </c>
      <c r="O270" s="58"/>
      <c r="P270" s="21">
        <f t="shared" si="7"/>
        <v>0</v>
      </c>
      <c r="Q270" s="22">
        <f>Tabla13[[#This Row],[Merma Salas A &amp; B2]]*1000/Tabla13[[#This Row],[Peso gr.]]</f>
        <v>0</v>
      </c>
      <c r="R270" s="52"/>
      <c r="S270" s="24">
        <f>Tabla13[[#This Row],[Total piezas NOK]]/Tabla13[[#This Row],[Cant. Fabricada (uds)]]</f>
        <v>0</v>
      </c>
    </row>
    <row r="271" spans="1:20" x14ac:dyDescent="0.3">
      <c r="A271" s="43">
        <v>44529</v>
      </c>
      <c r="B271" s="20" t="s">
        <v>891</v>
      </c>
      <c r="C271" s="20">
        <v>1803</v>
      </c>
      <c r="D271" s="13" t="str">
        <f>VLOOKUP(C:C,'LListat referències'!A:B,2,FALSE)</f>
        <v>Contraobt. Tarro 30 ml Juvena</v>
      </c>
      <c r="E271" s="18" t="str">
        <f>VLOOKUP(C:C,'LListat referències'!A:D,4,FALSE)</f>
        <v/>
      </c>
      <c r="F271" s="49">
        <v>5.2</v>
      </c>
      <c r="G271" s="49"/>
      <c r="H271" s="1" t="s">
        <v>797</v>
      </c>
      <c r="I271" s="25"/>
      <c r="J271" s="25">
        <v>1128</v>
      </c>
      <c r="K271" s="25">
        <v>3982</v>
      </c>
      <c r="L271" s="25">
        <v>7370</v>
      </c>
      <c r="M271" s="20">
        <v>46</v>
      </c>
      <c r="N271" s="1">
        <f>Tabla13[[#This Row],[Noche]]-Tabla13[[#This Row],[Mañana ]]</f>
        <v>6242</v>
      </c>
      <c r="O271" s="58"/>
      <c r="P271" s="21">
        <f t="shared" si="7"/>
        <v>0</v>
      </c>
      <c r="Q271" s="22">
        <f>Tabla13[[#This Row],[Merma Salas A &amp; B2]]*1000/Tabla13[[#This Row],[Peso gr.]]</f>
        <v>0</v>
      </c>
      <c r="R271" s="52"/>
      <c r="S271" s="24">
        <f>Tabla13[[#This Row],[Total piezas NOK]]/Tabla13[[#This Row],[Cant. Fabricada (uds)]]</f>
        <v>0</v>
      </c>
    </row>
    <row r="272" spans="1:20" x14ac:dyDescent="0.3">
      <c r="A272" s="43">
        <v>44529</v>
      </c>
      <c r="B272" s="20" t="s">
        <v>884</v>
      </c>
      <c r="C272" s="20">
        <v>1861</v>
      </c>
      <c r="D272" s="13" t="str">
        <f>VLOOKUP(C:C,'LListat referències'!A:B,2,FALSE)</f>
        <v>Tarro 50ml Standard 8 unitats</v>
      </c>
      <c r="E272" s="18" t="str">
        <f>VLOOKUP(C:C,'LListat referències'!A:D,4,FALSE)</f>
        <v>T022</v>
      </c>
      <c r="F272" s="49">
        <f>VLOOKUP(C:C,'LListat referències'!A:E,5,FALSE)</f>
        <v>92</v>
      </c>
      <c r="G272" s="49"/>
      <c r="H272" s="1" t="s">
        <v>885</v>
      </c>
      <c r="I272" s="25"/>
      <c r="J272" s="25"/>
      <c r="K272" s="25"/>
      <c r="L272" s="25"/>
      <c r="M272" s="20"/>
      <c r="N272" s="1">
        <f>Tabla13[[#This Row],[Noche]]-Tabla13[[#This Row],[Mañana ]]</f>
        <v>0</v>
      </c>
      <c r="O272" s="58">
        <v>380</v>
      </c>
      <c r="P272" s="21">
        <f t="shared" si="7"/>
        <v>380</v>
      </c>
      <c r="Q272" s="22">
        <f>Tabla13[[#This Row],[Merma Salas A &amp; B2]]*1000/Tabla13[[#This Row],[Peso gr.]]</f>
        <v>4130.434782608696</v>
      </c>
      <c r="R272" s="52">
        <v>380</v>
      </c>
      <c r="S272" s="24" t="s">
        <v>842</v>
      </c>
      <c r="T272" s="19" t="s">
        <v>892</v>
      </c>
    </row>
    <row r="273" spans="1:20" x14ac:dyDescent="0.3">
      <c r="A273" s="43">
        <v>44529</v>
      </c>
      <c r="B273" s="20" t="s">
        <v>893</v>
      </c>
      <c r="C273" s="20">
        <v>1809</v>
      </c>
      <c r="D273" s="13" t="str">
        <f>VLOOKUP(C:C,'LListat referències'!A:B,2,FALSE)</f>
        <v>Tarro 200ml mónaco</v>
      </c>
      <c r="E273" s="18" t="str">
        <f>VLOOKUP(C:C,'LListat referències'!A:D,4,FALSE)</f>
        <v>T060</v>
      </c>
      <c r="F273" s="49">
        <f>VLOOKUP(C:C,'LListat referències'!A:E,5,FALSE)</f>
        <v>47.15</v>
      </c>
      <c r="G273" s="49">
        <v>82.5</v>
      </c>
      <c r="H273" s="1" t="s">
        <v>7</v>
      </c>
      <c r="I273" s="25"/>
      <c r="J273" s="25">
        <v>12104</v>
      </c>
      <c r="K273" s="25">
        <v>13172</v>
      </c>
      <c r="L273" s="25">
        <v>14544</v>
      </c>
      <c r="M273" s="20">
        <v>39</v>
      </c>
      <c r="N273" s="1">
        <f>Tabla13[[#This Row],[Noche]]-Tabla13[[#This Row],[Mañana ]]</f>
        <v>2440</v>
      </c>
      <c r="O273" s="58">
        <v>5</v>
      </c>
      <c r="P273" s="21">
        <f t="shared" si="7"/>
        <v>5</v>
      </c>
      <c r="Q273" s="22">
        <f>Tabla13[[#This Row],[Merma Salas A &amp; B2]]*1000/Tabla13[[#This Row],[Peso gr.]]</f>
        <v>106.04453870625663</v>
      </c>
      <c r="R273" s="52"/>
      <c r="S273" s="24">
        <f>Tabla13[[#This Row],[Total piezas NOK]]/Tabla13[[#This Row],[Cant. Fabricada (uds)]]</f>
        <v>4.3460876518957636E-2</v>
      </c>
    </row>
    <row r="274" spans="1:20" x14ac:dyDescent="0.3">
      <c r="A274" s="43">
        <v>44529</v>
      </c>
      <c r="B274" s="20" t="s">
        <v>895</v>
      </c>
      <c r="C274" s="20" t="s">
        <v>604</v>
      </c>
      <c r="D274" s="13" t="str">
        <f>VLOOKUP(C:C,'LListat referències'!A:B,2,FALSE)</f>
        <v>Tapa gota gruixuda</v>
      </c>
      <c r="E274" s="18" t="str">
        <f>VLOOKUP(C:C,'LListat referències'!A:D,4,FALSE)</f>
        <v>#40</v>
      </c>
      <c r="F274" s="49">
        <f>VLOOKUP(C:C,'LListat referències'!A:E,5,FALSE)</f>
        <v>54.1</v>
      </c>
      <c r="G274" s="49">
        <v>114.02</v>
      </c>
      <c r="H274" s="1" t="s">
        <v>8</v>
      </c>
      <c r="I274" s="25"/>
      <c r="J274" s="25">
        <v>4774</v>
      </c>
      <c r="K274" s="25">
        <v>5690</v>
      </c>
      <c r="L274" s="25">
        <v>6738</v>
      </c>
      <c r="M274" s="20">
        <v>45</v>
      </c>
      <c r="N274" s="1">
        <f>Tabla13[[#This Row],[Noche]]-Tabla13[[#This Row],[Mañana ]]</f>
        <v>1964</v>
      </c>
      <c r="O274" s="58">
        <v>15</v>
      </c>
      <c r="P274" s="21">
        <f t="shared" si="7"/>
        <v>15</v>
      </c>
      <c r="Q274" s="22">
        <f>Tabla13[[#This Row],[Merma Salas A &amp; B2]]*1000/Tabla13[[#This Row],[Peso gr.]]</f>
        <v>277.26432532347502</v>
      </c>
      <c r="R274" s="52"/>
      <c r="S274" s="24">
        <f>Tabla13[[#This Row],[Total piezas NOK]]/Tabla13[[#This Row],[Cant. Fabricada (uds)]]</f>
        <v>0.14117328173293026</v>
      </c>
    </row>
    <row r="275" spans="1:20" x14ac:dyDescent="0.3">
      <c r="A275" s="43">
        <v>44529</v>
      </c>
      <c r="B275" s="20" t="s">
        <v>899</v>
      </c>
      <c r="C275" s="20" t="s">
        <v>478</v>
      </c>
      <c r="D275" s="13" t="str">
        <f>VLOOKUP(C:C,'LListat referències'!A:B,2,FALSE)</f>
        <v xml:space="preserve">Tarro 50 ml labiomar </v>
      </c>
      <c r="E275" s="18" t="str">
        <f>VLOOKUP(C:C,'LListat referències'!A:D,4,FALSE)</f>
        <v>T079</v>
      </c>
      <c r="F275" s="49">
        <f>VLOOKUP(C:C,'LListat referències'!A:E,5,FALSE)</f>
        <v>82.7</v>
      </c>
      <c r="G275" s="49">
        <v>103.83</v>
      </c>
      <c r="H275" s="1" t="s">
        <v>8</v>
      </c>
      <c r="I275" s="25"/>
      <c r="J275" s="25">
        <v>12720</v>
      </c>
      <c r="K275" s="25">
        <v>13446</v>
      </c>
      <c r="L275" s="25">
        <v>14310</v>
      </c>
      <c r="M275" s="20">
        <v>44</v>
      </c>
      <c r="N275" s="1">
        <f>Tabla13[[#This Row],[Noche]]-Tabla13[[#This Row],[Mañana ]]</f>
        <v>1590</v>
      </c>
      <c r="O275" s="58">
        <v>20</v>
      </c>
      <c r="P275" s="21">
        <f t="shared" si="7"/>
        <v>20</v>
      </c>
      <c r="Q275" s="22">
        <f>Tabla13[[#This Row],[Merma Salas A &amp; B2]]*1000/Tabla13[[#This Row],[Peso gr.]]</f>
        <v>241.83796856106409</v>
      </c>
      <c r="R275" s="52"/>
      <c r="S275" s="24">
        <f>Tabla13[[#This Row],[Total piezas NOK]]/Tabla13[[#This Row],[Cant. Fabricada (uds)]]</f>
        <v>0.15209935129626673</v>
      </c>
    </row>
    <row r="276" spans="1:20" x14ac:dyDescent="0.3">
      <c r="A276" s="43">
        <v>44529</v>
      </c>
      <c r="B276" s="20" t="s">
        <v>808</v>
      </c>
      <c r="C276" s="20" t="s">
        <v>644</v>
      </c>
      <c r="D276" s="13" t="str">
        <f>VLOOKUP(C:C,'LListat referències'!A:B,2,FALSE)</f>
        <v>Tarro 200ml Quadrat estret (Tapa Rodona)</v>
      </c>
      <c r="E276" s="18">
        <f>VLOOKUP(C:C,'LListat referències'!A:D,4,FALSE)</f>
        <v>0</v>
      </c>
      <c r="F276" s="49">
        <f>VLOOKUP(C:C,'LListat referències'!A:E,5,FALSE)</f>
        <v>220.84</v>
      </c>
      <c r="G276" s="49">
        <v>112.6</v>
      </c>
      <c r="H276" s="1" t="s">
        <v>7</v>
      </c>
      <c r="I276" s="25"/>
      <c r="J276" s="25">
        <v>30667</v>
      </c>
      <c r="K276" s="25">
        <v>30877</v>
      </c>
      <c r="L276" s="25">
        <v>31116</v>
      </c>
      <c r="M276" s="20">
        <v>41</v>
      </c>
      <c r="N276" s="1">
        <f>Tabla13[[#This Row],[Noche]]-Tabla13[[#This Row],[Mañana ]]</f>
        <v>449</v>
      </c>
      <c r="O276" s="58">
        <v>2</v>
      </c>
      <c r="P276" s="21">
        <f t="shared" si="7"/>
        <v>2</v>
      </c>
      <c r="Q276" s="22">
        <f>Tabla13[[#This Row],[Merma Salas A &amp; B2]]*1000/Tabla13[[#This Row],[Peso gr.]]</f>
        <v>9.0563303749320774</v>
      </c>
      <c r="R276" s="52"/>
      <c r="S276" s="24">
        <f>Tabla13[[#This Row],[Total piezas NOK]]/Tabla13[[#This Row],[Cant. Fabricada (uds)]]</f>
        <v>2.0170000835038036E-2</v>
      </c>
    </row>
    <row r="277" spans="1:20" x14ac:dyDescent="0.3">
      <c r="A277" s="43">
        <v>44529</v>
      </c>
      <c r="B277" s="20" t="s">
        <v>771</v>
      </c>
      <c r="C277" s="20" t="s">
        <v>615</v>
      </c>
      <c r="D277" s="13" t="str">
        <f>VLOOKUP(C:C,'LListat referències'!A:B,2,FALSE)</f>
        <v>Tarro 50ml Tinter Quadrat</v>
      </c>
      <c r="E277" s="18" t="str">
        <f>VLOOKUP(C:C,'LListat referències'!A:D,4,FALSE)</f>
        <v>T116</v>
      </c>
      <c r="F277" s="49">
        <f>VLOOKUP(C:C,'LListat referències'!A:E,5,FALSE)</f>
        <v>121.5</v>
      </c>
      <c r="G277" s="49">
        <v>126.1</v>
      </c>
      <c r="H277" s="1" t="s">
        <v>8</v>
      </c>
      <c r="I277" s="25"/>
      <c r="J277" s="25">
        <v>20848</v>
      </c>
      <c r="K277" s="25">
        <v>21252</v>
      </c>
      <c r="L277" s="25">
        <v>21718</v>
      </c>
      <c r="M277" s="20">
        <v>30</v>
      </c>
      <c r="N277" s="1">
        <f>Tabla13[[#This Row],[Noche]]-Tabla13[[#This Row],[Mañana ]]</f>
        <v>870</v>
      </c>
      <c r="O277" s="58">
        <v>50</v>
      </c>
      <c r="P277" s="21">
        <f t="shared" si="7"/>
        <v>50</v>
      </c>
      <c r="Q277" s="22">
        <f>Tabla13[[#This Row],[Merma Salas A &amp; B2]]*1000/Tabla13[[#This Row],[Peso gr.]]</f>
        <v>411.52263374485597</v>
      </c>
      <c r="R277" s="52">
        <v>50</v>
      </c>
      <c r="S277" s="24">
        <f>Tabla13[[#This Row],[Total piezas NOK]]/Tabla13[[#This Row],[Cant. Fabricada (uds)]]</f>
        <v>0.47301452154581147</v>
      </c>
    </row>
    <row r="278" spans="1:20" x14ac:dyDescent="0.3">
      <c r="A278" s="43">
        <v>44529</v>
      </c>
      <c r="B278" s="20" t="s">
        <v>869</v>
      </c>
      <c r="C278" s="20" t="s">
        <v>542</v>
      </c>
      <c r="D278" s="13" t="str">
        <f>VLOOKUP(C:C,'LListat referències'!A:B,2,FALSE)</f>
        <v>Tapa 15ml per tarro Tintero</v>
      </c>
      <c r="E278" s="18" t="str">
        <f>VLOOKUP(C:C,'LListat referències'!A:D,4,FALSE)</f>
        <v>#23</v>
      </c>
      <c r="F278" s="49">
        <f>VLOOKUP(C:C,'LListat referències'!A:E,5,FALSE)</f>
        <v>10</v>
      </c>
      <c r="G278" s="49">
        <v>41.96</v>
      </c>
      <c r="H278" s="1" t="s">
        <v>8</v>
      </c>
      <c r="I278" s="25"/>
      <c r="J278" s="25">
        <v>3304</v>
      </c>
      <c r="K278" s="25">
        <v>4574</v>
      </c>
      <c r="L278" s="25">
        <v>5989</v>
      </c>
      <c r="M278" s="20">
        <v>25</v>
      </c>
      <c r="N278" s="1">
        <f>Tabla13[[#This Row],[Noche]]-Tabla13[[#This Row],[Mañana ]]</f>
        <v>2685</v>
      </c>
      <c r="O278" s="58"/>
      <c r="P278" s="21">
        <f t="shared" si="7"/>
        <v>0</v>
      </c>
      <c r="Q278" s="22">
        <f>Tabla13[[#This Row],[Merma Salas A &amp; B2]]*1000/Tabla13[[#This Row],[Peso gr.]]</f>
        <v>0</v>
      </c>
      <c r="R278" s="52"/>
      <c r="S278" s="24">
        <f>Tabla13[[#This Row],[Total piezas NOK]]/Tabla13[[#This Row],[Cant. Fabricada (uds)]]</f>
        <v>0</v>
      </c>
    </row>
    <row r="279" spans="1:20" x14ac:dyDescent="0.3">
      <c r="A279" s="43">
        <v>44529</v>
      </c>
      <c r="B279" s="20" t="s">
        <v>917</v>
      </c>
      <c r="C279" s="20">
        <v>1879</v>
      </c>
      <c r="D279" s="13" t="str">
        <f>VLOOKUP(C:C,'LListat referències'!A:B,2,FALSE)</f>
        <v>Tapa tarro rectagular 50 ml</v>
      </c>
      <c r="E279" s="18" t="str">
        <f>VLOOKUP(C:C,'LListat referències'!A:D,4,FALSE)</f>
        <v>#23 (50 ml)</v>
      </c>
      <c r="F279" s="49">
        <f>VLOOKUP(C:C,'LListat referències'!A:E,5,FALSE)</f>
        <v>22.6</v>
      </c>
      <c r="G279" s="49">
        <v>73.69</v>
      </c>
      <c r="H279" s="1" t="s">
        <v>8</v>
      </c>
      <c r="I279" s="25"/>
      <c r="J279" s="25">
        <v>24618</v>
      </c>
      <c r="K279" s="25">
        <v>25288</v>
      </c>
      <c r="L279" s="25">
        <v>26100</v>
      </c>
      <c r="M279" s="20">
        <v>20</v>
      </c>
      <c r="N279" s="1">
        <f>Tabla13[[#This Row],[Noche]]-Tabla13[[#This Row],[Mañana ]]</f>
        <v>1482</v>
      </c>
      <c r="O279" s="58">
        <v>1.5</v>
      </c>
      <c r="P279" s="21">
        <f t="shared" si="7"/>
        <v>1.5</v>
      </c>
      <c r="Q279" s="22">
        <f>Tabla13[[#This Row],[Merma Salas A &amp; B2]]*1000/Tabla13[[#This Row],[Peso gr.]]</f>
        <v>66.371681415929203</v>
      </c>
      <c r="R279" s="52">
        <v>10</v>
      </c>
      <c r="S279" s="24">
        <f>Tabla13[[#This Row],[Total piezas NOK]]/Tabla13[[#This Row],[Cant. Fabricada (uds)]]</f>
        <v>4.478521013220594E-2</v>
      </c>
    </row>
    <row r="280" spans="1:20" x14ac:dyDescent="0.3">
      <c r="A280" s="43">
        <v>44530</v>
      </c>
      <c r="B280" s="20" t="s">
        <v>891</v>
      </c>
      <c r="C280" s="20">
        <v>1803</v>
      </c>
      <c r="D280" s="13" t="str">
        <f>VLOOKUP(C:C,'LListat referències'!A:B,2,FALSE)</f>
        <v>Contraobt. Tarro 30 ml Juvena</v>
      </c>
      <c r="E280" s="18" t="str">
        <f>VLOOKUP(C:C,'LListat referències'!A:D,4,FALSE)</f>
        <v/>
      </c>
      <c r="F280" s="49">
        <v>5.2</v>
      </c>
      <c r="G280" s="49"/>
      <c r="H280" s="1" t="s">
        <v>797</v>
      </c>
      <c r="I280" s="25"/>
      <c r="J280" s="25">
        <v>10420</v>
      </c>
      <c r="K280" s="25">
        <v>13272</v>
      </c>
      <c r="L280" s="25">
        <v>13272</v>
      </c>
      <c r="M280" s="20">
        <v>46</v>
      </c>
      <c r="N280" s="1">
        <f>Tabla13[[#This Row],[Noche]]-Tabla13[[#This Row],[Mañana ]]</f>
        <v>2852</v>
      </c>
      <c r="O280" s="58"/>
      <c r="P280" s="21">
        <f t="shared" si="7"/>
        <v>0</v>
      </c>
      <c r="Q280" s="22">
        <f>Tabla13[[#This Row],[Merma Salas A &amp; B2]]*1000/Tabla13[[#This Row],[Peso gr.]]</f>
        <v>0</v>
      </c>
      <c r="R280" s="52"/>
      <c r="S280" s="24">
        <f>Tabla13[[#This Row],[Total piezas NOK]]/Tabla13[[#This Row],[Cant. Fabricada (uds)]]</f>
        <v>0</v>
      </c>
    </row>
    <row r="281" spans="1:20" x14ac:dyDescent="0.3">
      <c r="A281" s="43">
        <v>44530</v>
      </c>
      <c r="B281" s="20" t="s">
        <v>884</v>
      </c>
      <c r="C281" s="20">
        <v>1861</v>
      </c>
      <c r="D281" s="13" t="str">
        <f>VLOOKUP(C:C,'LListat referències'!A:B,2,FALSE)</f>
        <v>Tarro 50ml Standard 8 unitats</v>
      </c>
      <c r="E281" s="18" t="str">
        <f>VLOOKUP(C:C,'LListat referències'!A:D,4,FALSE)</f>
        <v>T022</v>
      </c>
      <c r="F281" s="49">
        <f>VLOOKUP(C:C,'LListat referències'!A:E,5,FALSE)</f>
        <v>92</v>
      </c>
      <c r="G281" s="49"/>
      <c r="H281" s="1" t="s">
        <v>885</v>
      </c>
      <c r="I281" s="25"/>
      <c r="J281" s="25"/>
      <c r="K281" s="25"/>
      <c r="L281" s="25"/>
      <c r="M281" s="20"/>
      <c r="N281" s="1">
        <f>Tabla13[[#This Row],[Noche]]-Tabla13[[#This Row],[Mañana ]]</f>
        <v>0</v>
      </c>
      <c r="O281" s="58">
        <v>90</v>
      </c>
      <c r="P281" s="21">
        <f t="shared" si="7"/>
        <v>90</v>
      </c>
      <c r="Q281" s="22">
        <f>Tabla13[[#This Row],[Merma Salas A &amp; B2]]*1000/Tabla13[[#This Row],[Peso gr.]]</f>
        <v>978.26086956521738</v>
      </c>
      <c r="R281" s="52">
        <v>90</v>
      </c>
      <c r="S281" s="24" t="s">
        <v>842</v>
      </c>
      <c r="T281" s="19" t="s">
        <v>892</v>
      </c>
    </row>
    <row r="282" spans="1:20" x14ac:dyDescent="0.3">
      <c r="A282" s="43">
        <v>44530</v>
      </c>
      <c r="B282" s="20" t="s">
        <v>893</v>
      </c>
      <c r="C282" s="20">
        <v>1809</v>
      </c>
      <c r="D282" s="13" t="str">
        <f>VLOOKUP(C:C,'LListat referències'!A:B,2,FALSE)</f>
        <v>Tarro 200ml mónaco</v>
      </c>
      <c r="E282" s="18" t="str">
        <f>VLOOKUP(C:C,'LListat referències'!A:D,4,FALSE)</f>
        <v>T060</v>
      </c>
      <c r="F282" s="49">
        <f>VLOOKUP(C:C,'LListat referències'!A:E,5,FALSE)</f>
        <v>47.15</v>
      </c>
      <c r="G282" s="49">
        <v>82.5</v>
      </c>
      <c r="H282" s="1" t="s">
        <v>7</v>
      </c>
      <c r="I282" s="25"/>
      <c r="J282" s="25">
        <v>15880</v>
      </c>
      <c r="K282" s="25">
        <v>17192</v>
      </c>
      <c r="L282" s="25">
        <v>18584</v>
      </c>
      <c r="M282" s="20">
        <v>39</v>
      </c>
      <c r="N282" s="1">
        <f>Tabla13[[#This Row],[Noche]]-Tabla13[[#This Row],[Mañana ]]</f>
        <v>2704</v>
      </c>
      <c r="O282" s="58">
        <v>5</v>
      </c>
      <c r="P282" s="21">
        <f t="shared" si="7"/>
        <v>5</v>
      </c>
      <c r="Q282" s="22">
        <f>Tabla13[[#This Row],[Merma Salas A &amp; B2]]*1000/Tabla13[[#This Row],[Peso gr.]]</f>
        <v>106.04453870625663</v>
      </c>
      <c r="R282" s="52"/>
      <c r="S282" s="24">
        <f>Tabla13[[#This Row],[Total piezas NOK]]/Tabla13[[#This Row],[Cant. Fabricada (uds)]]</f>
        <v>3.9217654846988401E-2</v>
      </c>
    </row>
    <row r="283" spans="1:20" x14ac:dyDescent="0.3">
      <c r="A283" s="43">
        <v>44530</v>
      </c>
      <c r="B283" s="20" t="s">
        <v>896</v>
      </c>
      <c r="C283" s="20" t="s">
        <v>604</v>
      </c>
      <c r="D283" s="13" t="str">
        <f>VLOOKUP(C:C,'LListat referències'!A:B,2,FALSE)</f>
        <v>Tapa gota gruixuda</v>
      </c>
      <c r="E283" s="18" t="str">
        <f>VLOOKUP(C:C,'LListat referències'!A:D,4,FALSE)</f>
        <v>#40</v>
      </c>
      <c r="F283" s="49">
        <f>VLOOKUP(C:C,'LListat referències'!A:E,5,FALSE)</f>
        <v>54.1</v>
      </c>
      <c r="G283" s="49">
        <v>114.02</v>
      </c>
      <c r="H283" s="1" t="s">
        <v>8</v>
      </c>
      <c r="I283" s="25"/>
      <c r="J283" s="25">
        <v>412</v>
      </c>
      <c r="K283" s="25">
        <v>1324</v>
      </c>
      <c r="L283" s="25">
        <v>2340</v>
      </c>
      <c r="M283" s="20">
        <v>45</v>
      </c>
      <c r="N283" s="1">
        <f>Tabla13[[#This Row],[Noche]]-Tabla13[[#This Row],[Mañana ]]</f>
        <v>1928</v>
      </c>
      <c r="O283" s="58">
        <v>10</v>
      </c>
      <c r="P283" s="21">
        <f t="shared" si="7"/>
        <v>10</v>
      </c>
      <c r="Q283" s="22">
        <f>Tabla13[[#This Row],[Merma Salas A &amp; B2]]*1000/Tabla13[[#This Row],[Peso gr.]]</f>
        <v>184.84288354898337</v>
      </c>
      <c r="R283" s="52"/>
      <c r="S283" s="24">
        <f>Tabla13[[#This Row],[Total piezas NOK]]/Tabla13[[#This Row],[Cant. Fabricada (uds)]]</f>
        <v>9.5872864911298428E-2</v>
      </c>
    </row>
    <row r="284" spans="1:20" x14ac:dyDescent="0.3">
      <c r="A284" s="43">
        <v>44530</v>
      </c>
      <c r="B284" s="20" t="s">
        <v>899</v>
      </c>
      <c r="C284" s="20" t="s">
        <v>478</v>
      </c>
      <c r="D284" s="13" t="str">
        <f>VLOOKUP(C:C,'LListat referències'!A:B,2,FALSE)</f>
        <v xml:space="preserve">Tarro 50 ml labiomar </v>
      </c>
      <c r="E284" s="18" t="str">
        <f>VLOOKUP(C:C,'LListat referències'!A:D,4,FALSE)</f>
        <v>T079</v>
      </c>
      <c r="F284" s="49">
        <f>VLOOKUP(C:C,'LListat referències'!A:E,5,FALSE)</f>
        <v>82.7</v>
      </c>
      <c r="G284" s="49">
        <v>103.83</v>
      </c>
      <c r="H284" s="1" t="s">
        <v>8</v>
      </c>
      <c r="I284" s="25"/>
      <c r="J284" s="25">
        <v>15138</v>
      </c>
      <c r="K284" s="25">
        <v>15942</v>
      </c>
      <c r="L284" s="25">
        <v>16785</v>
      </c>
      <c r="M284" s="20">
        <v>44</v>
      </c>
      <c r="N284" s="1">
        <f>Tabla13[[#This Row],[Noche]]-Tabla13[[#This Row],[Mañana ]]</f>
        <v>1647</v>
      </c>
      <c r="O284" s="58">
        <v>10</v>
      </c>
      <c r="P284" s="21">
        <f t="shared" si="7"/>
        <v>10</v>
      </c>
      <c r="Q284" s="22">
        <f>Tabla13[[#This Row],[Merma Salas A &amp; B2]]*1000/Tabla13[[#This Row],[Peso gr.]]</f>
        <v>120.91898428053204</v>
      </c>
      <c r="R284" s="52"/>
      <c r="S284" s="24">
        <f>Tabla13[[#This Row],[Total piezas NOK]]/Tabla13[[#This Row],[Cant. Fabricada (uds)]]</f>
        <v>7.3417719660310896E-2</v>
      </c>
    </row>
    <row r="285" spans="1:20" x14ac:dyDescent="0.3">
      <c r="A285" s="43">
        <v>44530</v>
      </c>
      <c r="B285" s="20" t="s">
        <v>902</v>
      </c>
      <c r="C285" s="20" t="s">
        <v>644</v>
      </c>
      <c r="D285" s="13" t="str">
        <f>VLOOKUP(C:C,'LListat referències'!A:B,2,FALSE)</f>
        <v>Tarro 200ml Quadrat estret (Tapa Rodona)</v>
      </c>
      <c r="E285" s="18">
        <f>VLOOKUP(C:C,'LListat referències'!A:D,4,FALSE)</f>
        <v>0</v>
      </c>
      <c r="F285" s="49">
        <f>VLOOKUP(C:C,'LListat referències'!A:E,5,FALSE)</f>
        <v>220.84</v>
      </c>
      <c r="G285" s="49">
        <v>112.6</v>
      </c>
      <c r="H285" s="1" t="s">
        <v>7</v>
      </c>
      <c r="I285" s="25"/>
      <c r="J285" s="25">
        <v>31359</v>
      </c>
      <c r="K285" s="25">
        <v>31579</v>
      </c>
      <c r="L285" s="25">
        <v>31812</v>
      </c>
      <c r="M285" s="20">
        <v>41</v>
      </c>
      <c r="N285" s="1">
        <f>Tabla13[[#This Row],[Noche]]-Tabla13[[#This Row],[Mañana ]]</f>
        <v>453</v>
      </c>
      <c r="O285" s="58">
        <v>10</v>
      </c>
      <c r="P285" s="21">
        <f t="shared" si="7"/>
        <v>10</v>
      </c>
      <c r="Q285" s="22">
        <f>Tabla13[[#This Row],[Merma Salas A &amp; B2]]*1000/Tabla13[[#This Row],[Peso gr.]]</f>
        <v>45.28165187466039</v>
      </c>
      <c r="R285" s="52"/>
      <c r="S285" s="24">
        <f>Tabla13[[#This Row],[Total piezas NOK]]/Tabla13[[#This Row],[Cant. Fabricada (uds)]]</f>
        <v>9.9959496412053844E-2</v>
      </c>
    </row>
    <row r="286" spans="1:20" x14ac:dyDescent="0.3">
      <c r="A286" s="43">
        <v>44530</v>
      </c>
      <c r="B286" s="20" t="s">
        <v>914</v>
      </c>
      <c r="C286" s="20" t="s">
        <v>585</v>
      </c>
      <c r="D286" s="13" t="str">
        <f>VLOOKUP(C:C,'LListat referències'!A:B,2,FALSE)</f>
        <v>Tarro 200ml quadrat cònic</v>
      </c>
      <c r="E286" s="18" t="str">
        <f>VLOOKUP(C:C,'LListat referències'!A:D,4,FALSE)</f>
        <v>T083</v>
      </c>
      <c r="F286" s="49">
        <f>VLOOKUP(C:C,'LListat referències'!A:E,5,FALSE)</f>
        <v>233</v>
      </c>
      <c r="G286" s="49">
        <v>111.31</v>
      </c>
      <c r="H286" s="1" t="s">
        <v>7</v>
      </c>
      <c r="I286" s="25"/>
      <c r="J286" s="25"/>
      <c r="K286" s="25"/>
      <c r="L286" s="25"/>
      <c r="M286" s="20">
        <v>51</v>
      </c>
      <c r="N286" s="1">
        <f>Tabla13[[#This Row],[Noche]]-Tabla13[[#This Row],[Mañana ]]</f>
        <v>0</v>
      </c>
      <c r="O286" s="58">
        <v>10</v>
      </c>
      <c r="P286" s="21">
        <f t="shared" si="7"/>
        <v>10</v>
      </c>
      <c r="Q286" s="22">
        <f>Tabla13[[#This Row],[Merma Salas A &amp; B2]]*1000/Tabla13[[#This Row],[Peso gr.]]</f>
        <v>42.918454935622314</v>
      </c>
      <c r="R286" s="52">
        <v>10</v>
      </c>
      <c r="S286" s="24" t="s">
        <v>842</v>
      </c>
    </row>
    <row r="287" spans="1:20" x14ac:dyDescent="0.3">
      <c r="A287" s="43">
        <v>44530</v>
      </c>
      <c r="B287" s="20" t="s">
        <v>771</v>
      </c>
      <c r="C287" s="20" t="s">
        <v>615</v>
      </c>
      <c r="D287" s="13" t="str">
        <f>VLOOKUP(C:C,'LListat referències'!A:B,2,FALSE)</f>
        <v>Tarro 50ml Tinter Quadrat</v>
      </c>
      <c r="E287" s="18" t="str">
        <f>VLOOKUP(C:C,'LListat referències'!A:D,4,FALSE)</f>
        <v>T116</v>
      </c>
      <c r="F287" s="49">
        <f>VLOOKUP(C:C,'LListat referències'!A:E,5,FALSE)</f>
        <v>121.5</v>
      </c>
      <c r="G287" s="49">
        <v>126.1</v>
      </c>
      <c r="H287" s="1" t="s">
        <v>8</v>
      </c>
      <c r="I287" s="25"/>
      <c r="J287" s="25">
        <v>22180</v>
      </c>
      <c r="K287" s="25">
        <v>22558</v>
      </c>
      <c r="L287" s="25">
        <v>23060</v>
      </c>
      <c r="M287" s="20">
        <v>30</v>
      </c>
      <c r="N287" s="1">
        <f>Tabla13[[#This Row],[Noche]]-Tabla13[[#This Row],[Mañana ]]</f>
        <v>880</v>
      </c>
      <c r="O287" s="58">
        <v>15</v>
      </c>
      <c r="P287" s="21">
        <f t="shared" si="7"/>
        <v>15</v>
      </c>
      <c r="Q287" s="22">
        <f>Tabla13[[#This Row],[Merma Salas A &amp; B2]]*1000/Tabla13[[#This Row],[Peso gr.]]</f>
        <v>123.45679012345678</v>
      </c>
      <c r="R287" s="52"/>
      <c r="S287" s="24">
        <f>Tabla13[[#This Row],[Total piezas NOK]]/Tabla13[[#This Row],[Cant. Fabricada (uds)]]</f>
        <v>0.14029180695847362</v>
      </c>
    </row>
    <row r="288" spans="1:20" x14ac:dyDescent="0.3">
      <c r="A288" s="43">
        <v>44530</v>
      </c>
      <c r="B288" s="20" t="s">
        <v>869</v>
      </c>
      <c r="C288" s="20" t="s">
        <v>542</v>
      </c>
      <c r="D288" s="13" t="str">
        <f>VLOOKUP(C:C,'LListat referències'!A:B,2,FALSE)</f>
        <v>Tapa 15ml per tarro Tintero</v>
      </c>
      <c r="E288" s="18" t="str">
        <f>VLOOKUP(C:C,'LListat referències'!A:D,4,FALSE)</f>
        <v>#23</v>
      </c>
      <c r="F288" s="49">
        <f>VLOOKUP(C:C,'LListat referències'!A:E,5,FALSE)</f>
        <v>10</v>
      </c>
      <c r="G288" s="49">
        <v>41.96</v>
      </c>
      <c r="H288" s="1" t="s">
        <v>8</v>
      </c>
      <c r="I288" s="25"/>
      <c r="J288" s="25">
        <v>7376</v>
      </c>
      <c r="K288" s="25">
        <v>8692</v>
      </c>
      <c r="L288" s="25">
        <v>10090</v>
      </c>
      <c r="M288" s="20">
        <v>25</v>
      </c>
      <c r="N288" s="1">
        <f>Tabla13[[#This Row],[Noche]]-Tabla13[[#This Row],[Mañana ]]</f>
        <v>2714</v>
      </c>
      <c r="O288" s="58">
        <v>1.5</v>
      </c>
      <c r="P288" s="21">
        <f t="shared" si="7"/>
        <v>1.5</v>
      </c>
      <c r="Q288" s="22">
        <f>Tabla13[[#This Row],[Merma Salas A &amp; B2]]*1000/Tabla13[[#This Row],[Peso gr.]]</f>
        <v>150</v>
      </c>
      <c r="R288" s="52"/>
      <c r="S288" s="24">
        <f>Tabla13[[#This Row],[Total piezas NOK]]/Tabla13[[#This Row],[Cant. Fabricada (uds)]]</f>
        <v>5.5268975681650699E-2</v>
      </c>
    </row>
    <row r="289" spans="1:20" x14ac:dyDescent="0.3">
      <c r="A289" s="43">
        <v>44530</v>
      </c>
      <c r="B289" s="20" t="s">
        <v>918</v>
      </c>
      <c r="C289" s="20">
        <v>1879</v>
      </c>
      <c r="D289" s="13" t="str">
        <f>VLOOKUP(C:C,'LListat referències'!A:B,2,FALSE)</f>
        <v>Tapa tarro rectagular 50 ml</v>
      </c>
      <c r="E289" s="18" t="str">
        <f>VLOOKUP(C:C,'LListat referències'!A:D,4,FALSE)</f>
        <v>#23 (50 ml)</v>
      </c>
      <c r="F289" s="49">
        <f>VLOOKUP(C:C,'LListat referències'!A:E,5,FALSE)</f>
        <v>22.6</v>
      </c>
      <c r="G289" s="49">
        <v>73.69</v>
      </c>
      <c r="H289" s="1" t="s">
        <v>8</v>
      </c>
      <c r="I289" s="25"/>
      <c r="J289" s="25">
        <v>26880</v>
      </c>
      <c r="K289" s="25">
        <v>27696</v>
      </c>
      <c r="L289" s="25">
        <v>28366</v>
      </c>
      <c r="M289" s="20">
        <v>20</v>
      </c>
      <c r="N289" s="1">
        <f>Tabla13[[#This Row],[Noche]]-Tabla13[[#This Row],[Mañana ]]</f>
        <v>1486</v>
      </c>
      <c r="O289" s="58">
        <v>3</v>
      </c>
      <c r="P289" s="21">
        <f t="shared" si="7"/>
        <v>3</v>
      </c>
      <c r="Q289" s="22">
        <f>Tabla13[[#This Row],[Merma Salas A &amp; B2]]*1000/Tabla13[[#This Row],[Peso gr.]]</f>
        <v>132.74336283185841</v>
      </c>
      <c r="R289" s="52"/>
      <c r="S289" s="24">
        <f>Tabla13[[#This Row],[Total piezas NOK]]/Tabla13[[#This Row],[Cant. Fabricada (uds)]]</f>
        <v>8.9329315499231773E-2</v>
      </c>
    </row>
    <row r="290" spans="1:20" x14ac:dyDescent="0.3">
      <c r="A290" s="43">
        <v>44530</v>
      </c>
      <c r="B290" s="20" t="s">
        <v>928</v>
      </c>
      <c r="C290" s="20">
        <v>1899</v>
      </c>
      <c r="D290" s="13" t="str">
        <f>VLOOKUP(C:C,'LListat referències'!A:B,2,FALSE)</f>
        <v>Tarro 200ml Quadrat amb vàlvula</v>
      </c>
      <c r="E290" s="18" t="str">
        <f>VLOOKUP(C:C,'LListat referències'!A:D,4,FALSE)</f>
        <v>T055</v>
      </c>
      <c r="F290" s="49">
        <v>233.33</v>
      </c>
      <c r="G290" s="49">
        <v>115.12</v>
      </c>
      <c r="H290" s="1" t="s">
        <v>7</v>
      </c>
      <c r="I290" s="25"/>
      <c r="J290" s="25"/>
      <c r="K290" s="25"/>
      <c r="L290" s="25"/>
      <c r="M290" s="20">
        <v>7</v>
      </c>
      <c r="N290" s="1">
        <f>Tabla13[[#This Row],[Noche]]-Tabla13[[#This Row],[Mañana ]]</f>
        <v>0</v>
      </c>
      <c r="O290" s="58">
        <v>140</v>
      </c>
      <c r="P290" s="21">
        <f t="shared" si="7"/>
        <v>140</v>
      </c>
      <c r="Q290" s="22">
        <f>Tabla13[[#This Row],[Merma Salas A &amp; B2]]*1000/Tabla13[[#This Row],[Peso gr.]]</f>
        <v>600.0085715510221</v>
      </c>
      <c r="R290" s="52">
        <v>140</v>
      </c>
      <c r="S290" s="24" t="s">
        <v>842</v>
      </c>
      <c r="T290" s="19" t="s">
        <v>929</v>
      </c>
    </row>
    <row r="291" spans="1:20" x14ac:dyDescent="0.3">
      <c r="A291" s="43">
        <v>44531</v>
      </c>
      <c r="B291" s="20" t="s">
        <v>893</v>
      </c>
      <c r="C291" s="20">
        <v>1809</v>
      </c>
      <c r="D291" s="13" t="str">
        <f>VLOOKUP(C:C,'LListat referències'!A:B,2,FALSE)</f>
        <v>Tarro 200ml mónaco</v>
      </c>
      <c r="E291" s="18" t="str">
        <f>VLOOKUP(C:C,'LListat referències'!A:D,4,FALSE)</f>
        <v>T060</v>
      </c>
      <c r="F291" s="49">
        <f>VLOOKUP(C:C,'LListat referències'!A:E,5,FALSE)</f>
        <v>47.15</v>
      </c>
      <c r="G291" s="49">
        <v>82.5</v>
      </c>
      <c r="H291" s="1" t="s">
        <v>7</v>
      </c>
      <c r="I291" s="25"/>
      <c r="J291" s="25">
        <v>20064</v>
      </c>
      <c r="K291" s="25">
        <v>21304</v>
      </c>
      <c r="L291" s="25">
        <v>22724</v>
      </c>
      <c r="M291" s="20">
        <v>39</v>
      </c>
      <c r="N291" s="1">
        <f>Tabla13[[#This Row],[Noche]]-Tabla13[[#This Row],[Mañana ]]</f>
        <v>2660</v>
      </c>
      <c r="O291" s="58">
        <v>10</v>
      </c>
      <c r="P291" s="21">
        <f t="shared" si="7"/>
        <v>10</v>
      </c>
      <c r="Q291" s="22">
        <f>Tabla13[[#This Row],[Merma Salas A &amp; B2]]*1000/Tabla13[[#This Row],[Peso gr.]]</f>
        <v>212.08907741251326</v>
      </c>
      <c r="R291" s="52"/>
      <c r="S291" s="24">
        <f>Tabla13[[#This Row],[Total piezas NOK]]/Tabla13[[#This Row],[Cant. Fabricada (uds)]]</f>
        <v>7.9732735869365884E-2</v>
      </c>
    </row>
    <row r="292" spans="1:20" x14ac:dyDescent="0.3">
      <c r="A292" s="43">
        <v>44531</v>
      </c>
      <c r="B292" s="20" t="s">
        <v>896</v>
      </c>
      <c r="C292" s="20" t="s">
        <v>604</v>
      </c>
      <c r="D292" s="13" t="str">
        <f>VLOOKUP(C:C,'LListat referències'!A:B,2,FALSE)</f>
        <v>Tapa gota gruixuda</v>
      </c>
      <c r="E292" s="18" t="str">
        <f>VLOOKUP(C:C,'LListat referències'!A:D,4,FALSE)</f>
        <v>#40</v>
      </c>
      <c r="F292" s="49">
        <f>VLOOKUP(C:C,'LListat referències'!A:E,5,FALSE)</f>
        <v>54.1</v>
      </c>
      <c r="G292" s="49">
        <v>114.02</v>
      </c>
      <c r="H292" s="1" t="s">
        <v>8</v>
      </c>
      <c r="I292" s="25"/>
      <c r="J292" s="25">
        <v>3404</v>
      </c>
      <c r="K292" s="25">
        <v>4372</v>
      </c>
      <c r="L292" s="25">
        <v>5400</v>
      </c>
      <c r="M292" s="20">
        <v>45</v>
      </c>
      <c r="N292" s="1">
        <f>Tabla13[[#This Row],[Noche]]-Tabla13[[#This Row],[Mañana ]]</f>
        <v>1996</v>
      </c>
      <c r="O292" s="58">
        <v>10</v>
      </c>
      <c r="P292" s="21">
        <f t="shared" si="7"/>
        <v>10</v>
      </c>
      <c r="Q292" s="22">
        <f>Tabla13[[#This Row],[Merma Salas A &amp; B2]]*1000/Tabla13[[#This Row],[Peso gr.]]</f>
        <v>184.84288354898337</v>
      </c>
      <c r="R292" s="52"/>
      <c r="S292" s="24">
        <f>Tabla13[[#This Row],[Total piezas NOK]]/Tabla13[[#This Row],[Cant. Fabricada (uds)]]</f>
        <v>9.260665508466101E-2</v>
      </c>
    </row>
    <row r="293" spans="1:20" x14ac:dyDescent="0.3">
      <c r="A293" s="43">
        <v>44531</v>
      </c>
      <c r="B293" s="20" t="s">
        <v>899</v>
      </c>
      <c r="C293" s="20" t="s">
        <v>478</v>
      </c>
      <c r="D293" s="13" t="str">
        <f>VLOOKUP(C:C,'LListat referències'!A:B,2,FALSE)</f>
        <v xml:space="preserve">Tarro 50 ml labiomar </v>
      </c>
      <c r="E293" s="18" t="str">
        <f>VLOOKUP(C:C,'LListat referències'!A:D,4,FALSE)</f>
        <v>T079</v>
      </c>
      <c r="F293" s="49">
        <f>VLOOKUP(C:C,'LListat referències'!A:E,5,FALSE)</f>
        <v>82.7</v>
      </c>
      <c r="G293" s="49">
        <v>103.83</v>
      </c>
      <c r="H293" s="1" t="s">
        <v>8</v>
      </c>
      <c r="I293" s="25"/>
      <c r="J293" s="25">
        <v>17667</v>
      </c>
      <c r="K293" s="25">
        <v>18435</v>
      </c>
      <c r="L293" s="25">
        <v>19302</v>
      </c>
      <c r="M293" s="20">
        <v>44</v>
      </c>
      <c r="N293" s="1">
        <f>Tabla13[[#This Row],[Noche]]-Tabla13[[#This Row],[Mañana ]]</f>
        <v>1635</v>
      </c>
      <c r="O293" s="58">
        <v>30</v>
      </c>
      <c r="P293" s="21">
        <f t="shared" si="7"/>
        <v>30</v>
      </c>
      <c r="Q293" s="22">
        <f>Tabla13[[#This Row],[Merma Salas A &amp; B2]]*1000/Tabla13[[#This Row],[Peso gr.]]</f>
        <v>362.7569528415961</v>
      </c>
      <c r="R293" s="52"/>
      <c r="S293" s="24">
        <f>Tabla13[[#This Row],[Total piezas NOK]]/Tabla13[[#This Row],[Cant. Fabricada (uds)]]</f>
        <v>0.22186969592758171</v>
      </c>
    </row>
    <row r="294" spans="1:20" x14ac:dyDescent="0.3">
      <c r="A294" s="43">
        <v>44531</v>
      </c>
      <c r="B294" s="20" t="s">
        <v>903</v>
      </c>
      <c r="C294" s="20" t="s">
        <v>644</v>
      </c>
      <c r="D294" s="13" t="str">
        <f>VLOOKUP(C:C,'LListat referències'!A:B,2,FALSE)</f>
        <v>Tarro 200ml Quadrat estret (Tapa Rodona)</v>
      </c>
      <c r="E294" s="18">
        <f>VLOOKUP(C:C,'LListat referències'!A:D,4,FALSE)</f>
        <v>0</v>
      </c>
      <c r="F294" s="49">
        <f>VLOOKUP(C:C,'LListat referències'!A:E,5,FALSE)</f>
        <v>220.84</v>
      </c>
      <c r="G294" s="49">
        <v>112.6</v>
      </c>
      <c r="H294" s="1" t="s">
        <v>7</v>
      </c>
      <c r="I294" s="25"/>
      <c r="J294" s="25">
        <v>32087</v>
      </c>
      <c r="K294" s="25">
        <v>32279</v>
      </c>
      <c r="L294" s="25">
        <v>32520</v>
      </c>
      <c r="M294" s="20">
        <v>41</v>
      </c>
      <c r="N294" s="1">
        <f>Tabla13[[#This Row],[Noche]]-Tabla13[[#This Row],[Mañana ]]</f>
        <v>433</v>
      </c>
      <c r="O294" s="58">
        <v>10</v>
      </c>
      <c r="P294" s="21">
        <f t="shared" si="7"/>
        <v>10</v>
      </c>
      <c r="Q294" s="22">
        <f>Tabla13[[#This Row],[Merma Salas A &amp; B2]]*1000/Tabla13[[#This Row],[Peso gr.]]</f>
        <v>45.28165187466039</v>
      </c>
      <c r="R294" s="52"/>
      <c r="S294" s="24">
        <f>Tabla13[[#This Row],[Total piezas NOK]]/Tabla13[[#This Row],[Cant. Fabricada (uds)]]</f>
        <v>0.10457656322092469</v>
      </c>
    </row>
    <row r="295" spans="1:20" x14ac:dyDescent="0.3">
      <c r="A295" s="43">
        <v>44531</v>
      </c>
      <c r="B295" s="20" t="s">
        <v>761</v>
      </c>
      <c r="C295" s="20" t="s">
        <v>657</v>
      </c>
      <c r="D295" s="13" t="str">
        <f>VLOOKUP(C:C,'LListat referències'!A:B,2,FALSE)</f>
        <v>Tapa simple 200ml baixa prima</v>
      </c>
      <c r="E295" s="18" t="str">
        <f>VLOOKUP(C:C,'LListat referències'!A:D,4,FALSE)</f>
        <v>#45</v>
      </c>
      <c r="F295" s="49">
        <f>VLOOKUP(C:C,'LListat referències'!A:E,5,FALSE)</f>
        <v>3.73</v>
      </c>
      <c r="G295" s="49">
        <v>37.909999999999997</v>
      </c>
      <c r="H295" s="1" t="s">
        <v>764</v>
      </c>
      <c r="I295" s="25"/>
      <c r="J295" s="25">
        <v>2870</v>
      </c>
      <c r="K295" s="25">
        <v>3748</v>
      </c>
      <c r="L295" s="25">
        <v>4878</v>
      </c>
      <c r="M295" s="20">
        <v>19</v>
      </c>
      <c r="N295" s="1">
        <f>Tabla13[[#This Row],[Noche]]-Tabla13[[#This Row],[Mañana ]]</f>
        <v>2008</v>
      </c>
      <c r="O295" s="58"/>
      <c r="P295" s="21">
        <f t="shared" si="7"/>
        <v>0</v>
      </c>
      <c r="Q295" s="22">
        <f>Tabla13[[#This Row],[Merma Salas A &amp; B2]]*1000/Tabla13[[#This Row],[Peso gr.]]</f>
        <v>0</v>
      </c>
      <c r="R295" s="52"/>
      <c r="S295" s="24">
        <f>Tabla13[[#This Row],[Total piezas NOK]]/Tabla13[[#This Row],[Cant. Fabricada (uds)]]</f>
        <v>0</v>
      </c>
    </row>
    <row r="296" spans="1:20" x14ac:dyDescent="0.3">
      <c r="A296" s="43">
        <v>44531</v>
      </c>
      <c r="B296" s="20" t="s">
        <v>914</v>
      </c>
      <c r="C296" s="20" t="s">
        <v>585</v>
      </c>
      <c r="D296" s="13" t="str">
        <f>VLOOKUP(C:C,'LListat referències'!A:B,2,FALSE)</f>
        <v>Tarro 200ml quadrat cònic</v>
      </c>
      <c r="E296" s="18" t="str">
        <f>VLOOKUP(C:C,'LListat referències'!A:D,4,FALSE)</f>
        <v>T083</v>
      </c>
      <c r="F296" s="49">
        <f>VLOOKUP(C:C,'LListat referències'!A:E,5,FALSE)</f>
        <v>233</v>
      </c>
      <c r="G296" s="49">
        <v>111.31</v>
      </c>
      <c r="H296" s="1" t="s">
        <v>7</v>
      </c>
      <c r="I296" s="25"/>
      <c r="J296" s="25"/>
      <c r="K296" s="25"/>
      <c r="L296" s="25"/>
      <c r="M296" s="20">
        <v>51</v>
      </c>
      <c r="N296" s="1">
        <f>Tabla13[[#This Row],[Noche]]-Tabla13[[#This Row],[Mañana ]]</f>
        <v>0</v>
      </c>
      <c r="O296" s="58">
        <v>5</v>
      </c>
      <c r="P296" s="21">
        <f t="shared" si="7"/>
        <v>5</v>
      </c>
      <c r="Q296" s="22">
        <f>Tabla13[[#This Row],[Merma Salas A &amp; B2]]*1000/Tabla13[[#This Row],[Peso gr.]]</f>
        <v>21.459227467811157</v>
      </c>
      <c r="R296" s="52">
        <v>5</v>
      </c>
      <c r="S296" s="24" t="s">
        <v>842</v>
      </c>
    </row>
    <row r="297" spans="1:20" x14ac:dyDescent="0.3">
      <c r="A297" s="43">
        <v>44531</v>
      </c>
      <c r="B297" s="20" t="s">
        <v>771</v>
      </c>
      <c r="C297" s="20" t="s">
        <v>615</v>
      </c>
      <c r="D297" s="13" t="str">
        <f>VLOOKUP(C:C,'LListat referències'!A:B,2,FALSE)</f>
        <v>Tarro 50ml Tinter Quadrat</v>
      </c>
      <c r="E297" s="18" t="str">
        <f>VLOOKUP(C:C,'LListat referències'!A:D,4,FALSE)</f>
        <v>T116</v>
      </c>
      <c r="F297" s="49">
        <f>VLOOKUP(C:C,'LListat referències'!A:E,5,FALSE)</f>
        <v>121.5</v>
      </c>
      <c r="G297" s="49">
        <v>126.1</v>
      </c>
      <c r="H297" s="1" t="s">
        <v>8</v>
      </c>
      <c r="I297" s="25"/>
      <c r="J297" s="25">
        <v>23098</v>
      </c>
      <c r="K297" s="25">
        <v>23288</v>
      </c>
      <c r="L297" s="25">
        <v>23756</v>
      </c>
      <c r="M297" s="20">
        <v>30</v>
      </c>
      <c r="N297" s="1">
        <f>Tabla13[[#This Row],[Noche]]-Tabla13[[#This Row],[Mañana ]]</f>
        <v>658</v>
      </c>
      <c r="O297" s="58">
        <v>5</v>
      </c>
      <c r="P297" s="21">
        <f t="shared" si="7"/>
        <v>5</v>
      </c>
      <c r="Q297" s="22">
        <f>Tabla13[[#This Row],[Merma Salas A &amp; B2]]*1000/Tabla13[[#This Row],[Peso gr.]]</f>
        <v>41.152263374485599</v>
      </c>
      <c r="R297" s="52"/>
      <c r="S297" s="24">
        <f>Tabla13[[#This Row],[Total piezas NOK]]/Tabla13[[#This Row],[Cant. Fabricada (uds)]]</f>
        <v>6.2541433699826135E-2</v>
      </c>
    </row>
    <row r="298" spans="1:20" x14ac:dyDescent="0.3">
      <c r="A298" s="43">
        <v>44531</v>
      </c>
      <c r="B298" s="20" t="s">
        <v>869</v>
      </c>
      <c r="C298" s="20" t="s">
        <v>542</v>
      </c>
      <c r="D298" s="13" t="str">
        <f>VLOOKUP(C:C,'LListat referències'!A:B,2,FALSE)</f>
        <v>Tapa 15ml per tarro Tintero</v>
      </c>
      <c r="E298" s="18" t="str">
        <f>VLOOKUP(C:C,'LListat referències'!A:D,4,FALSE)</f>
        <v>#23</v>
      </c>
      <c r="F298" s="49">
        <f>VLOOKUP(C:C,'LListat referències'!A:E,5,FALSE)</f>
        <v>10</v>
      </c>
      <c r="G298" s="49">
        <v>41.96</v>
      </c>
      <c r="H298" s="1" t="s">
        <v>8</v>
      </c>
      <c r="I298" s="25"/>
      <c r="J298" s="25">
        <v>11556</v>
      </c>
      <c r="K298" s="25">
        <v>12806</v>
      </c>
      <c r="L298" s="25">
        <v>13186</v>
      </c>
      <c r="M298" s="20">
        <v>25</v>
      </c>
      <c r="N298" s="1">
        <f>Tabla13[[#This Row],[Noche]]-Tabla13[[#This Row],[Mañana ]]</f>
        <v>1630</v>
      </c>
      <c r="O298" s="58">
        <v>2</v>
      </c>
      <c r="P298" s="21">
        <f t="shared" si="7"/>
        <v>2</v>
      </c>
      <c r="Q298" s="22">
        <f>Tabla13[[#This Row],[Merma Salas A &amp; B2]]*1000/Tabla13[[#This Row],[Peso gr.]]</f>
        <v>200</v>
      </c>
      <c r="R298" s="52"/>
      <c r="S298" s="24">
        <f>Tabla13[[#This Row],[Total piezas NOK]]/Tabla13[[#This Row],[Cant. Fabricada (uds)]]</f>
        <v>0.12269938650306748</v>
      </c>
    </row>
    <row r="299" spans="1:20" x14ac:dyDescent="0.3">
      <c r="A299" s="43">
        <v>44531</v>
      </c>
      <c r="B299" s="20" t="s">
        <v>919</v>
      </c>
      <c r="C299" s="20">
        <v>1879</v>
      </c>
      <c r="D299" s="13" t="str">
        <f>VLOOKUP(C:C,'LListat referències'!A:B,2,FALSE)</f>
        <v>Tapa tarro rectagular 50 ml</v>
      </c>
      <c r="E299" s="18" t="str">
        <f>VLOOKUP(C:C,'LListat referències'!A:D,4,FALSE)</f>
        <v>#23 (50 ml)</v>
      </c>
      <c r="F299" s="49">
        <f>VLOOKUP(C:C,'LListat referències'!A:E,5,FALSE)</f>
        <v>22.6</v>
      </c>
      <c r="G299" s="49">
        <v>73.69</v>
      </c>
      <c r="H299" s="1" t="s">
        <v>8</v>
      </c>
      <c r="I299" s="25"/>
      <c r="J299" s="25">
        <v>29192</v>
      </c>
      <c r="K299" s="25">
        <v>29910</v>
      </c>
      <c r="L299" s="25">
        <v>30728</v>
      </c>
      <c r="M299" s="20">
        <v>20</v>
      </c>
      <c r="N299" s="1">
        <f>Tabla13[[#This Row],[Noche]]-Tabla13[[#This Row],[Mañana ]]</f>
        <v>1536</v>
      </c>
      <c r="O299" s="58">
        <v>3</v>
      </c>
      <c r="P299" s="21">
        <f t="shared" si="7"/>
        <v>3</v>
      </c>
      <c r="Q299" s="22">
        <f>Tabla13[[#This Row],[Merma Salas A &amp; B2]]*1000/Tabla13[[#This Row],[Peso gr.]]</f>
        <v>132.74336283185841</v>
      </c>
      <c r="R299" s="52"/>
      <c r="S299" s="24">
        <f>Tabla13[[#This Row],[Total piezas NOK]]/Tabla13[[#This Row],[Cant. Fabricada (uds)]]</f>
        <v>8.6421460176991149E-2</v>
      </c>
    </row>
    <row r="300" spans="1:20" x14ac:dyDescent="0.3">
      <c r="A300" s="43">
        <v>44532</v>
      </c>
      <c r="B300" s="20" t="s">
        <v>893</v>
      </c>
      <c r="C300" s="20">
        <v>1809</v>
      </c>
      <c r="D300" s="13" t="str">
        <f>VLOOKUP(C:C,'LListat referències'!A:B,2,FALSE)</f>
        <v>Tarro 200ml mónaco</v>
      </c>
      <c r="E300" s="18" t="str">
        <f>VLOOKUP(C:C,'LListat referències'!A:D,4,FALSE)</f>
        <v>T060</v>
      </c>
      <c r="F300" s="49">
        <f>VLOOKUP(C:C,'LListat referències'!A:E,5,FALSE)</f>
        <v>47.15</v>
      </c>
      <c r="G300" s="49">
        <v>82.5</v>
      </c>
      <c r="H300" s="1" t="s">
        <v>7</v>
      </c>
      <c r="I300" s="25"/>
      <c r="J300" s="25">
        <v>22724</v>
      </c>
      <c r="K300" s="25"/>
      <c r="L300" s="25">
        <v>23702</v>
      </c>
      <c r="M300" s="20">
        <v>39</v>
      </c>
      <c r="N300" s="1">
        <f>Tabla13[[#This Row],[Noche]]-Tabla13[[#This Row],[Mañana ]]</f>
        <v>978</v>
      </c>
      <c r="O300" s="58"/>
      <c r="P300" s="21">
        <f t="shared" si="7"/>
        <v>0</v>
      </c>
      <c r="Q300" s="22">
        <f>Tabla13[[#This Row],[Merma Salas A &amp; B2]]*1000/Tabla13[[#This Row],[Peso gr.]]</f>
        <v>0</v>
      </c>
      <c r="R300" s="52"/>
      <c r="S300" s="24">
        <f>Tabla13[[#This Row],[Total piezas NOK]]/Tabla13[[#This Row],[Cant. Fabricada (uds)]]</f>
        <v>0</v>
      </c>
    </row>
    <row r="301" spans="1:20" x14ac:dyDescent="0.3">
      <c r="A301" s="43">
        <v>44532</v>
      </c>
      <c r="B301" s="20" t="s">
        <v>896</v>
      </c>
      <c r="C301" s="20" t="s">
        <v>604</v>
      </c>
      <c r="D301" s="13" t="str">
        <f>VLOOKUP(C:C,'LListat referències'!A:B,2,FALSE)</f>
        <v>Tapa gota gruixuda</v>
      </c>
      <c r="E301" s="18" t="str">
        <f>VLOOKUP(C:C,'LListat referències'!A:D,4,FALSE)</f>
        <v>#40</v>
      </c>
      <c r="F301" s="49">
        <f>VLOOKUP(C:C,'LListat referències'!A:E,5,FALSE)</f>
        <v>54.1</v>
      </c>
      <c r="G301" s="49">
        <v>114.02</v>
      </c>
      <c r="H301" s="1" t="s">
        <v>8</v>
      </c>
      <c r="I301" s="25"/>
      <c r="J301" s="25"/>
      <c r="K301" s="25"/>
      <c r="L301" s="25"/>
      <c r="M301" s="20">
        <v>45</v>
      </c>
      <c r="N301" s="1">
        <f>Tabla13[[#This Row],[Noche]]-Tabla13[[#This Row],[Mañana ]]</f>
        <v>0</v>
      </c>
      <c r="O301" s="58">
        <v>20</v>
      </c>
      <c r="P301" s="21">
        <f t="shared" si="7"/>
        <v>20</v>
      </c>
      <c r="Q301" s="22">
        <f>Tabla13[[#This Row],[Merma Salas A &amp; B2]]*1000/Tabla13[[#This Row],[Peso gr.]]</f>
        <v>369.68576709796673</v>
      </c>
      <c r="R301" s="52">
        <v>20</v>
      </c>
      <c r="S301" s="24" t="s">
        <v>842</v>
      </c>
      <c r="T301" s="19" t="s">
        <v>898</v>
      </c>
    </row>
    <row r="302" spans="1:20" x14ac:dyDescent="0.3">
      <c r="A302" s="43">
        <v>44532</v>
      </c>
      <c r="B302" s="20" t="s">
        <v>899</v>
      </c>
      <c r="C302" s="20" t="s">
        <v>478</v>
      </c>
      <c r="D302" s="13" t="str">
        <f>VLOOKUP(C:C,'LListat referències'!A:B,2,FALSE)</f>
        <v xml:space="preserve">Tarro 50 ml labiomar </v>
      </c>
      <c r="E302" s="18" t="str">
        <f>VLOOKUP(C:C,'LListat referències'!A:D,4,FALSE)</f>
        <v>T079</v>
      </c>
      <c r="F302" s="49">
        <f>VLOOKUP(C:C,'LListat referències'!A:E,5,FALSE)</f>
        <v>82.7</v>
      </c>
      <c r="G302" s="49">
        <v>103.83</v>
      </c>
      <c r="H302" s="1" t="s">
        <v>8</v>
      </c>
      <c r="I302" s="25"/>
      <c r="J302" s="25"/>
      <c r="K302" s="25"/>
      <c r="L302" s="25"/>
      <c r="M302" s="20">
        <v>44</v>
      </c>
      <c r="N302" s="1">
        <f>Tabla13[[#This Row],[Noche]]-Tabla13[[#This Row],[Mañana ]]</f>
        <v>0</v>
      </c>
      <c r="O302" s="58">
        <v>45</v>
      </c>
      <c r="P302" s="21">
        <f t="shared" si="7"/>
        <v>45</v>
      </c>
      <c r="Q302" s="22">
        <f>Tabla13[[#This Row],[Merma Salas A &amp; B2]]*1000/Tabla13[[#This Row],[Peso gr.]]</f>
        <v>544.13542926239415</v>
      </c>
      <c r="R302" s="52">
        <v>45</v>
      </c>
      <c r="S302" s="24" t="s">
        <v>842</v>
      </c>
      <c r="T302" s="19" t="s">
        <v>900</v>
      </c>
    </row>
    <row r="303" spans="1:20" x14ac:dyDescent="0.3">
      <c r="A303" s="43">
        <v>44532</v>
      </c>
      <c r="B303" s="20" t="s">
        <v>904</v>
      </c>
      <c r="C303" s="20" t="s">
        <v>644</v>
      </c>
      <c r="D303" s="13" t="str">
        <f>VLOOKUP(C:C,'LListat referències'!A:B,2,FALSE)</f>
        <v>Tarro 200ml Quadrat estret (Tapa Rodona)</v>
      </c>
      <c r="E303" s="18">
        <f>VLOOKUP(C:C,'LListat referències'!A:D,4,FALSE)</f>
        <v>0</v>
      </c>
      <c r="F303" s="49">
        <f>VLOOKUP(C:C,'LListat referències'!A:E,5,FALSE)</f>
        <v>220.84</v>
      </c>
      <c r="G303" s="49">
        <v>112.6</v>
      </c>
      <c r="H303" s="1" t="s">
        <v>7</v>
      </c>
      <c r="I303" s="25"/>
      <c r="J303" s="25">
        <v>32756</v>
      </c>
      <c r="K303" s="25">
        <v>32973</v>
      </c>
      <c r="L303" s="25">
        <v>33210</v>
      </c>
      <c r="M303" s="20">
        <v>41</v>
      </c>
      <c r="N303" s="1">
        <f>Tabla13[[#This Row],[Noche]]-Tabla13[[#This Row],[Mañana ]]</f>
        <v>454</v>
      </c>
      <c r="O303" s="58">
        <v>4</v>
      </c>
      <c r="P303" s="21">
        <f t="shared" si="7"/>
        <v>4</v>
      </c>
      <c r="Q303" s="22">
        <f>Tabla13[[#This Row],[Merma Salas A &amp; B2]]*1000/Tabla13[[#This Row],[Peso gr.]]</f>
        <v>18.112660749864155</v>
      </c>
      <c r="R303" s="52">
        <v>40</v>
      </c>
      <c r="S303" s="24">
        <f>Tabla13[[#This Row],[Total piezas NOK]]/Tabla13[[#This Row],[Cant. Fabricada (uds)]]</f>
        <v>3.9895728523929856E-2</v>
      </c>
    </row>
    <row r="304" spans="1:20" x14ac:dyDescent="0.3">
      <c r="A304" s="43">
        <v>44532</v>
      </c>
      <c r="B304" s="20" t="s">
        <v>761</v>
      </c>
      <c r="C304" s="20" t="s">
        <v>657</v>
      </c>
      <c r="D304" s="13" t="str">
        <f>VLOOKUP(C:C,'LListat referències'!A:B,2,FALSE)</f>
        <v>Tapa simple 200ml baixa prima</v>
      </c>
      <c r="E304" s="18" t="str">
        <f>VLOOKUP(C:C,'LListat referències'!A:D,4,FALSE)</f>
        <v>#45</v>
      </c>
      <c r="F304" s="49">
        <f>VLOOKUP(C:C,'LListat referències'!A:E,5,FALSE)</f>
        <v>3.73</v>
      </c>
      <c r="G304" s="49">
        <v>37.909999999999997</v>
      </c>
      <c r="H304" s="1" t="s">
        <v>764</v>
      </c>
      <c r="I304" s="25"/>
      <c r="J304" s="25">
        <v>6356</v>
      </c>
      <c r="K304" s="25">
        <v>7786</v>
      </c>
      <c r="L304" s="25">
        <v>9326</v>
      </c>
      <c r="M304" s="20">
        <v>19</v>
      </c>
      <c r="N304" s="1">
        <f>Tabla13[[#This Row],[Noche]]-Tabla13[[#This Row],[Mañana ]]</f>
        <v>2970</v>
      </c>
      <c r="O304" s="58"/>
      <c r="P304" s="21">
        <f t="shared" si="7"/>
        <v>0</v>
      </c>
      <c r="Q304" s="22">
        <f>Tabla13[[#This Row],[Merma Salas A &amp; B2]]*1000/Tabla13[[#This Row],[Peso gr.]]</f>
        <v>0</v>
      </c>
      <c r="R304" s="52"/>
      <c r="S304" s="24">
        <f>Tabla13[[#This Row],[Total piezas NOK]]/Tabla13[[#This Row],[Cant. Fabricada (uds)]]</f>
        <v>0</v>
      </c>
    </row>
    <row r="305" spans="1:20" x14ac:dyDescent="0.3">
      <c r="A305" s="43">
        <v>44532</v>
      </c>
      <c r="B305" s="20" t="s">
        <v>802</v>
      </c>
      <c r="C305" s="20" t="s">
        <v>615</v>
      </c>
      <c r="D305" s="13" t="str">
        <f>VLOOKUP(C:C,'LListat referències'!A:B,2,FALSE)</f>
        <v>Tarro 50ml Tinter Quadrat</v>
      </c>
      <c r="E305" s="18" t="str">
        <f>VLOOKUP(C:C,'LListat referències'!A:D,4,FALSE)</f>
        <v>T116</v>
      </c>
      <c r="F305" s="49">
        <f>VLOOKUP(C:C,'LListat referències'!A:E,5,FALSE)</f>
        <v>121.5</v>
      </c>
      <c r="G305" s="49">
        <v>126.1</v>
      </c>
      <c r="H305" s="1" t="s">
        <v>8</v>
      </c>
      <c r="I305" s="25"/>
      <c r="J305" s="25">
        <v>24210</v>
      </c>
      <c r="K305" s="25">
        <v>24642</v>
      </c>
      <c r="L305" s="25">
        <v>25098</v>
      </c>
      <c r="M305" s="20">
        <v>30</v>
      </c>
      <c r="N305" s="1">
        <f>Tabla13[[#This Row],[Noche]]-Tabla13[[#This Row],[Mañana ]]</f>
        <v>888</v>
      </c>
      <c r="O305" s="58">
        <v>45</v>
      </c>
      <c r="P305" s="21">
        <f t="shared" si="7"/>
        <v>45</v>
      </c>
      <c r="Q305" s="22">
        <f>Tabla13[[#This Row],[Merma Salas A &amp; B2]]*1000/Tabla13[[#This Row],[Peso gr.]]</f>
        <v>370.37037037037038</v>
      </c>
      <c r="R305" s="52">
        <v>45</v>
      </c>
      <c r="S305" s="24">
        <f>Tabla13[[#This Row],[Total piezas NOK]]/Tabla13[[#This Row],[Cant. Fabricada (uds)]]</f>
        <v>0.41708375041708379</v>
      </c>
    </row>
    <row r="306" spans="1:20" x14ac:dyDescent="0.3">
      <c r="A306" s="43">
        <v>44532</v>
      </c>
      <c r="B306" s="20" t="s">
        <v>920</v>
      </c>
      <c r="C306" s="20">
        <v>1879</v>
      </c>
      <c r="D306" s="13" t="str">
        <f>VLOOKUP(C:C,'LListat referències'!A:B,2,FALSE)</f>
        <v>Tapa tarro rectagular 50 ml</v>
      </c>
      <c r="E306" s="18" t="str">
        <f>VLOOKUP(C:C,'LListat referències'!A:D,4,FALSE)</f>
        <v>#23 (50 ml)</v>
      </c>
      <c r="F306" s="49">
        <f>VLOOKUP(C:C,'LListat referències'!A:E,5,FALSE)</f>
        <v>22.6</v>
      </c>
      <c r="G306" s="49">
        <v>73.69</v>
      </c>
      <c r="H306" s="1" t="s">
        <v>8</v>
      </c>
      <c r="I306" s="25"/>
      <c r="J306" s="25">
        <v>31438</v>
      </c>
      <c r="K306" s="25">
        <v>32156</v>
      </c>
      <c r="L306" s="25">
        <v>32934</v>
      </c>
      <c r="M306" s="20">
        <v>20</v>
      </c>
      <c r="N306" s="1">
        <f>Tabla13[[#This Row],[Noche]]-Tabla13[[#This Row],[Mañana ]]</f>
        <v>1496</v>
      </c>
      <c r="O306" s="58">
        <v>2.5</v>
      </c>
      <c r="P306" s="21">
        <f t="shared" si="7"/>
        <v>2.5</v>
      </c>
      <c r="Q306" s="22">
        <f>Tabla13[[#This Row],[Merma Salas A &amp; B2]]*1000/Tabla13[[#This Row],[Peso gr.]]</f>
        <v>110.61946902654867</v>
      </c>
      <c r="R306" s="52"/>
      <c r="S306" s="24">
        <f>Tabla13[[#This Row],[Total piezas NOK]]/Tabla13[[#This Row],[Cant. Fabricada (uds)]]</f>
        <v>7.3943495338602047E-2</v>
      </c>
    </row>
    <row r="307" spans="1:20" x14ac:dyDescent="0.3">
      <c r="A307" s="43">
        <v>44533</v>
      </c>
      <c r="B307" s="20" t="s">
        <v>884</v>
      </c>
      <c r="C307" s="20">
        <v>1861</v>
      </c>
      <c r="D307" s="13" t="str">
        <f>VLOOKUP(C:C,'LListat referències'!A:B,2,FALSE)</f>
        <v>Tarro 50ml Standard 8 unitats</v>
      </c>
      <c r="E307" s="18" t="str">
        <f>VLOOKUP(C:C,'LListat referències'!A:D,4,FALSE)</f>
        <v>T022</v>
      </c>
      <c r="F307" s="49">
        <f>VLOOKUP(C:C,'LListat referències'!A:E,5,FALSE)</f>
        <v>92</v>
      </c>
      <c r="G307" s="49"/>
      <c r="H307" s="1" t="s">
        <v>885</v>
      </c>
      <c r="I307" s="25"/>
      <c r="J307" s="25">
        <v>216</v>
      </c>
      <c r="K307" s="25">
        <v>876</v>
      </c>
      <c r="L307" s="25">
        <v>876</v>
      </c>
      <c r="M307" s="20">
        <v>40</v>
      </c>
      <c r="N307" s="1">
        <f>Tabla13[[#This Row],[Noche]]-Tabla13[[#This Row],[Mañana ]]</f>
        <v>660</v>
      </c>
      <c r="O307" s="58">
        <v>210</v>
      </c>
      <c r="P307" s="21">
        <f t="shared" si="7"/>
        <v>210</v>
      </c>
      <c r="Q307" s="22">
        <f>Tabla13[[#This Row],[Merma Salas A &amp; B2]]*1000/Tabla13[[#This Row],[Peso gr.]]</f>
        <v>2282.608695652174</v>
      </c>
      <c r="R307" s="52">
        <v>210</v>
      </c>
      <c r="S307" s="24">
        <f>Tabla13[[#This Row],[Total piezas NOK]]/Tabla13[[#This Row],[Cant. Fabricada (uds)]]</f>
        <v>3.458498023715415</v>
      </c>
      <c r="T307" s="19" t="s">
        <v>892</v>
      </c>
    </row>
    <row r="308" spans="1:20" x14ac:dyDescent="0.3">
      <c r="A308" s="43">
        <v>44533</v>
      </c>
      <c r="B308" s="20" t="s">
        <v>905</v>
      </c>
      <c r="C308" s="20" t="s">
        <v>644</v>
      </c>
      <c r="D308" s="13" t="str">
        <f>VLOOKUP(C:C,'LListat referències'!A:B,2,FALSE)</f>
        <v>Tarro 200ml Quadrat estret (Tapa Rodona)</v>
      </c>
      <c r="E308" s="18">
        <f>VLOOKUP(C:C,'LListat referències'!A:D,4,FALSE)</f>
        <v>0</v>
      </c>
      <c r="F308" s="49">
        <f>VLOOKUP(C:C,'LListat referències'!A:E,5,FALSE)</f>
        <v>220.84</v>
      </c>
      <c r="G308" s="49">
        <v>112.6</v>
      </c>
      <c r="H308" s="1" t="s">
        <v>7</v>
      </c>
      <c r="I308" s="25"/>
      <c r="J308" s="25">
        <v>33424</v>
      </c>
      <c r="K308" s="25">
        <v>33630</v>
      </c>
      <c r="L308" s="25">
        <v>33825</v>
      </c>
      <c r="M308" s="20">
        <v>41</v>
      </c>
      <c r="N308" s="1">
        <f>Tabla13[[#This Row],[Noche]]-Tabla13[[#This Row],[Mañana ]]</f>
        <v>401</v>
      </c>
      <c r="O308" s="58"/>
      <c r="P308" s="21">
        <f t="shared" si="7"/>
        <v>0</v>
      </c>
      <c r="Q308" s="22">
        <f>Tabla13[[#This Row],[Merma Salas A &amp; B2]]*1000/Tabla13[[#This Row],[Peso gr.]]</f>
        <v>0</v>
      </c>
      <c r="R308" s="52"/>
      <c r="S308" s="24">
        <f>Tabla13[[#This Row],[Total piezas NOK]]/Tabla13[[#This Row],[Cant. Fabricada (uds)]]</f>
        <v>0</v>
      </c>
    </row>
    <row r="309" spans="1:20" x14ac:dyDescent="0.3">
      <c r="A309" s="43">
        <v>44533</v>
      </c>
      <c r="B309" s="20" t="s">
        <v>761</v>
      </c>
      <c r="C309" s="20" t="s">
        <v>657</v>
      </c>
      <c r="D309" s="13" t="str">
        <f>VLOOKUP(C:C,'LListat referències'!A:B,2,FALSE)</f>
        <v>Tapa simple 200ml baixa prima</v>
      </c>
      <c r="E309" s="18" t="str">
        <f>VLOOKUP(C:C,'LListat referències'!A:D,4,FALSE)</f>
        <v>#45</v>
      </c>
      <c r="F309" s="49">
        <f>VLOOKUP(C:C,'LListat referències'!A:E,5,FALSE)</f>
        <v>3.73</v>
      </c>
      <c r="G309" s="49">
        <v>37.909999999999997</v>
      </c>
      <c r="H309" s="1" t="s">
        <v>764</v>
      </c>
      <c r="I309" s="25"/>
      <c r="J309" s="25">
        <v>10986</v>
      </c>
      <c r="K309" s="25">
        <v>11840</v>
      </c>
      <c r="L309" s="25">
        <v>11840</v>
      </c>
      <c r="M309" s="20">
        <v>19</v>
      </c>
      <c r="N309" s="1">
        <f>Tabla13[[#This Row],[Noche]]-Tabla13[[#This Row],[Mañana ]]</f>
        <v>854</v>
      </c>
      <c r="O309" s="58"/>
      <c r="P309" s="21">
        <f t="shared" si="7"/>
        <v>0</v>
      </c>
      <c r="Q309" s="22">
        <f>Tabla13[[#This Row],[Merma Salas A &amp; B2]]*1000/Tabla13[[#This Row],[Peso gr.]]</f>
        <v>0</v>
      </c>
      <c r="R309" s="52"/>
      <c r="S309" s="24">
        <f>Tabla13[[#This Row],[Total piezas NOK]]/Tabla13[[#This Row],[Cant. Fabricada (uds)]]</f>
        <v>0</v>
      </c>
    </row>
    <row r="310" spans="1:20" x14ac:dyDescent="0.3">
      <c r="A310" s="43">
        <v>44533</v>
      </c>
      <c r="B310" s="20" t="s">
        <v>871</v>
      </c>
      <c r="C310" s="20" t="s">
        <v>615</v>
      </c>
      <c r="D310" s="13" t="str">
        <f>VLOOKUP(C:C,'LListat referències'!A:B,2,FALSE)</f>
        <v>Tarro 50ml Tinter Quadrat</v>
      </c>
      <c r="E310" s="18" t="str">
        <f>VLOOKUP(C:C,'LListat referències'!A:D,4,FALSE)</f>
        <v>T116</v>
      </c>
      <c r="F310" s="49">
        <f>VLOOKUP(C:C,'LListat referències'!A:E,5,FALSE)</f>
        <v>121.5</v>
      </c>
      <c r="G310" s="49">
        <v>126.1</v>
      </c>
      <c r="H310" s="1" t="s">
        <v>8</v>
      </c>
      <c r="I310" s="25"/>
      <c r="J310" s="25">
        <v>25602</v>
      </c>
      <c r="K310" s="25">
        <v>25996</v>
      </c>
      <c r="L310" s="25">
        <v>26370</v>
      </c>
      <c r="M310" s="20">
        <v>30</v>
      </c>
      <c r="N310" s="1">
        <f>Tabla13[[#This Row],[Noche]]-Tabla13[[#This Row],[Mañana ]]</f>
        <v>768</v>
      </c>
      <c r="O310" s="58">
        <v>65</v>
      </c>
      <c r="P310" s="21">
        <f t="shared" si="7"/>
        <v>65</v>
      </c>
      <c r="Q310" s="22">
        <f>Tabla13[[#This Row],[Merma Salas A &amp; B2]]*1000/Tabla13[[#This Row],[Peso gr.]]</f>
        <v>534.97942386831278</v>
      </c>
      <c r="R310" s="52">
        <v>65</v>
      </c>
      <c r="S310" s="24">
        <f>Tabla13[[#This Row],[Total piezas NOK]]/Tabla13[[#This Row],[Cant. Fabricada (uds)]]</f>
        <v>0.69658779149519889</v>
      </c>
    </row>
    <row r="311" spans="1:20" x14ac:dyDescent="0.3">
      <c r="A311" s="43">
        <v>44533</v>
      </c>
      <c r="B311" s="20" t="s">
        <v>839</v>
      </c>
      <c r="C311" s="20" t="s">
        <v>10</v>
      </c>
      <c r="D311" s="13" t="str">
        <f>VLOOKUP(C:C,'LListat referències'!A:B,2,FALSE)</f>
        <v xml:space="preserve">Tapa 100 ml prima </v>
      </c>
      <c r="E311" s="18" t="str">
        <f>VLOOKUP(C:C,'LListat referències'!A:D,4,FALSE)</f>
        <v>#26(100 ml)</v>
      </c>
      <c r="F311" s="49">
        <f>VLOOKUP(C:C,'LListat referències'!A:E,5,FALSE)</f>
        <v>30.3</v>
      </c>
      <c r="G311" s="49">
        <v>66.400000000000006</v>
      </c>
      <c r="H311" s="1" t="s">
        <v>15</v>
      </c>
      <c r="I311" s="25"/>
      <c r="J311" s="25">
        <v>22257</v>
      </c>
      <c r="K311" s="25">
        <v>23610</v>
      </c>
      <c r="L311" s="25">
        <v>24633</v>
      </c>
      <c r="M311" s="20">
        <v>38</v>
      </c>
      <c r="N311" s="1">
        <f>Tabla13[[#This Row],[Noche]]-Tabla13[[#This Row],[Mañana ]]</f>
        <v>2376</v>
      </c>
      <c r="O311" s="58"/>
      <c r="P311" s="21">
        <f t="shared" si="7"/>
        <v>0</v>
      </c>
      <c r="Q311" s="22">
        <f>Tabla13[[#This Row],[Merma Salas A &amp; B2]]*1000/Tabla13[[#This Row],[Peso gr.]]</f>
        <v>0</v>
      </c>
      <c r="R311" s="52"/>
      <c r="S311" s="24">
        <f>Tabla13[[#This Row],[Total piezas NOK]]/Tabla13[[#This Row],[Cant. Fabricada (uds)]]</f>
        <v>0</v>
      </c>
    </row>
    <row r="312" spans="1:20" x14ac:dyDescent="0.3">
      <c r="A312" s="43">
        <v>44533</v>
      </c>
      <c r="B312" s="20" t="s">
        <v>925</v>
      </c>
      <c r="C312" s="20">
        <v>1879</v>
      </c>
      <c r="D312" s="13" t="str">
        <f>VLOOKUP(C:C,'LListat referències'!A:B,2,FALSE)</f>
        <v>Tapa tarro rectagular 50 ml</v>
      </c>
      <c r="E312" s="18" t="str">
        <f>VLOOKUP(C:C,'LListat referències'!A:D,4,FALSE)</f>
        <v>#23 (50 ml)</v>
      </c>
      <c r="F312" s="49">
        <f>VLOOKUP(C:C,'LListat referències'!A:E,5,FALSE)</f>
        <v>22.6</v>
      </c>
      <c r="G312" s="49">
        <v>73.69</v>
      </c>
      <c r="H312" s="1" t="s">
        <v>8</v>
      </c>
      <c r="I312" s="25"/>
      <c r="J312" s="25">
        <v>33644</v>
      </c>
      <c r="K312" s="25">
        <v>33644</v>
      </c>
      <c r="L312" s="25">
        <v>33645</v>
      </c>
      <c r="M312" s="20">
        <v>20</v>
      </c>
      <c r="N312" s="1">
        <f>Tabla13[[#This Row],[Noche]]-Tabla13[[#This Row],[Mañana ]]</f>
        <v>1</v>
      </c>
      <c r="O312" s="58"/>
      <c r="P312" s="21">
        <f t="shared" si="7"/>
        <v>0</v>
      </c>
      <c r="Q312" s="22">
        <f>Tabla13[[#This Row],[Merma Salas A &amp; B2]]*1000/Tabla13[[#This Row],[Peso gr.]]</f>
        <v>0</v>
      </c>
      <c r="R312" s="52"/>
      <c r="S312" s="24">
        <f>Tabla13[[#This Row],[Total piezas NOK]]/Tabla13[[#This Row],[Cant. Fabricada (uds)]]</f>
        <v>0</v>
      </c>
    </row>
    <row r="313" spans="1:20" x14ac:dyDescent="0.3">
      <c r="A313" s="43">
        <v>44538</v>
      </c>
      <c r="B313" s="20" t="s">
        <v>884</v>
      </c>
      <c r="C313" s="20">
        <v>1861</v>
      </c>
      <c r="D313" s="13" t="str">
        <f>VLOOKUP(C:C,'LListat referències'!A:B,2,FALSE)</f>
        <v>Tarro 50ml Standard 8 unitats</v>
      </c>
      <c r="E313" s="18" t="str">
        <f>VLOOKUP(C:C,'LListat referències'!A:D,4,FALSE)</f>
        <v>T022</v>
      </c>
      <c r="F313" s="49">
        <f>VLOOKUP(C:C,'LListat referències'!A:E,5,FALSE)</f>
        <v>92</v>
      </c>
      <c r="G313" s="49"/>
      <c r="H313" s="1" t="s">
        <v>885</v>
      </c>
      <c r="I313" s="25"/>
      <c r="J313" s="25">
        <v>1278</v>
      </c>
      <c r="K313" s="25">
        <v>1662</v>
      </c>
      <c r="L313" s="25">
        <v>2562</v>
      </c>
      <c r="M313" s="20">
        <v>40</v>
      </c>
      <c r="N313" s="1">
        <f>Tabla13[[#This Row],[Noche]]-Tabla13[[#This Row],[Mañana ]]</f>
        <v>1284</v>
      </c>
      <c r="O313" s="58">
        <v>150</v>
      </c>
      <c r="P313" s="21">
        <f t="shared" si="7"/>
        <v>150</v>
      </c>
      <c r="Q313" s="22">
        <f>Tabla13[[#This Row],[Merma Salas A &amp; B2]]*1000/Tabla13[[#This Row],[Peso gr.]]</f>
        <v>1630.4347826086957</v>
      </c>
      <c r="R313" s="52">
        <v>150</v>
      </c>
      <c r="S313" s="24">
        <f>Tabla13[[#This Row],[Total piezas NOK]]/Tabla13[[#This Row],[Cant. Fabricada (uds)]]</f>
        <v>1.2698090207232833</v>
      </c>
      <c r="T313" s="19" t="s">
        <v>892</v>
      </c>
    </row>
    <row r="314" spans="1:20" x14ac:dyDescent="0.3">
      <c r="A314" s="43">
        <v>44538</v>
      </c>
      <c r="B314" s="20" t="s">
        <v>899</v>
      </c>
      <c r="C314" s="20" t="s">
        <v>478</v>
      </c>
      <c r="D314" s="13" t="str">
        <f>VLOOKUP(C:C,'LListat referències'!A:B,2,FALSE)</f>
        <v xml:space="preserve">Tarro 50 ml labiomar </v>
      </c>
      <c r="E314" s="18" t="str">
        <f>VLOOKUP(C:C,'LListat referències'!A:D,4,FALSE)</f>
        <v>T079</v>
      </c>
      <c r="F314" s="49">
        <f>VLOOKUP(C:C,'LListat referències'!A:E,5,FALSE)</f>
        <v>82.7</v>
      </c>
      <c r="G314" s="49">
        <v>103.83</v>
      </c>
      <c r="H314" s="1" t="s">
        <v>8</v>
      </c>
      <c r="I314" s="25"/>
      <c r="J314" s="25">
        <v>20256</v>
      </c>
      <c r="K314" s="25">
        <v>20982</v>
      </c>
      <c r="L314" s="25">
        <v>21828</v>
      </c>
      <c r="M314" s="20">
        <v>44</v>
      </c>
      <c r="N314" s="1">
        <f>Tabla13[[#This Row],[Noche]]-Tabla13[[#This Row],[Mañana ]]</f>
        <v>1572</v>
      </c>
      <c r="O314" s="58">
        <v>25</v>
      </c>
      <c r="P314" s="21">
        <f t="shared" si="7"/>
        <v>25</v>
      </c>
      <c r="Q314" s="22">
        <f>Tabla13[[#This Row],[Merma Salas A &amp; B2]]*1000/Tabla13[[#This Row],[Peso gr.]]</f>
        <v>302.29746070133012</v>
      </c>
      <c r="R314" s="52">
        <v>25</v>
      </c>
      <c r="S314" s="24">
        <f>Tabla13[[#This Row],[Total piezas NOK]]/Tabla13[[#This Row],[Cant. Fabricada (uds)]]</f>
        <v>0.19230118365224563</v>
      </c>
      <c r="T314" s="19" t="s">
        <v>900</v>
      </c>
    </row>
    <row r="315" spans="1:20" x14ac:dyDescent="0.3">
      <c r="A315" s="43">
        <v>44538</v>
      </c>
      <c r="B315" s="20" t="s">
        <v>906</v>
      </c>
      <c r="C315" s="20" t="s">
        <v>644</v>
      </c>
      <c r="D315" s="13" t="str">
        <f>VLOOKUP(C:C,'LListat referències'!A:B,2,FALSE)</f>
        <v>Tarro 200ml Quadrat estret (Tapa Rodona)</v>
      </c>
      <c r="E315" s="18">
        <f>VLOOKUP(C:C,'LListat referències'!A:D,4,FALSE)</f>
        <v>0</v>
      </c>
      <c r="F315" s="49">
        <f>VLOOKUP(C:C,'LListat referències'!A:E,5,FALSE)</f>
        <v>220.84</v>
      </c>
      <c r="G315" s="49">
        <v>112.6</v>
      </c>
      <c r="H315" s="1" t="s">
        <v>7</v>
      </c>
      <c r="I315" s="25"/>
      <c r="J315" s="25"/>
      <c r="K315" s="25"/>
      <c r="L315" s="25"/>
      <c r="M315" s="20">
        <v>41</v>
      </c>
      <c r="N315" s="1">
        <f>Tabla13[[#This Row],[Noche]]-Tabla13[[#This Row],[Mañana ]]</f>
        <v>0</v>
      </c>
      <c r="O315" s="58">
        <v>20</v>
      </c>
      <c r="P315" s="21">
        <f t="shared" si="7"/>
        <v>20</v>
      </c>
      <c r="Q315" s="22">
        <f>Tabla13[[#This Row],[Merma Salas A &amp; B2]]*1000/Tabla13[[#This Row],[Peso gr.]]</f>
        <v>90.563303749320781</v>
      </c>
      <c r="R315" s="52">
        <v>20</v>
      </c>
      <c r="S315" s="24" t="s">
        <v>842</v>
      </c>
    </row>
    <row r="316" spans="1:20" x14ac:dyDescent="0.3">
      <c r="A316" s="43">
        <v>44538</v>
      </c>
      <c r="B316" s="20" t="s">
        <v>910</v>
      </c>
      <c r="C316" s="20">
        <v>1936</v>
      </c>
      <c r="D316" s="13" t="str">
        <f>VLOOKUP(C:C,'LListat referències'!A:B,2,FALSE)</f>
        <v>Cubilet 200 ml.</v>
      </c>
      <c r="E316" s="18" t="str">
        <f>VLOOKUP(C:C,'LListat referències'!A:D,4,FALSE)</f>
        <v/>
      </c>
      <c r="F316" s="49">
        <f>VLOOKUP(C:C,'LListat referències'!A:E,5,FALSE)</f>
        <v>14.18</v>
      </c>
      <c r="G316" s="49">
        <v>26.58</v>
      </c>
      <c r="H316" s="1" t="s">
        <v>797</v>
      </c>
      <c r="I316" s="25"/>
      <c r="J316" s="25">
        <v>624</v>
      </c>
      <c r="K316" s="25">
        <v>1127</v>
      </c>
      <c r="L316" s="25">
        <v>1792</v>
      </c>
      <c r="M316" s="20">
        <v>17</v>
      </c>
      <c r="N316" s="1">
        <f>Tabla13[[#This Row],[Noche]]-Tabla13[[#This Row],[Mañana ]]</f>
        <v>1168</v>
      </c>
      <c r="O316" s="58"/>
      <c r="P316" s="21">
        <f t="shared" si="7"/>
        <v>0</v>
      </c>
      <c r="Q316" s="22">
        <f>Tabla13[[#This Row],[Merma Salas A &amp; B2]]*1000/Tabla13[[#This Row],[Peso gr.]]</f>
        <v>0</v>
      </c>
      <c r="R316" s="52"/>
      <c r="S316" s="24">
        <f>Tabla13[[#This Row],[Total piezas NOK]]/Tabla13[[#This Row],[Cant. Fabricada (uds)]]</f>
        <v>0</v>
      </c>
    </row>
    <row r="317" spans="1:20" x14ac:dyDescent="0.3">
      <c r="A317" s="43">
        <v>44538</v>
      </c>
      <c r="B317" s="20" t="s">
        <v>911</v>
      </c>
      <c r="C317" s="20">
        <v>1936</v>
      </c>
      <c r="D317" s="13" t="str">
        <f>VLOOKUP(C:C,'LListat referències'!A:B,2,FALSE)</f>
        <v>Cubilet 200 ml.</v>
      </c>
      <c r="E317" s="18" t="str">
        <f>VLOOKUP(C:C,'LListat referències'!A:D,4,FALSE)</f>
        <v/>
      </c>
      <c r="F317" s="49">
        <f>VLOOKUP(C:C,'LListat referències'!A:E,5,FALSE)</f>
        <v>14.18</v>
      </c>
      <c r="G317" s="49">
        <v>26.58</v>
      </c>
      <c r="H317" s="1" t="s">
        <v>797</v>
      </c>
      <c r="I317" s="25"/>
      <c r="J317" s="25">
        <v>0</v>
      </c>
      <c r="K317" s="25"/>
      <c r="L317" s="25">
        <v>674</v>
      </c>
      <c r="M317" s="20">
        <v>17</v>
      </c>
      <c r="N317" s="1">
        <f>Tabla13[[#This Row],[Noche]]-Tabla13[[#This Row],[Mañana ]]</f>
        <v>674</v>
      </c>
      <c r="O317" s="58"/>
      <c r="P317" s="21">
        <f t="shared" si="7"/>
        <v>0</v>
      </c>
      <c r="Q317" s="22">
        <f>Tabla13[[#This Row],[Merma Salas A &amp; B2]]*1000/Tabla13[[#This Row],[Peso gr.]]</f>
        <v>0</v>
      </c>
      <c r="R317" s="52"/>
      <c r="S317" s="24">
        <f>Tabla13[[#This Row],[Total piezas NOK]]/Tabla13[[#This Row],[Cant. Fabricada (uds)]]</f>
        <v>0</v>
      </c>
    </row>
    <row r="318" spans="1:20" x14ac:dyDescent="0.3">
      <c r="A318" s="43">
        <v>44538</v>
      </c>
      <c r="B318" s="20" t="s">
        <v>805</v>
      </c>
      <c r="C318" s="20" t="s">
        <v>615</v>
      </c>
      <c r="D318" s="13" t="str">
        <f>VLOOKUP(C:C,'LListat referències'!A:B,2,FALSE)</f>
        <v>Tarro 50ml Tinter Quadrat</v>
      </c>
      <c r="E318" s="18" t="str">
        <f>VLOOKUP(C:C,'LListat referències'!A:D,4,FALSE)</f>
        <v>T116</v>
      </c>
      <c r="F318" s="49">
        <f>VLOOKUP(C:C,'LListat referències'!A:E,5,FALSE)</f>
        <v>121.5</v>
      </c>
      <c r="G318" s="49">
        <v>126.1</v>
      </c>
      <c r="H318" s="1" t="s">
        <v>8</v>
      </c>
      <c r="I318" s="25"/>
      <c r="J318" s="25">
        <v>26770</v>
      </c>
      <c r="K318" s="25">
        <v>27152</v>
      </c>
      <c r="L318" s="25">
        <v>27608</v>
      </c>
      <c r="M318" s="20">
        <v>30</v>
      </c>
      <c r="N318" s="1">
        <f>Tabla13[[#This Row],[Noche]]-Tabla13[[#This Row],[Mañana ]]</f>
        <v>838</v>
      </c>
      <c r="O318" s="58">
        <v>80</v>
      </c>
      <c r="P318" s="21">
        <f t="shared" si="7"/>
        <v>80</v>
      </c>
      <c r="Q318" s="22">
        <f>Tabla13[[#This Row],[Merma Salas A &amp; B2]]*1000/Tabla13[[#This Row],[Peso gr.]]</f>
        <v>658.43621399176959</v>
      </c>
      <c r="R318" s="52">
        <v>80</v>
      </c>
      <c r="S318" s="24">
        <f>Tabla13[[#This Row],[Total piezas NOK]]/Tabla13[[#This Row],[Cant. Fabricada (uds)]]</f>
        <v>0.78572340571810217</v>
      </c>
      <c r="T318" s="19" t="s">
        <v>921</v>
      </c>
    </row>
    <row r="319" spans="1:20" x14ac:dyDescent="0.3">
      <c r="A319" s="43">
        <v>44538</v>
      </c>
      <c r="B319" s="20" t="s">
        <v>839</v>
      </c>
      <c r="C319" s="20" t="s">
        <v>10</v>
      </c>
      <c r="D319" s="13" t="str">
        <f>VLOOKUP(C:C,'LListat referències'!A:B,2,FALSE)</f>
        <v xml:space="preserve">Tapa 100 ml prima </v>
      </c>
      <c r="E319" s="18" t="str">
        <f>VLOOKUP(C:C,'LListat referències'!A:D,4,FALSE)</f>
        <v>#26(100 ml)</v>
      </c>
      <c r="F319" s="49">
        <f>VLOOKUP(C:C,'LListat referències'!A:E,5,FALSE)</f>
        <v>30.3</v>
      </c>
      <c r="G319" s="49">
        <v>66.400000000000006</v>
      </c>
      <c r="H319" s="1" t="s">
        <v>15</v>
      </c>
      <c r="I319" s="25"/>
      <c r="J319" s="25">
        <v>25800</v>
      </c>
      <c r="K319" s="25">
        <v>26853</v>
      </c>
      <c r="L319" s="25">
        <v>27831</v>
      </c>
      <c r="M319" s="20">
        <v>38</v>
      </c>
      <c r="N319" s="1">
        <f>Tabla13[[#This Row],[Noche]]-Tabla13[[#This Row],[Mañana ]]</f>
        <v>2031</v>
      </c>
      <c r="O319" s="58"/>
      <c r="P319" s="21">
        <f t="shared" si="7"/>
        <v>0</v>
      </c>
      <c r="Q319" s="22">
        <f>Tabla13[[#This Row],[Merma Salas A &amp; B2]]*1000/Tabla13[[#This Row],[Peso gr.]]</f>
        <v>0</v>
      </c>
      <c r="R319" s="52"/>
      <c r="S319" s="24">
        <f>Tabla13[[#This Row],[Total piezas NOK]]/Tabla13[[#This Row],[Cant. Fabricada (uds)]]</f>
        <v>0</v>
      </c>
    </row>
    <row r="320" spans="1:20" x14ac:dyDescent="0.3">
      <c r="A320" s="43">
        <v>44539</v>
      </c>
      <c r="B320" s="20" t="s">
        <v>884</v>
      </c>
      <c r="C320" s="20">
        <v>1861</v>
      </c>
      <c r="D320" s="13" t="str">
        <f>VLOOKUP(C:C,'LListat referències'!A:B,2,FALSE)</f>
        <v>Tarro 50ml Standard 8 unitats</v>
      </c>
      <c r="E320" s="18" t="str">
        <f>VLOOKUP(C:C,'LListat referències'!A:D,4,FALSE)</f>
        <v>T022</v>
      </c>
      <c r="F320" s="49">
        <f>VLOOKUP(C:C,'LListat referències'!A:E,5,FALSE)</f>
        <v>92</v>
      </c>
      <c r="G320" s="49"/>
      <c r="H320" s="1" t="s">
        <v>885</v>
      </c>
      <c r="I320" s="25"/>
      <c r="J320" s="25">
        <v>2562</v>
      </c>
      <c r="K320" s="25">
        <v>3334</v>
      </c>
      <c r="L320" s="25">
        <v>3334</v>
      </c>
      <c r="M320" s="20">
        <v>40</v>
      </c>
      <c r="N320" s="1">
        <f>Tabla13[[#This Row],[Noche]]-Tabla13[[#This Row],[Mañana ]]</f>
        <v>772</v>
      </c>
      <c r="O320" s="58">
        <v>45</v>
      </c>
      <c r="P320" s="21">
        <f t="shared" si="7"/>
        <v>45</v>
      </c>
      <c r="Q320" s="22">
        <f>Tabla13[[#This Row],[Merma Salas A &amp; B2]]*1000/Tabla13[[#This Row],[Peso gr.]]</f>
        <v>489.13043478260869</v>
      </c>
      <c r="R320" s="52">
        <v>45</v>
      </c>
      <c r="S320" s="24">
        <f>Tabla13[[#This Row],[Total piezas NOK]]/Tabla13[[#This Row],[Cant. Fabricada (uds)]]</f>
        <v>0.63358864609146204</v>
      </c>
      <c r="T320" s="19" t="s">
        <v>892</v>
      </c>
    </row>
    <row r="321" spans="1:20" x14ac:dyDescent="0.3">
      <c r="A321" s="43">
        <v>44539</v>
      </c>
      <c r="B321" s="20" t="s">
        <v>899</v>
      </c>
      <c r="C321" s="20" t="s">
        <v>478</v>
      </c>
      <c r="D321" s="13" t="str">
        <f>VLOOKUP(C:C,'LListat referències'!A:B,2,FALSE)</f>
        <v xml:space="preserve">Tarro 50 ml labiomar </v>
      </c>
      <c r="E321" s="18" t="str">
        <f>VLOOKUP(C:C,'LListat referències'!A:D,4,FALSE)</f>
        <v>T079</v>
      </c>
      <c r="F321" s="49">
        <f>VLOOKUP(C:C,'LListat referències'!A:E,5,FALSE)</f>
        <v>82.7</v>
      </c>
      <c r="G321" s="49">
        <v>103.83</v>
      </c>
      <c r="H321" s="1" t="s">
        <v>8</v>
      </c>
      <c r="I321" s="25"/>
      <c r="J321" s="25">
        <v>22668</v>
      </c>
      <c r="K321" s="25">
        <v>23436</v>
      </c>
      <c r="L321" s="25">
        <v>24279</v>
      </c>
      <c r="M321" s="20">
        <v>44</v>
      </c>
      <c r="N321" s="1">
        <f>Tabla13[[#This Row],[Noche]]-Tabla13[[#This Row],[Mañana ]]</f>
        <v>1611</v>
      </c>
      <c r="O321" s="58">
        <v>35</v>
      </c>
      <c r="P321" s="21">
        <f t="shared" si="7"/>
        <v>35</v>
      </c>
      <c r="Q321" s="22">
        <f>Tabla13[[#This Row],[Merma Salas A &amp; B2]]*1000/Tabla13[[#This Row],[Peso gr.]]</f>
        <v>423.21644498186214</v>
      </c>
      <c r="R321" s="52">
        <v>35</v>
      </c>
      <c r="S321" s="24">
        <f>Tabla13[[#This Row],[Total piezas NOK]]/Tabla13[[#This Row],[Cant. Fabricada (uds)]]</f>
        <v>0.26270418682921298</v>
      </c>
      <c r="T321" s="19" t="s">
        <v>900</v>
      </c>
    </row>
    <row r="322" spans="1:20" x14ac:dyDescent="0.3">
      <c r="A322" s="43">
        <v>44539</v>
      </c>
      <c r="B322" s="20" t="s">
        <v>907</v>
      </c>
      <c r="C322" s="20" t="s">
        <v>644</v>
      </c>
      <c r="D322" s="13" t="str">
        <f>VLOOKUP(C:C,'LListat referències'!A:B,2,FALSE)</f>
        <v>Tarro 200ml Quadrat estret (Tapa Rodona)</v>
      </c>
      <c r="E322" s="18">
        <f>VLOOKUP(C:C,'LListat referències'!A:D,4,FALSE)</f>
        <v>0</v>
      </c>
      <c r="F322" s="49">
        <f>VLOOKUP(C:C,'LListat referències'!A:E,5,FALSE)</f>
        <v>220.84</v>
      </c>
      <c r="G322" s="49">
        <v>112.6</v>
      </c>
      <c r="H322" s="1" t="s">
        <v>8</v>
      </c>
      <c r="I322" s="25"/>
      <c r="J322" s="25">
        <v>153</v>
      </c>
      <c r="K322" s="25">
        <v>405</v>
      </c>
      <c r="L322" s="25">
        <v>664</v>
      </c>
      <c r="M322" s="20">
        <v>41</v>
      </c>
      <c r="N322" s="1">
        <f>Tabla13[[#This Row],[Noche]]-Tabla13[[#This Row],[Mañana ]]</f>
        <v>511</v>
      </c>
      <c r="O322" s="58">
        <v>100</v>
      </c>
      <c r="P322" s="21">
        <f t="shared" si="7"/>
        <v>100</v>
      </c>
      <c r="Q322" s="22">
        <f>Tabla13[[#This Row],[Merma Salas A &amp; B2]]*1000/Tabla13[[#This Row],[Peso gr.]]</f>
        <v>452.81651874660389</v>
      </c>
      <c r="R322" s="52">
        <v>100</v>
      </c>
      <c r="S322" s="24">
        <f>Tabla13[[#This Row],[Total piezas NOK]]/Tabla13[[#This Row],[Cant. Fabricada (uds)]]</f>
        <v>0.88613800146106436</v>
      </c>
      <c r="T322" s="19" t="s">
        <v>908</v>
      </c>
    </row>
    <row r="323" spans="1:20" x14ac:dyDescent="0.3">
      <c r="A323" s="43">
        <v>44539</v>
      </c>
      <c r="B323" s="20" t="s">
        <v>911</v>
      </c>
      <c r="C323" s="20">
        <v>1936</v>
      </c>
      <c r="D323" s="13" t="str">
        <f>VLOOKUP(C:C,'LListat referències'!A:B,2,FALSE)</f>
        <v>Cubilet 200 ml.</v>
      </c>
      <c r="E323" s="18" t="str">
        <f>VLOOKUP(C:C,'LListat referències'!A:D,4,FALSE)</f>
        <v/>
      </c>
      <c r="F323" s="49">
        <f>VLOOKUP(C:C,'LListat referències'!A:E,5,FALSE)</f>
        <v>14.18</v>
      </c>
      <c r="G323" s="49">
        <v>26.58</v>
      </c>
      <c r="H323" s="1" t="s">
        <v>797</v>
      </c>
      <c r="I323" s="25"/>
      <c r="J323" s="25">
        <v>2842</v>
      </c>
      <c r="K323" s="25">
        <v>5008</v>
      </c>
      <c r="L323" s="25">
        <v>7234</v>
      </c>
      <c r="M323" s="20">
        <v>17</v>
      </c>
      <c r="N323" s="1">
        <f>Tabla13[[#This Row],[Noche]]-Tabla13[[#This Row],[Mañana ]]</f>
        <v>4392</v>
      </c>
      <c r="O323" s="58"/>
      <c r="P323" s="21">
        <f t="shared" si="7"/>
        <v>0</v>
      </c>
      <c r="Q323" s="22">
        <f>Tabla13[[#This Row],[Merma Salas A &amp; B2]]*1000/Tabla13[[#This Row],[Peso gr.]]</f>
        <v>0</v>
      </c>
      <c r="R323" s="52"/>
      <c r="S323" s="24">
        <f>Tabla13[[#This Row],[Total piezas NOK]]/Tabla13[[#This Row],[Cant. Fabricada (uds)]]</f>
        <v>0</v>
      </c>
    </row>
    <row r="324" spans="1:20" x14ac:dyDescent="0.3">
      <c r="A324" s="43">
        <v>44539</v>
      </c>
      <c r="B324" s="20" t="s">
        <v>907</v>
      </c>
      <c r="C324" s="20" t="s">
        <v>585</v>
      </c>
      <c r="D324" s="13" t="str">
        <f>VLOOKUP(C:C,'LListat referències'!A:B,2,FALSE)</f>
        <v>Tarro 200ml quadrat cònic</v>
      </c>
      <c r="E324" s="18" t="str">
        <f>VLOOKUP(C:C,'LListat referències'!A:D,4,FALSE)</f>
        <v>T083</v>
      </c>
      <c r="F324" s="49">
        <f>VLOOKUP(C:C,'LListat referències'!A:E,5,FALSE)</f>
        <v>233</v>
      </c>
      <c r="G324" s="49">
        <v>111.31</v>
      </c>
      <c r="H324" s="1" t="s">
        <v>7</v>
      </c>
      <c r="I324" s="25"/>
      <c r="J324" s="25"/>
      <c r="K324" s="25"/>
      <c r="L324" s="25"/>
      <c r="M324" s="20">
        <v>51</v>
      </c>
      <c r="N324" s="1">
        <f>Tabla13[[#This Row],[Noche]]-Tabla13[[#This Row],[Mañana ]]</f>
        <v>0</v>
      </c>
      <c r="O324" s="58">
        <v>20</v>
      </c>
      <c r="P324" s="21">
        <f t="shared" si="7"/>
        <v>20</v>
      </c>
      <c r="Q324" s="22">
        <f>Tabla13[[#This Row],[Merma Salas A &amp; B2]]*1000/Tabla13[[#This Row],[Peso gr.]]</f>
        <v>85.836909871244629</v>
      </c>
      <c r="R324" s="52">
        <v>20</v>
      </c>
      <c r="S324" s="24" t="s">
        <v>842</v>
      </c>
    </row>
    <row r="325" spans="1:20" x14ac:dyDescent="0.3">
      <c r="A325" s="43">
        <v>44539</v>
      </c>
      <c r="B325" s="20" t="s">
        <v>915</v>
      </c>
      <c r="C325" s="20" t="s">
        <v>615</v>
      </c>
      <c r="D325" s="13" t="str">
        <f>VLOOKUP(C:C,'LListat referències'!A:B,2,FALSE)</f>
        <v>Tarro 50ml Tinter Quadrat</v>
      </c>
      <c r="E325" s="18" t="str">
        <f>VLOOKUP(C:C,'LListat referències'!A:D,4,FALSE)</f>
        <v>T116</v>
      </c>
      <c r="F325" s="49">
        <f>VLOOKUP(C:C,'LListat referències'!A:E,5,FALSE)</f>
        <v>121.5</v>
      </c>
      <c r="G325" s="49">
        <v>126.1</v>
      </c>
      <c r="H325" s="1" t="s">
        <v>8</v>
      </c>
      <c r="I325" s="25"/>
      <c r="J325" s="25">
        <v>28062</v>
      </c>
      <c r="K325" s="25">
        <v>28498</v>
      </c>
      <c r="L325" s="25">
        <v>28969</v>
      </c>
      <c r="M325" s="20">
        <v>30</v>
      </c>
      <c r="N325" s="1">
        <f>Tabla13[[#This Row],[Noche]]-Tabla13[[#This Row],[Mañana ]]</f>
        <v>907</v>
      </c>
      <c r="O325" s="58">
        <v>50</v>
      </c>
      <c r="P325" s="21">
        <f t="shared" si="7"/>
        <v>50</v>
      </c>
      <c r="Q325" s="22">
        <f>Tabla13[[#This Row],[Merma Salas A &amp; B2]]*1000/Tabla13[[#This Row],[Peso gr.]]</f>
        <v>411.52263374485597</v>
      </c>
      <c r="R325" s="52">
        <v>50</v>
      </c>
      <c r="S325" s="24">
        <f>Tabla13[[#This Row],[Total piezas NOK]]/Tabla13[[#This Row],[Cant. Fabricada (uds)]]</f>
        <v>0.4537184495533142</v>
      </c>
    </row>
    <row r="326" spans="1:20" x14ac:dyDescent="0.3">
      <c r="A326" s="43">
        <v>44539</v>
      </c>
      <c r="B326" s="20" t="s">
        <v>839</v>
      </c>
      <c r="C326" s="20" t="s">
        <v>10</v>
      </c>
      <c r="D326" s="13" t="str">
        <f>VLOOKUP(C:C,'LListat referències'!A:B,2,FALSE)</f>
        <v xml:space="preserve">Tapa 100 ml prima </v>
      </c>
      <c r="E326" s="18" t="str">
        <f>VLOOKUP(C:C,'LListat referències'!A:D,4,FALSE)</f>
        <v>#26(100 ml)</v>
      </c>
      <c r="F326" s="49">
        <f>VLOOKUP(C:C,'LListat referències'!A:E,5,FALSE)</f>
        <v>30.3</v>
      </c>
      <c r="G326" s="49">
        <v>66.400000000000006</v>
      </c>
      <c r="H326" s="1" t="s">
        <v>15</v>
      </c>
      <c r="I326" s="25"/>
      <c r="J326" s="25">
        <v>28629</v>
      </c>
      <c r="K326" s="25">
        <v>29487</v>
      </c>
      <c r="L326" s="25">
        <v>30397</v>
      </c>
      <c r="M326" s="20">
        <v>38</v>
      </c>
      <c r="N326" s="1">
        <f>Tabla13[[#This Row],[Noche]]-Tabla13[[#This Row],[Mañana ]]</f>
        <v>1768</v>
      </c>
      <c r="O326" s="58"/>
      <c r="P326" s="21">
        <f t="shared" si="7"/>
        <v>0</v>
      </c>
      <c r="Q326" s="22">
        <f>Tabla13[[#This Row],[Merma Salas A &amp; B2]]*1000/Tabla13[[#This Row],[Peso gr.]]</f>
        <v>0</v>
      </c>
      <c r="R326" s="52"/>
      <c r="S326" s="24">
        <f>Tabla13[[#This Row],[Total piezas NOK]]/Tabla13[[#This Row],[Cant. Fabricada (uds)]]</f>
        <v>0</v>
      </c>
    </row>
    <row r="327" spans="1:20" x14ac:dyDescent="0.3">
      <c r="A327" s="43">
        <v>44540</v>
      </c>
      <c r="B327" s="20" t="s">
        <v>899</v>
      </c>
      <c r="C327" s="20" t="s">
        <v>478</v>
      </c>
      <c r="D327" s="13" t="str">
        <f>VLOOKUP(C:C,'LListat referències'!A:B,2,FALSE)</f>
        <v xml:space="preserve">Tarro 50 ml labiomar </v>
      </c>
      <c r="E327" s="18" t="str">
        <f>VLOOKUP(C:C,'LListat referències'!A:D,4,FALSE)</f>
        <v>T079</v>
      </c>
      <c r="F327" s="49">
        <f>VLOOKUP(C:C,'LListat referències'!A:E,5,FALSE)</f>
        <v>82.7</v>
      </c>
      <c r="G327" s="49">
        <v>103.83</v>
      </c>
      <c r="H327" s="1" t="s">
        <v>8</v>
      </c>
      <c r="I327" s="25"/>
      <c r="J327" s="25">
        <v>25053</v>
      </c>
      <c r="K327" s="25">
        <v>25380</v>
      </c>
      <c r="L327" s="25">
        <v>25380</v>
      </c>
      <c r="M327" s="20">
        <v>44</v>
      </c>
      <c r="N327" s="1">
        <f>Tabla13[[#This Row],[Noche]]-Tabla13[[#This Row],[Mañana ]]</f>
        <v>327</v>
      </c>
      <c r="O327" s="58"/>
      <c r="P327" s="21">
        <f t="shared" si="7"/>
        <v>0</v>
      </c>
      <c r="Q327" s="22">
        <f>Tabla13[[#This Row],[Merma Salas A &amp; B2]]*1000/Tabla13[[#This Row],[Peso gr.]]</f>
        <v>0</v>
      </c>
      <c r="R327" s="52"/>
      <c r="S327" s="24">
        <f>Tabla13[[#This Row],[Total piezas NOK]]/Tabla13[[#This Row],[Cant. Fabricada (uds)]]</f>
        <v>0</v>
      </c>
      <c r="T327" s="19" t="s">
        <v>900</v>
      </c>
    </row>
    <row r="328" spans="1:20" x14ac:dyDescent="0.3">
      <c r="A328" s="43">
        <v>44540</v>
      </c>
      <c r="B328" s="20" t="s">
        <v>907</v>
      </c>
      <c r="C328" s="20" t="s">
        <v>644</v>
      </c>
      <c r="D328" s="13" t="str">
        <f>VLOOKUP(C:C,'LListat referències'!A:B,2,FALSE)</f>
        <v>Tarro 200ml Quadrat estret (Tapa Rodona)</v>
      </c>
      <c r="E328" s="18">
        <f>VLOOKUP(C:C,'LListat referències'!A:D,4,FALSE)</f>
        <v>0</v>
      </c>
      <c r="F328" s="49">
        <f>VLOOKUP(C:C,'LListat referències'!A:E,5,FALSE)</f>
        <v>220.84</v>
      </c>
      <c r="G328" s="49">
        <v>112.6</v>
      </c>
      <c r="H328" s="1" t="s">
        <v>8</v>
      </c>
      <c r="I328" s="25"/>
      <c r="J328" s="25">
        <v>917</v>
      </c>
      <c r="K328" s="25">
        <v>1163</v>
      </c>
      <c r="L328" s="25">
        <v>1359</v>
      </c>
      <c r="M328" s="20">
        <v>41</v>
      </c>
      <c r="N328" s="1">
        <f>Tabla13[[#This Row],[Noche]]-Tabla13[[#This Row],[Mañana ]]</f>
        <v>442</v>
      </c>
      <c r="O328" s="58">
        <v>5</v>
      </c>
      <c r="P328" s="21">
        <f t="shared" si="7"/>
        <v>5</v>
      </c>
      <c r="Q328" s="22">
        <f>Tabla13[[#This Row],[Merma Salas A &amp; B2]]*1000/Tabla13[[#This Row],[Peso gr.]]</f>
        <v>22.640825937330195</v>
      </c>
      <c r="R328" s="52"/>
      <c r="S328" s="24">
        <f>Tabla13[[#This Row],[Total piezas NOK]]/Tabla13[[#This Row],[Cant. Fabricada (uds)]]</f>
        <v>5.122358809350723E-2</v>
      </c>
    </row>
    <row r="329" spans="1:20" x14ac:dyDescent="0.3">
      <c r="A329" s="43">
        <v>44540</v>
      </c>
      <c r="B329" s="20" t="s">
        <v>912</v>
      </c>
      <c r="C329" s="20">
        <v>1936</v>
      </c>
      <c r="D329" s="13" t="str">
        <f>VLOOKUP(C:C,'LListat referències'!A:B,2,FALSE)</f>
        <v>Cubilet 200 ml.</v>
      </c>
      <c r="E329" s="18" t="str">
        <f>VLOOKUP(C:C,'LListat referències'!A:D,4,FALSE)</f>
        <v/>
      </c>
      <c r="F329" s="49">
        <f>VLOOKUP(C:C,'LListat referències'!A:E,5,FALSE)</f>
        <v>14.18</v>
      </c>
      <c r="G329" s="49">
        <v>26.58</v>
      </c>
      <c r="H329" s="1" t="s">
        <v>797</v>
      </c>
      <c r="I329" s="25"/>
      <c r="J329" s="25">
        <v>0</v>
      </c>
      <c r="K329" s="25">
        <v>0</v>
      </c>
      <c r="L329" s="25">
        <v>1638</v>
      </c>
      <c r="M329" s="20">
        <v>17</v>
      </c>
      <c r="N329" s="1">
        <f>Tabla13[[#This Row],[Noche]]-Tabla13[[#This Row],[Mañana ]]</f>
        <v>1638</v>
      </c>
      <c r="O329" s="58"/>
      <c r="P329" s="21">
        <f t="shared" ref="P329:P350" si="8">SUM(O329:O329)</f>
        <v>0</v>
      </c>
      <c r="Q329" s="22">
        <f>Tabla13[[#This Row],[Merma Salas A &amp; B2]]*1000/Tabla13[[#This Row],[Peso gr.]]</f>
        <v>0</v>
      </c>
      <c r="R329" s="52"/>
      <c r="S329" s="24">
        <f>Tabla13[[#This Row],[Total piezas NOK]]/Tabla13[[#This Row],[Cant. Fabricada (uds)]]</f>
        <v>0</v>
      </c>
    </row>
    <row r="330" spans="1:20" x14ac:dyDescent="0.3">
      <c r="A330" s="43">
        <v>44540</v>
      </c>
      <c r="B330" s="20" t="s">
        <v>916</v>
      </c>
      <c r="C330" s="20" t="s">
        <v>615</v>
      </c>
      <c r="D330" s="13" t="str">
        <f>VLOOKUP(C:C,'LListat referències'!A:B,2,FALSE)</f>
        <v>Tarro 50ml Tinter Quadrat</v>
      </c>
      <c r="E330" s="18" t="str">
        <f>VLOOKUP(C:C,'LListat referències'!A:D,4,FALSE)</f>
        <v>T116</v>
      </c>
      <c r="F330" s="49">
        <f>VLOOKUP(C:C,'LListat referències'!A:E,5,FALSE)</f>
        <v>121.5</v>
      </c>
      <c r="G330" s="49">
        <v>126.1</v>
      </c>
      <c r="H330" s="1" t="s">
        <v>8</v>
      </c>
      <c r="I330" s="25"/>
      <c r="J330" s="25">
        <v>29408</v>
      </c>
      <c r="K330" s="25">
        <v>29830</v>
      </c>
      <c r="L330" s="25">
        <v>30192</v>
      </c>
      <c r="M330" s="20">
        <v>30</v>
      </c>
      <c r="N330" s="1">
        <f>Tabla13[[#This Row],[Noche]]-Tabla13[[#This Row],[Mañana ]]</f>
        <v>784</v>
      </c>
      <c r="O330" s="58">
        <v>20</v>
      </c>
      <c r="P330" s="21">
        <f t="shared" si="8"/>
        <v>20</v>
      </c>
      <c r="Q330" s="22">
        <f>Tabla13[[#This Row],[Merma Salas A &amp; B2]]*1000/Tabla13[[#This Row],[Peso gr.]]</f>
        <v>164.6090534979424</v>
      </c>
      <c r="R330" s="52"/>
      <c r="S330" s="24">
        <f>Tabla13[[#This Row],[Total piezas NOK]]/Tabla13[[#This Row],[Cant. Fabricada (uds)]]</f>
        <v>0.20996052742084489</v>
      </c>
      <c r="T330" s="19" t="s">
        <v>923</v>
      </c>
    </row>
    <row r="331" spans="1:20" x14ac:dyDescent="0.3">
      <c r="A331" s="43">
        <v>44540</v>
      </c>
      <c r="B331" s="20" t="s">
        <v>839</v>
      </c>
      <c r="C331" s="20" t="s">
        <v>10</v>
      </c>
      <c r="D331" s="13" t="str">
        <f>VLOOKUP(C:C,'LListat referències'!A:B,2,FALSE)</f>
        <v xml:space="preserve">Tapa 100 ml prima </v>
      </c>
      <c r="E331" s="18" t="str">
        <f>VLOOKUP(C:C,'LListat referències'!A:D,4,FALSE)</f>
        <v>#26(100 ml)</v>
      </c>
      <c r="F331" s="49">
        <f>VLOOKUP(C:C,'LListat referències'!A:E,5,FALSE)</f>
        <v>30.3</v>
      </c>
      <c r="G331" s="49">
        <v>66.400000000000006</v>
      </c>
      <c r="H331" s="1" t="s">
        <v>15</v>
      </c>
      <c r="I331" s="25"/>
      <c r="J331" s="25">
        <v>31145</v>
      </c>
      <c r="K331" s="25">
        <v>31983</v>
      </c>
      <c r="L331" s="25">
        <v>32711</v>
      </c>
      <c r="M331" s="20">
        <v>38</v>
      </c>
      <c r="N331" s="1">
        <f>Tabla13[[#This Row],[Noche]]-Tabla13[[#This Row],[Mañana ]]</f>
        <v>1566</v>
      </c>
      <c r="O331" s="58"/>
      <c r="P331" s="21">
        <f t="shared" si="8"/>
        <v>0</v>
      </c>
      <c r="Q331" s="22">
        <f>Tabla13[[#This Row],[Merma Salas A &amp; B2]]*1000/Tabla13[[#This Row],[Peso gr.]]</f>
        <v>0</v>
      </c>
      <c r="R331" s="52"/>
      <c r="S331" s="24">
        <f>Tabla13[[#This Row],[Total piezas NOK]]/Tabla13[[#This Row],[Cant. Fabricada (uds)]]</f>
        <v>0</v>
      </c>
    </row>
    <row r="332" spans="1:20" x14ac:dyDescent="0.3">
      <c r="A332" s="43">
        <v>44540</v>
      </c>
      <c r="B332" s="20" t="s">
        <v>926</v>
      </c>
      <c r="C332" s="20">
        <v>2006</v>
      </c>
      <c r="D332" s="13">
        <f>VLOOKUP(C:C,'LListat referències'!A:B,2,FALSE)</f>
        <v>0</v>
      </c>
      <c r="E332" s="18">
        <f>VLOOKUP(C:C,'LListat referències'!A:D,4,FALSE)</f>
        <v>0</v>
      </c>
      <c r="F332" s="49">
        <f>VLOOKUP(C:C,'LListat referències'!A:E,5,FALSE)</f>
        <v>17</v>
      </c>
      <c r="G332" s="49">
        <v>41.56</v>
      </c>
      <c r="H332" s="1" t="s">
        <v>763</v>
      </c>
      <c r="I332" s="25"/>
      <c r="J332" s="25">
        <v>0</v>
      </c>
      <c r="K332" s="25">
        <v>1476</v>
      </c>
      <c r="L332" s="25">
        <v>4608</v>
      </c>
      <c r="M332" s="20">
        <v>9</v>
      </c>
      <c r="N332" s="1">
        <f>Tabla13[[#This Row],[Noche]]-Tabla13[[#This Row],[Mañana ]]</f>
        <v>4608</v>
      </c>
      <c r="O332" s="58"/>
      <c r="P332" s="21">
        <f t="shared" si="8"/>
        <v>0</v>
      </c>
      <c r="Q332" s="22">
        <f>Tabla13[[#This Row],[Merma Salas A &amp; B2]]*1000/Tabla13[[#This Row],[Peso gr.]]</f>
        <v>0</v>
      </c>
      <c r="R332" s="52"/>
      <c r="S332" s="24">
        <f>Tabla13[[#This Row],[Total piezas NOK]]/Tabla13[[#This Row],[Cant. Fabricada (uds)]]</f>
        <v>0</v>
      </c>
    </row>
    <row r="333" spans="1:20" x14ac:dyDescent="0.3">
      <c r="A333" s="43">
        <v>44543</v>
      </c>
      <c r="B333" s="20" t="s">
        <v>912</v>
      </c>
      <c r="C333" s="20">
        <v>1936</v>
      </c>
      <c r="D333" s="13" t="str">
        <f>VLOOKUP(C:C,'LListat referències'!A:B,2,FALSE)</f>
        <v>Cubilet 200 ml.</v>
      </c>
      <c r="E333" s="18" t="str">
        <f>VLOOKUP(C:C,'LListat referències'!A:D,4,FALSE)</f>
        <v/>
      </c>
      <c r="F333" s="49">
        <f>VLOOKUP(C:C,'LListat referències'!A:E,5,FALSE)</f>
        <v>14.18</v>
      </c>
      <c r="G333" s="49">
        <v>26.58</v>
      </c>
      <c r="H333" s="1" t="s">
        <v>797</v>
      </c>
      <c r="I333" s="25"/>
      <c r="J333" s="25">
        <v>1638</v>
      </c>
      <c r="K333" s="25">
        <v>3760</v>
      </c>
      <c r="L333" s="25">
        <v>5692</v>
      </c>
      <c r="M333" s="20">
        <v>17</v>
      </c>
      <c r="N333" s="1">
        <f>Tabla13[[#This Row],[Noche]]-Tabla13[[#This Row],[Mañana ]]</f>
        <v>4054</v>
      </c>
      <c r="O333" s="58"/>
      <c r="P333" s="21">
        <f t="shared" si="8"/>
        <v>0</v>
      </c>
      <c r="Q333" s="22">
        <f>Tabla13[[#This Row],[Merma Salas A &amp; B2]]*1000/Tabla13[[#This Row],[Peso gr.]]</f>
        <v>0</v>
      </c>
      <c r="R333" s="52"/>
      <c r="S333" s="24">
        <f>Tabla13[[#This Row],[Total piezas NOK]]/Tabla13[[#This Row],[Cant. Fabricada (uds)]]</f>
        <v>0</v>
      </c>
    </row>
    <row r="334" spans="1:20" x14ac:dyDescent="0.3">
      <c r="A334" s="43">
        <v>44543</v>
      </c>
      <c r="B334" s="20" t="s">
        <v>926</v>
      </c>
      <c r="C334" s="20">
        <v>2006</v>
      </c>
      <c r="D334" s="13">
        <f>VLOOKUP(C:C,'LListat referències'!A:B,2,FALSE)</f>
        <v>0</v>
      </c>
      <c r="E334" s="18">
        <f>VLOOKUP(C:C,'LListat referències'!A:D,4,FALSE)</f>
        <v>0</v>
      </c>
      <c r="F334" s="49">
        <f>VLOOKUP(C:C,'LListat referències'!A:E,5,FALSE)</f>
        <v>17</v>
      </c>
      <c r="G334" s="49">
        <v>41.56</v>
      </c>
      <c r="H334" s="1" t="s">
        <v>763</v>
      </c>
      <c r="I334" s="25"/>
      <c r="J334" s="25">
        <v>16812</v>
      </c>
      <c r="K334" s="25">
        <v>20520</v>
      </c>
      <c r="L334" s="25">
        <v>21210</v>
      </c>
      <c r="M334" s="20">
        <v>9</v>
      </c>
      <c r="N334" s="1">
        <f>Tabla13[[#This Row],[Noche]]-Tabla13[[#This Row],[Mañana ]]</f>
        <v>4398</v>
      </c>
      <c r="O334" s="58">
        <v>3</v>
      </c>
      <c r="P334" s="21">
        <f t="shared" si="8"/>
        <v>3</v>
      </c>
      <c r="Q334" s="22">
        <f>Tabla13[[#This Row],[Merma Salas A &amp; B2]]*1000/Tabla13[[#This Row],[Peso gr.]]</f>
        <v>176.47058823529412</v>
      </c>
      <c r="R334" s="52"/>
      <c r="S334" s="24">
        <f>Tabla13[[#This Row],[Total piezas NOK]]/Tabla13[[#This Row],[Cant. Fabricada (uds)]]</f>
        <v>4.0125190594655323E-2</v>
      </c>
    </row>
    <row r="335" spans="1:20" x14ac:dyDescent="0.3">
      <c r="A335" s="43">
        <v>44543</v>
      </c>
      <c r="B335" s="20" t="s">
        <v>912</v>
      </c>
      <c r="C335" s="20">
        <v>1936</v>
      </c>
      <c r="D335" s="13" t="str">
        <f>VLOOKUP(C:C,'LListat referències'!A:B,2,FALSE)</f>
        <v>Cubilet 200 ml.</v>
      </c>
      <c r="E335" s="18" t="str">
        <f>VLOOKUP(C:C,'LListat referències'!A:D,4,FALSE)</f>
        <v/>
      </c>
      <c r="F335" s="49">
        <f>VLOOKUP(C:C,'LListat referències'!A:E,5,FALSE)</f>
        <v>14.18</v>
      </c>
      <c r="G335" s="49">
        <v>26.58</v>
      </c>
      <c r="H335" s="1" t="s">
        <v>797</v>
      </c>
      <c r="I335" s="25"/>
      <c r="J335" s="25">
        <v>7690</v>
      </c>
      <c r="K335" s="25">
        <v>0</v>
      </c>
      <c r="L335" s="25">
        <v>7691</v>
      </c>
      <c r="M335" s="20">
        <v>17</v>
      </c>
      <c r="N335" s="1">
        <f>Tabla13[[#This Row],[Noche]]-Tabla13[[#This Row],[Mañana ]]</f>
        <v>1</v>
      </c>
      <c r="O335" s="58"/>
      <c r="P335" s="21">
        <f t="shared" si="8"/>
        <v>0</v>
      </c>
      <c r="Q335" s="22">
        <f>Tabla13[[#This Row],[Merma Salas A &amp; B2]]*1000/Tabla13[[#This Row],[Peso gr.]]</f>
        <v>0</v>
      </c>
      <c r="R335" s="52"/>
      <c r="S335" s="24">
        <f>Tabla13[[#This Row],[Total piezas NOK]]/Tabla13[[#This Row],[Cant. Fabricada (uds)]]</f>
        <v>0</v>
      </c>
    </row>
    <row r="336" spans="1:20" x14ac:dyDescent="0.3">
      <c r="A336" s="43">
        <v>44543</v>
      </c>
      <c r="B336" s="20" t="s">
        <v>913</v>
      </c>
      <c r="C336" s="20">
        <v>1936</v>
      </c>
      <c r="D336" s="13" t="str">
        <f>VLOOKUP(C:C,'LListat referències'!A:B,2,FALSE)</f>
        <v>Cubilet 200 ml.</v>
      </c>
      <c r="E336" s="18" t="str">
        <f>VLOOKUP(C:C,'LListat referències'!A:D,4,FALSE)</f>
        <v/>
      </c>
      <c r="F336" s="49">
        <f>VLOOKUP(C:C,'LListat referències'!A:E,5,FALSE)</f>
        <v>14.18</v>
      </c>
      <c r="G336" s="49">
        <v>26.58</v>
      </c>
      <c r="H336" s="1" t="s">
        <v>797</v>
      </c>
      <c r="I336" s="25"/>
      <c r="J336" s="25">
        <v>0</v>
      </c>
      <c r="K336" s="25">
        <v>563</v>
      </c>
      <c r="L336" s="25">
        <v>2718</v>
      </c>
      <c r="M336" s="20">
        <v>17</v>
      </c>
      <c r="N336" s="1">
        <f>Tabla13[[#This Row],[Noche]]-Tabla13[[#This Row],[Mañana ]]</f>
        <v>2718</v>
      </c>
      <c r="O336" s="58"/>
      <c r="P336" s="21">
        <f t="shared" si="8"/>
        <v>0</v>
      </c>
      <c r="Q336" s="22">
        <f>Tabla13[[#This Row],[Merma Salas A &amp; B2]]*1000/Tabla13[[#This Row],[Peso gr.]]</f>
        <v>0</v>
      </c>
      <c r="R336" s="52"/>
      <c r="S336" s="24">
        <f>Tabla13[[#This Row],[Total piezas NOK]]/Tabla13[[#This Row],[Cant. Fabricada (uds)]]</f>
        <v>0</v>
      </c>
    </row>
    <row r="337" spans="1:20" x14ac:dyDescent="0.3">
      <c r="A337" s="43">
        <v>44543</v>
      </c>
      <c r="B337" s="20" t="s">
        <v>917</v>
      </c>
      <c r="C337" s="20" t="s">
        <v>615</v>
      </c>
      <c r="D337" s="13" t="str">
        <f>VLOOKUP(C:C,'LListat referències'!A:B,2,FALSE)</f>
        <v>Tarro 50ml Tinter Quadrat</v>
      </c>
      <c r="E337" s="18" t="str">
        <f>VLOOKUP(C:C,'LListat referències'!A:D,4,FALSE)</f>
        <v>T116</v>
      </c>
      <c r="F337" s="49">
        <f>VLOOKUP(C:C,'LListat referències'!A:E,5,FALSE)</f>
        <v>121.5</v>
      </c>
      <c r="G337" s="49">
        <v>126.1</v>
      </c>
      <c r="H337" s="1" t="s">
        <v>8</v>
      </c>
      <c r="I337" s="25"/>
      <c r="J337" s="25">
        <v>30550</v>
      </c>
      <c r="K337" s="25">
        <v>30936</v>
      </c>
      <c r="L337" s="25">
        <v>31378</v>
      </c>
      <c r="M337" s="20">
        <v>30</v>
      </c>
      <c r="N337" s="1">
        <f>Tabla13[[#This Row],[Noche]]-Tabla13[[#This Row],[Mañana ]]</f>
        <v>828</v>
      </c>
      <c r="O337" s="58">
        <v>50</v>
      </c>
      <c r="P337" s="21">
        <f t="shared" si="8"/>
        <v>50</v>
      </c>
      <c r="Q337" s="22">
        <f>Tabla13[[#This Row],[Merma Salas A &amp; B2]]*1000/Tabla13[[#This Row],[Peso gr.]]</f>
        <v>411.52263374485597</v>
      </c>
      <c r="R337" s="52">
        <v>50</v>
      </c>
      <c r="S337" s="24">
        <f>Tabla13[[#This Row],[Total piezas NOK]]/Tabla13[[#This Row],[Cant. Fabricada (uds)]]</f>
        <v>0.49700801176914972</v>
      </c>
    </row>
    <row r="338" spans="1:20" x14ac:dyDescent="0.3">
      <c r="A338" s="43">
        <v>44543</v>
      </c>
      <c r="B338" s="20" t="s">
        <v>839</v>
      </c>
      <c r="C338" s="20" t="s">
        <v>10</v>
      </c>
      <c r="D338" s="13" t="str">
        <f>VLOOKUP(C:C,'LListat referències'!A:B,2,FALSE)</f>
        <v xml:space="preserve">Tapa 100 ml prima </v>
      </c>
      <c r="E338" s="18" t="str">
        <f>VLOOKUP(C:C,'LListat referències'!A:D,4,FALSE)</f>
        <v>#26(100 ml)</v>
      </c>
      <c r="F338" s="49">
        <f>VLOOKUP(C:C,'LListat referències'!A:E,5,FALSE)</f>
        <v>30.3</v>
      </c>
      <c r="G338" s="49">
        <v>66.400000000000006</v>
      </c>
      <c r="H338" s="1" t="s">
        <v>15</v>
      </c>
      <c r="I338" s="25"/>
      <c r="J338" s="25">
        <v>33499</v>
      </c>
      <c r="K338" s="25">
        <v>34221</v>
      </c>
      <c r="L338" s="25">
        <v>35061</v>
      </c>
      <c r="M338" s="20">
        <v>38</v>
      </c>
      <c r="N338" s="1">
        <f>Tabla13[[#This Row],[Noche]]-Tabla13[[#This Row],[Mañana ]]</f>
        <v>1562</v>
      </c>
      <c r="O338" s="58"/>
      <c r="P338" s="21">
        <f t="shared" si="8"/>
        <v>0</v>
      </c>
      <c r="Q338" s="22">
        <f>Tabla13[[#This Row],[Merma Salas A &amp; B2]]*1000/Tabla13[[#This Row],[Peso gr.]]</f>
        <v>0</v>
      </c>
      <c r="R338" s="52"/>
      <c r="S338" s="24">
        <f>Tabla13[[#This Row],[Total piezas NOK]]/Tabla13[[#This Row],[Cant. Fabricada (uds)]]</f>
        <v>0</v>
      </c>
    </row>
    <row r="339" spans="1:20" x14ac:dyDescent="0.3">
      <c r="A339" s="43">
        <v>44543</v>
      </c>
      <c r="B339" s="20" t="s">
        <v>926</v>
      </c>
      <c r="C339" s="20">
        <v>2006</v>
      </c>
      <c r="D339" s="13">
        <f>VLOOKUP(C:C,'LListat referències'!A:B,2,FALSE)</f>
        <v>0</v>
      </c>
      <c r="E339" s="18">
        <f>VLOOKUP(C:C,'LListat referències'!A:D,4,FALSE)</f>
        <v>0</v>
      </c>
      <c r="F339" s="49">
        <f>VLOOKUP(C:C,'LListat referències'!A:E,5,FALSE)</f>
        <v>17</v>
      </c>
      <c r="G339" s="49">
        <v>41.56</v>
      </c>
      <c r="H339" s="1" t="s">
        <v>763</v>
      </c>
      <c r="I339" s="25"/>
      <c r="J339" s="25">
        <v>4608</v>
      </c>
      <c r="K339" s="25">
        <v>8106</v>
      </c>
      <c r="L339" s="25">
        <v>12252</v>
      </c>
      <c r="M339" s="20">
        <v>9</v>
      </c>
      <c r="N339" s="1">
        <f>Tabla13[[#This Row],[Noche]]-Tabla13[[#This Row],[Mañana ]]</f>
        <v>7644</v>
      </c>
      <c r="O339" s="58"/>
      <c r="P339" s="21">
        <f t="shared" si="8"/>
        <v>0</v>
      </c>
      <c r="Q339" s="22">
        <f>Tabla13[[#This Row],[Merma Salas A &amp; B2]]*1000/Tabla13[[#This Row],[Peso gr.]]</f>
        <v>0</v>
      </c>
      <c r="R339" s="52"/>
      <c r="S339" s="24">
        <f>Tabla13[[#This Row],[Total piezas NOK]]/Tabla13[[#This Row],[Cant. Fabricada (uds)]]</f>
        <v>0</v>
      </c>
    </row>
    <row r="340" spans="1:20" x14ac:dyDescent="0.3">
      <c r="A340" s="43">
        <v>44544</v>
      </c>
      <c r="B340" s="20" t="s">
        <v>913</v>
      </c>
      <c r="C340" s="20">
        <v>1936</v>
      </c>
      <c r="D340" s="13" t="str">
        <f>VLOOKUP(C:C,'LListat referències'!A:B,2,FALSE)</f>
        <v>Cubilet 200 ml.</v>
      </c>
      <c r="E340" s="18" t="str">
        <f>VLOOKUP(C:C,'LListat referències'!A:D,4,FALSE)</f>
        <v/>
      </c>
      <c r="F340" s="49">
        <f>VLOOKUP(C:C,'LListat referències'!A:E,5,FALSE)</f>
        <v>14.18</v>
      </c>
      <c r="G340" s="49">
        <v>26.58</v>
      </c>
      <c r="H340" s="1" t="s">
        <v>797</v>
      </c>
      <c r="I340" s="25"/>
      <c r="J340" s="25">
        <v>5090</v>
      </c>
      <c r="K340" s="25">
        <v>6998</v>
      </c>
      <c r="L340" s="25">
        <v>9260</v>
      </c>
      <c r="M340" s="20">
        <v>17</v>
      </c>
      <c r="N340" s="1">
        <f>Tabla13[[#This Row],[Noche]]-Tabla13[[#This Row],[Mañana ]]</f>
        <v>4170</v>
      </c>
      <c r="O340" s="58"/>
      <c r="P340" s="21">
        <f t="shared" si="8"/>
        <v>0</v>
      </c>
      <c r="Q340" s="22">
        <f>Tabla13[[#This Row],[Merma Salas A &amp; B2]]*1000/Tabla13[[#This Row],[Peso gr.]]</f>
        <v>0</v>
      </c>
      <c r="R340" s="52"/>
      <c r="S340" s="24">
        <f>Tabla13[[#This Row],[Total piezas NOK]]/Tabla13[[#This Row],[Cant. Fabricada (uds)]]</f>
        <v>0</v>
      </c>
    </row>
    <row r="341" spans="1:20" x14ac:dyDescent="0.3">
      <c r="A341" s="43">
        <v>44544</v>
      </c>
      <c r="B341" s="20" t="s">
        <v>918</v>
      </c>
      <c r="C341" s="20" t="s">
        <v>615</v>
      </c>
      <c r="D341" s="13" t="str">
        <f>VLOOKUP(C:C,'LListat referències'!A:B,2,FALSE)</f>
        <v>Tarro 50ml Tinter Quadrat</v>
      </c>
      <c r="E341" s="18" t="str">
        <f>VLOOKUP(C:C,'LListat referències'!A:D,4,FALSE)</f>
        <v>T116</v>
      </c>
      <c r="F341" s="49">
        <f>VLOOKUP(C:C,'LListat referències'!A:E,5,FALSE)</f>
        <v>121.5</v>
      </c>
      <c r="G341" s="49">
        <v>126.1</v>
      </c>
      <c r="H341" s="1" t="s">
        <v>8</v>
      </c>
      <c r="I341" s="25"/>
      <c r="J341" s="25">
        <v>31856</v>
      </c>
      <c r="K341" s="25">
        <v>32238</v>
      </c>
      <c r="L341" s="25">
        <v>32698</v>
      </c>
      <c r="M341" s="20">
        <v>30</v>
      </c>
      <c r="N341" s="1">
        <f>Tabla13[[#This Row],[Noche]]-Tabla13[[#This Row],[Mañana ]]</f>
        <v>842</v>
      </c>
      <c r="O341" s="58">
        <v>25</v>
      </c>
      <c r="P341" s="21">
        <f t="shared" si="8"/>
        <v>25</v>
      </c>
      <c r="Q341" s="22">
        <f>Tabla13[[#This Row],[Merma Salas A &amp; B2]]*1000/Tabla13[[#This Row],[Peso gr.]]</f>
        <v>205.76131687242798</v>
      </c>
      <c r="R341" s="52"/>
      <c r="S341" s="24">
        <f>Tabla13[[#This Row],[Total piezas NOK]]/Tabla13[[#This Row],[Cant. Fabricada (uds)]]</f>
        <v>0.24437211029979569</v>
      </c>
      <c r="T341" s="19" t="s">
        <v>922</v>
      </c>
    </row>
    <row r="342" spans="1:20" x14ac:dyDescent="0.3">
      <c r="A342" s="43">
        <v>44544</v>
      </c>
      <c r="B342" s="20" t="s">
        <v>839</v>
      </c>
      <c r="C342" s="20" t="s">
        <v>10</v>
      </c>
      <c r="D342" s="13" t="str">
        <f>VLOOKUP(C:C,'LListat referències'!A:B,2,FALSE)</f>
        <v xml:space="preserve">Tapa 100 ml prima </v>
      </c>
      <c r="E342" s="18" t="str">
        <f>VLOOKUP(C:C,'LListat referències'!A:D,4,FALSE)</f>
        <v>#26(100 ml)</v>
      </c>
      <c r="F342" s="49">
        <f>VLOOKUP(C:C,'LListat referències'!A:E,5,FALSE)</f>
        <v>30.3</v>
      </c>
      <c r="G342" s="49">
        <v>66.400000000000006</v>
      </c>
      <c r="H342" s="1" t="s">
        <v>15</v>
      </c>
      <c r="I342" s="25"/>
      <c r="J342" s="25">
        <v>35959</v>
      </c>
      <c r="K342" s="25">
        <v>36685</v>
      </c>
      <c r="L342" s="25">
        <v>37501</v>
      </c>
      <c r="M342" s="20">
        <v>38</v>
      </c>
      <c r="N342" s="1">
        <f>Tabla13[[#This Row],[Noche]]-Tabla13[[#This Row],[Mañana ]]</f>
        <v>1542</v>
      </c>
      <c r="O342" s="58"/>
      <c r="P342" s="21">
        <f t="shared" si="8"/>
        <v>0</v>
      </c>
      <c r="Q342" s="22">
        <f>Tabla13[[#This Row],[Merma Salas A &amp; B2]]*1000/Tabla13[[#This Row],[Peso gr.]]</f>
        <v>0</v>
      </c>
      <c r="R342" s="52"/>
      <c r="S342" s="24">
        <f>Tabla13[[#This Row],[Total piezas NOK]]/Tabla13[[#This Row],[Cant. Fabricada (uds)]]</f>
        <v>0</v>
      </c>
    </row>
    <row r="343" spans="1:20" x14ac:dyDescent="0.3">
      <c r="A343" s="43">
        <v>44544</v>
      </c>
      <c r="B343" s="20" t="s">
        <v>924</v>
      </c>
      <c r="C343" s="20" t="s">
        <v>668</v>
      </c>
      <c r="D343" s="13" t="str">
        <f>VLOOKUP(C:C,'LListat referències'!A:B,2,FALSE)</f>
        <v>Cubilet 200 ml baix sense nervi</v>
      </c>
      <c r="E343" s="18" t="str">
        <f>VLOOKUP(C:C,'LListat referències'!A:D,4,FALSE)</f>
        <v/>
      </c>
      <c r="F343" s="49">
        <f>VLOOKUP(C:C,'LListat referències'!A:E,5,FALSE)</f>
        <v>21.7</v>
      </c>
      <c r="G343" s="49">
        <v>22.66</v>
      </c>
      <c r="H343" s="1" t="s">
        <v>797</v>
      </c>
      <c r="I343" s="25"/>
      <c r="J343" s="25">
        <v>1728</v>
      </c>
      <c r="K343" s="25">
        <v>3652</v>
      </c>
      <c r="L343" s="25">
        <v>6084</v>
      </c>
      <c r="M343" s="20">
        <v>25</v>
      </c>
      <c r="N343" s="1">
        <f>Tabla13[[#This Row],[Noche]]-Tabla13[[#This Row],[Mañana ]]</f>
        <v>4356</v>
      </c>
      <c r="O343" s="58"/>
      <c r="P343" s="21">
        <f t="shared" si="8"/>
        <v>0</v>
      </c>
      <c r="Q343" s="22">
        <f>Tabla13[[#This Row],[Merma Salas A &amp; B2]]*1000/Tabla13[[#This Row],[Peso gr.]]</f>
        <v>0</v>
      </c>
      <c r="R343" s="52"/>
      <c r="S343" s="24">
        <f>Tabla13[[#This Row],[Total piezas NOK]]/Tabla13[[#This Row],[Cant. Fabricada (uds)]]</f>
        <v>0</v>
      </c>
    </row>
    <row r="344" spans="1:20" x14ac:dyDescent="0.3">
      <c r="A344" s="43">
        <v>44545</v>
      </c>
      <c r="B344" s="20" t="s">
        <v>913</v>
      </c>
      <c r="C344" s="20">
        <v>1936</v>
      </c>
      <c r="D344" s="13" t="str">
        <f>VLOOKUP(C:C,'LListat referències'!A:B,2,FALSE)</f>
        <v>Cubilet 200 ml.</v>
      </c>
      <c r="E344" s="18" t="str">
        <f>VLOOKUP(C:C,'LListat referències'!A:D,4,FALSE)</f>
        <v/>
      </c>
      <c r="F344" s="49">
        <f>VLOOKUP(C:C,'LListat referències'!A:E,5,FALSE)</f>
        <v>14.18</v>
      </c>
      <c r="G344" s="49">
        <v>26.58</v>
      </c>
      <c r="H344" s="1" t="s">
        <v>797</v>
      </c>
      <c r="I344" s="25"/>
      <c r="J344" s="25">
        <v>11370</v>
      </c>
      <c r="K344" s="25">
        <v>13446</v>
      </c>
      <c r="L344" s="25">
        <v>15740</v>
      </c>
      <c r="M344" s="20">
        <v>17</v>
      </c>
      <c r="N344" s="1">
        <f>Tabla13[[#This Row],[Noche]]-Tabla13[[#This Row],[Mañana ]]</f>
        <v>4370</v>
      </c>
      <c r="O344" s="58"/>
      <c r="P344" s="21">
        <f t="shared" si="8"/>
        <v>0</v>
      </c>
      <c r="Q344" s="22">
        <f>Tabla13[[#This Row],[Merma Salas A &amp; B2]]*1000/Tabla13[[#This Row],[Peso gr.]]</f>
        <v>0</v>
      </c>
      <c r="R344" s="52"/>
      <c r="S344" s="24">
        <f>Tabla13[[#This Row],[Total piezas NOK]]/Tabla13[[#This Row],[Cant. Fabricada (uds)]]</f>
        <v>0</v>
      </c>
    </row>
    <row r="345" spans="1:20" x14ac:dyDescent="0.3">
      <c r="A345" s="43">
        <v>44545</v>
      </c>
      <c r="B345" s="20" t="s">
        <v>880</v>
      </c>
      <c r="C345" s="20">
        <v>1897</v>
      </c>
      <c r="D345" s="13" t="str">
        <f>VLOOKUP(C:C,'LListat referències'!A:B,2,FALSE)</f>
        <v>Tapa 50 cc mar mar (6 unit)</v>
      </c>
      <c r="E345" s="18" t="str">
        <f>VLOOKUP(C:C,'LListat referències'!A:D,4,FALSE)</f>
        <v>#6(50 ml)</v>
      </c>
      <c r="F345" s="49">
        <f>VLOOKUP(C:C,'LListat referències'!A:E,5,FALSE)</f>
        <v>32</v>
      </c>
      <c r="G345" s="49">
        <v>81.709999999999994</v>
      </c>
      <c r="H345" s="1" t="s">
        <v>8</v>
      </c>
      <c r="I345" s="25"/>
      <c r="J345" s="25">
        <v>0</v>
      </c>
      <c r="K345" s="25">
        <v>1410</v>
      </c>
      <c r="L345" s="25">
        <v>3546</v>
      </c>
      <c r="M345" s="20">
        <v>17</v>
      </c>
      <c r="N345" s="1">
        <f>Tabla13[[#This Row],[Noche]]-Tabla13[[#This Row],[Mañana ]]</f>
        <v>3546</v>
      </c>
      <c r="O345" s="58"/>
      <c r="P345" s="21">
        <f t="shared" si="8"/>
        <v>0</v>
      </c>
      <c r="Q345" s="22">
        <f>Tabla13[[#This Row],[Merma Salas A &amp; B2]]*1000/Tabla13[[#This Row],[Peso gr.]]</f>
        <v>0</v>
      </c>
      <c r="R345" s="52"/>
      <c r="S345" s="24">
        <f>Tabla13[[#This Row],[Total piezas NOK]]/Tabla13[[#This Row],[Cant. Fabricada (uds)]]</f>
        <v>0</v>
      </c>
    </row>
    <row r="346" spans="1:20" x14ac:dyDescent="0.3">
      <c r="A346" s="43">
        <v>44545</v>
      </c>
      <c r="B346" s="20" t="s">
        <v>914</v>
      </c>
      <c r="C346" s="20" t="s">
        <v>585</v>
      </c>
      <c r="D346" s="13" t="str">
        <f>VLOOKUP(C:C,'LListat referències'!A:B,2,FALSE)</f>
        <v>Tarro 200ml quadrat cònic</v>
      </c>
      <c r="E346" s="18" t="str">
        <f>VLOOKUP(C:C,'LListat referències'!A:D,4,FALSE)</f>
        <v>T083</v>
      </c>
      <c r="F346" s="49">
        <f>VLOOKUP(C:C,'LListat referències'!A:E,5,FALSE)</f>
        <v>233</v>
      </c>
      <c r="G346" s="49">
        <v>111.31</v>
      </c>
      <c r="H346" s="1" t="s">
        <v>7</v>
      </c>
      <c r="I346" s="25"/>
      <c r="J346" s="25">
        <v>0</v>
      </c>
      <c r="K346" s="25">
        <v>134</v>
      </c>
      <c r="L346" s="25">
        <v>376</v>
      </c>
      <c r="M346" s="20">
        <v>51</v>
      </c>
      <c r="N346" s="1">
        <f>Tabla13[[#This Row],[Noche]]-Tabla13[[#This Row],[Mañana ]]</f>
        <v>376</v>
      </c>
      <c r="O346" s="58">
        <v>5</v>
      </c>
      <c r="P346" s="21">
        <f t="shared" si="8"/>
        <v>5</v>
      </c>
      <c r="Q346" s="22">
        <f>Tabla13[[#This Row],[Merma Salas A &amp; B2]]*1000/Tabla13[[#This Row],[Peso gr.]]</f>
        <v>21.459227467811157</v>
      </c>
      <c r="R346" s="52"/>
      <c r="S346" s="24">
        <f>Tabla13[[#This Row],[Total piezas NOK]]/Tabla13[[#This Row],[Cant. Fabricada (uds)]]</f>
        <v>5.707241347822116E-2</v>
      </c>
    </row>
    <row r="347" spans="1:20" x14ac:dyDescent="0.3">
      <c r="A347" s="43">
        <v>44545</v>
      </c>
      <c r="B347" s="20" t="s">
        <v>919</v>
      </c>
      <c r="C347" s="20" t="s">
        <v>615</v>
      </c>
      <c r="D347" s="13" t="str">
        <f>VLOOKUP(C:C,'LListat referències'!A:B,2,FALSE)</f>
        <v>Tarro 50ml Tinter Quadrat</v>
      </c>
      <c r="E347" s="18" t="str">
        <f>VLOOKUP(C:C,'LListat referències'!A:D,4,FALSE)</f>
        <v>T116</v>
      </c>
      <c r="F347" s="49">
        <f>VLOOKUP(C:C,'LListat referències'!A:E,5,FALSE)</f>
        <v>121.5</v>
      </c>
      <c r="G347" s="49">
        <v>126.1</v>
      </c>
      <c r="H347" s="1" t="s">
        <v>8</v>
      </c>
      <c r="I347" s="25"/>
      <c r="J347" s="25">
        <v>33108</v>
      </c>
      <c r="K347" s="25">
        <v>33528</v>
      </c>
      <c r="L347" s="25">
        <v>33982</v>
      </c>
      <c r="M347" s="20">
        <v>30</v>
      </c>
      <c r="N347" s="1">
        <f>Tabla13[[#This Row],[Noche]]-Tabla13[[#This Row],[Mañana ]]</f>
        <v>874</v>
      </c>
      <c r="O347" s="58"/>
      <c r="P347" s="21">
        <f t="shared" si="8"/>
        <v>0</v>
      </c>
      <c r="Q347" s="22">
        <f>Tabla13[[#This Row],[Merma Salas A &amp; B2]]*1000/Tabla13[[#This Row],[Peso gr.]]</f>
        <v>0</v>
      </c>
      <c r="R347" s="52"/>
      <c r="S347" s="24">
        <f>Tabla13[[#This Row],[Total piezas NOK]]/Tabla13[[#This Row],[Cant. Fabricada (uds)]]</f>
        <v>0</v>
      </c>
    </row>
    <row r="348" spans="1:20" x14ac:dyDescent="0.3">
      <c r="A348" s="43">
        <v>44545</v>
      </c>
      <c r="B348" s="20" t="s">
        <v>839</v>
      </c>
      <c r="C348" s="20" t="s">
        <v>10</v>
      </c>
      <c r="D348" s="13" t="str">
        <f>VLOOKUP(C:C,'LListat referències'!A:B,2,FALSE)</f>
        <v xml:space="preserve">Tapa 100 ml prima </v>
      </c>
      <c r="E348" s="18" t="str">
        <f>VLOOKUP(C:C,'LListat referències'!A:D,4,FALSE)</f>
        <v>#26(100 ml)</v>
      </c>
      <c r="F348" s="49">
        <f>VLOOKUP(C:C,'LListat referències'!A:E,5,FALSE)</f>
        <v>30.3</v>
      </c>
      <c r="G348" s="49">
        <v>66.400000000000006</v>
      </c>
      <c r="H348" s="1" t="s">
        <v>15</v>
      </c>
      <c r="I348" s="25"/>
      <c r="J348" s="25">
        <v>38307</v>
      </c>
      <c r="K348" s="25">
        <v>39091</v>
      </c>
      <c r="L348" s="25">
        <v>39473</v>
      </c>
      <c r="M348" s="20">
        <v>38</v>
      </c>
      <c r="N348" s="1">
        <f>Tabla13[[#This Row],[Noche]]-Tabla13[[#This Row],[Mañana ]]</f>
        <v>1166</v>
      </c>
      <c r="O348" s="58"/>
      <c r="P348" s="21">
        <f t="shared" si="8"/>
        <v>0</v>
      </c>
      <c r="Q348" s="22">
        <f>Tabla13[[#This Row],[Merma Salas A &amp; B2]]*1000/Tabla13[[#This Row],[Peso gr.]]</f>
        <v>0</v>
      </c>
      <c r="R348" s="52"/>
      <c r="S348" s="24">
        <f>Tabla13[[#This Row],[Total piezas NOK]]/Tabla13[[#This Row],[Cant. Fabricada (uds)]]</f>
        <v>0</v>
      </c>
    </row>
    <row r="349" spans="1:20" x14ac:dyDescent="0.3">
      <c r="A349" s="43">
        <v>44545</v>
      </c>
      <c r="B349" s="20" t="s">
        <v>924</v>
      </c>
      <c r="C349" s="20" t="s">
        <v>668</v>
      </c>
      <c r="D349" s="13" t="str">
        <f>VLOOKUP(C:C,'LListat referències'!A:B,2,FALSE)</f>
        <v>Cubilet 200 ml baix sense nervi</v>
      </c>
      <c r="E349" s="18" t="str">
        <f>VLOOKUP(C:C,'LListat referències'!A:D,4,FALSE)</f>
        <v/>
      </c>
      <c r="F349" s="49">
        <f>VLOOKUP(C:C,'LListat referències'!A:E,5,FALSE)</f>
        <v>21.7</v>
      </c>
      <c r="G349" s="49">
        <v>22.66</v>
      </c>
      <c r="H349" s="1" t="s">
        <v>797</v>
      </c>
      <c r="I349" s="25"/>
      <c r="J349" s="25">
        <v>6084</v>
      </c>
      <c r="K349" s="25">
        <v>6084</v>
      </c>
      <c r="L349" s="25">
        <v>6368</v>
      </c>
      <c r="M349" s="20">
        <v>25</v>
      </c>
      <c r="N349" s="1">
        <f>Tabla13[[#This Row],[Noche]]-Tabla13[[#This Row],[Mañana ]]</f>
        <v>284</v>
      </c>
      <c r="O349" s="58"/>
      <c r="P349" s="21">
        <f t="shared" si="8"/>
        <v>0</v>
      </c>
      <c r="Q349" s="22">
        <f>Tabla13[[#This Row],[Merma Salas A &amp; B2]]*1000/Tabla13[[#This Row],[Peso gr.]]</f>
        <v>0</v>
      </c>
      <c r="R349" s="52"/>
      <c r="S349" s="24">
        <f>Tabla13[[#This Row],[Total piezas NOK]]/Tabla13[[#This Row],[Cant. Fabricada (uds)]]</f>
        <v>0</v>
      </c>
    </row>
    <row r="350" spans="1:20" ht="15" thickBot="1" x14ac:dyDescent="0.35">
      <c r="A350" s="43">
        <v>44546</v>
      </c>
      <c r="B350" s="20" t="s">
        <v>920</v>
      </c>
      <c r="C350" s="20" t="s">
        <v>615</v>
      </c>
      <c r="D350" s="13" t="str">
        <f>VLOOKUP(C:C,'LListat referències'!A:B,2,FALSE)</f>
        <v>Tarro 50ml Tinter Quadrat</v>
      </c>
      <c r="E350" s="18" t="str">
        <f>VLOOKUP(C:C,'LListat referències'!A:D,4,FALSE)</f>
        <v>T116</v>
      </c>
      <c r="F350" s="49">
        <f>VLOOKUP(C:C,'LListat referències'!A:E,5,FALSE)</f>
        <v>121.5</v>
      </c>
      <c r="G350" s="49">
        <v>126.1</v>
      </c>
      <c r="H350" s="1" t="s">
        <v>8</v>
      </c>
      <c r="I350" s="25"/>
      <c r="J350" s="25">
        <v>34420</v>
      </c>
      <c r="K350" s="25"/>
      <c r="L350" s="25">
        <v>34421</v>
      </c>
      <c r="M350" s="20">
        <v>30</v>
      </c>
      <c r="N350" s="1">
        <f>Tabla13[[#This Row],[Noche]]-Tabla13[[#This Row],[Mañana ]]</f>
        <v>1</v>
      </c>
      <c r="O350" s="58"/>
      <c r="P350" s="21">
        <f t="shared" si="8"/>
        <v>0</v>
      </c>
      <c r="Q350" s="22">
        <f>Tabla13[[#This Row],[Merma Salas A &amp; B2]]*1000/Tabla13[[#This Row],[Peso gr.]]</f>
        <v>0</v>
      </c>
      <c r="R350" s="52"/>
      <c r="S350" s="24">
        <f>Tabla13[[#This Row],[Total piezas NOK]]/Tabla13[[#This Row],[Cant. Fabricada (uds)]]</f>
        <v>0</v>
      </c>
    </row>
    <row r="351" spans="1:20" ht="15.6" thickTop="1" thickBot="1" x14ac:dyDescent="0.35">
      <c r="A351" s="26"/>
      <c r="B351" s="27"/>
      <c r="C351" s="27"/>
      <c r="D351" s="28"/>
      <c r="E351" s="29"/>
      <c r="F351" s="50"/>
      <c r="G351" s="50"/>
      <c r="H351" s="29"/>
      <c r="I351" s="30"/>
      <c r="J351" s="30"/>
      <c r="K351" s="30"/>
      <c r="L351" s="30"/>
      <c r="M351" s="31"/>
      <c r="N351" s="71">
        <f>SUBTOTAL(109,Tabla13[Cant. Fabricada (uds)])</f>
        <v>740782</v>
      </c>
      <c r="O351" s="61">
        <f>SUBTOTAL(109,Tabla13[Merma Salas A &amp; B])</f>
        <v>7213.3509999999997</v>
      </c>
      <c r="P351" s="60">
        <f>SUBTOTAL(109,Tabla13[Merma Salas A &amp; B2])</f>
        <v>7213.3509999999997</v>
      </c>
      <c r="Q351" s="45">
        <f>SUBTOTAL(109,Tabla13[Total piezas NOK])</f>
        <v>99271.608521850416</v>
      </c>
      <c r="R351" s="54">
        <f>SUBTOTAL(109,Tabla13[Merma arranques cambios materiales])</f>
        <v>4739.5</v>
      </c>
      <c r="S351" s="44">
        <f>SUBTOTAL(101,Tabla13[% Merma Producción Sala A y B])</f>
        <v>0.12467089264110652</v>
      </c>
      <c r="T351" s="23"/>
    </row>
    <row r="352" spans="1:20" s="20" customFormat="1" ht="30" thickTop="1" thickBot="1" x14ac:dyDescent="0.35"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21"/>
      <c r="M352" s="21"/>
      <c r="N352" s="70" t="s">
        <v>784</v>
      </c>
      <c r="O352" s="72" t="s">
        <v>851</v>
      </c>
      <c r="P352" s="56" t="s">
        <v>846</v>
      </c>
      <c r="Q352" s="56" t="s">
        <v>754</v>
      </c>
      <c r="R352" s="68" t="s">
        <v>930</v>
      </c>
      <c r="S352" s="73" t="s">
        <v>850</v>
      </c>
      <c r="T352" s="69"/>
    </row>
    <row r="353" spans="3:17" ht="15" thickTop="1" x14ac:dyDescent="0.3">
      <c r="C353" s="12"/>
      <c r="D353" s="43"/>
      <c r="E353" s="43"/>
      <c r="F353" s="43"/>
      <c r="G353" s="43"/>
      <c r="H353" s="43"/>
      <c r="I353" s="43"/>
      <c r="J353" s="43"/>
      <c r="K353" s="43"/>
      <c r="M353" s="20"/>
    </row>
    <row r="354" spans="3:17" x14ac:dyDescent="0.3">
      <c r="C354" s="12"/>
      <c r="D354" s="43"/>
      <c r="E354" s="43"/>
      <c r="F354" s="43"/>
      <c r="G354" s="43"/>
      <c r="H354" s="43"/>
      <c r="I354" s="43"/>
      <c r="J354" s="43"/>
      <c r="K354" s="43"/>
      <c r="M354" s="20"/>
    </row>
    <row r="355" spans="3:17" x14ac:dyDescent="0.3">
      <c r="C355" s="12"/>
      <c r="D355" s="43"/>
      <c r="E355" s="43"/>
      <c r="F355" s="43"/>
      <c r="G355" s="43"/>
      <c r="H355" s="43"/>
      <c r="I355" s="43"/>
      <c r="J355" s="43"/>
      <c r="K355" s="43"/>
      <c r="M355" s="20"/>
    </row>
    <row r="356" spans="3:17" x14ac:dyDescent="0.3">
      <c r="C356" s="12"/>
      <c r="D356" s="17"/>
      <c r="E356" s="2"/>
      <c r="Q356" s="62"/>
    </row>
    <row r="357" spans="3:17" x14ac:dyDescent="0.3">
      <c r="C357" s="12"/>
      <c r="D357" s="17"/>
      <c r="E357" s="2"/>
      <c r="Q357" s="62"/>
    </row>
    <row r="358" spans="3:17" x14ac:dyDescent="0.3">
      <c r="C358" s="12"/>
      <c r="D358" s="17"/>
      <c r="E358" s="2"/>
    </row>
    <row r="359" spans="3:17" x14ac:dyDescent="0.3">
      <c r="C359" s="12"/>
    </row>
  </sheetData>
  <conditionalFormatting sqref="S1:S125 S128:S1048576">
    <cfRule type="colorScale" priority="5">
      <colorScale>
        <cfvo type="percent" val="5"/>
        <cfvo type="percent" val="5"/>
        <color rgb="FF92D050"/>
        <color rgb="FFFF0000"/>
      </colorScale>
    </cfRule>
    <cfRule type="colorScale" priority="6">
      <colorScale>
        <cfvo type="num" val="5"/>
        <cfvo type="num" val="5"/>
        <color rgb="FF92D050"/>
        <color rgb="FFFF0000"/>
      </colorScale>
    </cfRule>
    <cfRule type="colorScale" priority="8">
      <colorScale>
        <cfvo type="percent" val="0"/>
        <cfvo type="percent" val="5"/>
        <color rgb="FF92D050"/>
        <color rgb="FFFF0000"/>
      </colorScale>
    </cfRule>
    <cfRule type="aboveAverage" dxfId="64" priority="9"/>
  </conditionalFormatting>
  <conditionalFormatting sqref="S86:S87">
    <cfRule type="colorScale" priority="7">
      <colorScale>
        <cfvo type="num" val="5"/>
        <cfvo type="num" val="5"/>
        <color rgb="FF92D050"/>
        <color rgb="FFFF0000"/>
      </colorScale>
    </cfRule>
  </conditionalFormatting>
  <conditionalFormatting sqref="S126:S127">
    <cfRule type="colorScale" priority="1">
      <colorScale>
        <cfvo type="percent" val="5"/>
        <cfvo type="percent" val="5"/>
        <color rgb="FF92D050"/>
        <color rgb="FFFF0000"/>
      </colorScale>
    </cfRule>
    <cfRule type="colorScale" priority="2">
      <colorScale>
        <cfvo type="num" val="5"/>
        <cfvo type="num" val="5"/>
        <color rgb="FF92D050"/>
        <color rgb="FFFF0000"/>
      </colorScale>
    </cfRule>
    <cfRule type="colorScale" priority="3">
      <colorScale>
        <cfvo type="percent" val="0"/>
        <cfvo type="percent" val="5"/>
        <color rgb="FF92D050"/>
        <color rgb="FFFF0000"/>
      </colorScale>
    </cfRule>
    <cfRule type="aboveAverage" dxfId="63" priority="4"/>
  </conditionalFormatting>
  <pageMargins left="0.70866141732283472" right="0.70866141732283472" top="0.74803149606299213" bottom="0.74803149606299213" header="0.31496062992125984" footer="0.31496062992125984"/>
  <pageSetup paperSize="9" scale="26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E56FF-0071-437F-AC45-A84541783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Merma separada</vt:lpstr>
      <vt:lpstr>grafica</vt:lpstr>
      <vt:lpstr>LListat referències</vt:lpstr>
      <vt:lpstr>Merma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FABRICA</dc:creator>
  <cp:lastModifiedBy>Manuel</cp:lastModifiedBy>
  <cp:lastPrinted>2021-11-08T14:29:25Z</cp:lastPrinted>
  <dcterms:created xsi:type="dcterms:W3CDTF">2021-02-16T14:32:05Z</dcterms:created>
  <dcterms:modified xsi:type="dcterms:W3CDTF">2022-01-24T07:31:19Z</dcterms:modified>
</cp:coreProperties>
</file>