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UNCUYO\3-Geometría Analítica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F42" i="1" l="1"/>
  <c r="T42" i="1"/>
  <c r="M42" i="1"/>
  <c r="P42" i="1" s="1"/>
  <c r="L42" i="1"/>
  <c r="N42" i="1" s="1"/>
  <c r="J42" i="1"/>
  <c r="I42" i="1"/>
  <c r="H42" i="1"/>
  <c r="G42" i="1"/>
  <c r="Q42" i="1" l="1"/>
  <c r="S42" i="1" s="1"/>
  <c r="O42" i="1"/>
  <c r="R42" i="1" s="1"/>
  <c r="F23" i="1"/>
  <c r="Z42" i="1" l="1"/>
  <c r="W42" i="1"/>
  <c r="Y42" i="1"/>
  <c r="V42" i="1"/>
  <c r="H41" i="1"/>
  <c r="I41" i="1" s="1"/>
  <c r="F41" i="1"/>
  <c r="H40" i="1"/>
  <c r="G40" i="1"/>
  <c r="K39" i="1"/>
  <c r="K36" i="1"/>
  <c r="I39" i="1"/>
  <c r="H39" i="1"/>
  <c r="G39" i="1"/>
  <c r="I37" i="1"/>
  <c r="G3" i="1"/>
  <c r="G18" i="1" s="1"/>
  <c r="G19" i="1" s="1"/>
  <c r="F37" i="1"/>
  <c r="I36" i="1"/>
  <c r="F26" i="1"/>
  <c r="I34" i="1"/>
  <c r="K33" i="1"/>
  <c r="I33" i="1"/>
  <c r="F33" i="1"/>
  <c r="J31" i="1"/>
  <c r="J40" i="1" s="1"/>
  <c r="I31" i="1"/>
  <c r="F31" i="1"/>
  <c r="F40" i="1" s="1"/>
  <c r="K30" i="1"/>
  <c r="J30" i="1"/>
  <c r="J39" i="1" s="1"/>
  <c r="I30" i="1"/>
  <c r="F30" i="1"/>
  <c r="J29" i="1"/>
  <c r="J38" i="1" s="1"/>
  <c r="I29" i="1"/>
  <c r="H29" i="1"/>
  <c r="H38" i="1" s="1"/>
  <c r="F29" i="1"/>
  <c r="F38" i="1" s="1"/>
  <c r="K27" i="1"/>
  <c r="I27" i="1"/>
  <c r="J26" i="1"/>
  <c r="J35" i="1" s="1"/>
  <c r="I26" i="1"/>
  <c r="H26" i="1"/>
  <c r="H35" i="1" s="1"/>
  <c r="I25" i="1"/>
  <c r="H25" i="1"/>
  <c r="H36" i="1" s="1"/>
  <c r="F25" i="1"/>
  <c r="K24" i="1"/>
  <c r="H23" i="1"/>
  <c r="I23" i="1" s="1"/>
  <c r="G23" i="1"/>
  <c r="I22" i="1"/>
  <c r="F22" i="1"/>
  <c r="K21" i="1"/>
  <c r="I21" i="1"/>
  <c r="F21" i="1"/>
  <c r="H20" i="1"/>
  <c r="I20" i="1" s="1"/>
  <c r="F19" i="1"/>
  <c r="I19" i="1"/>
  <c r="F20" i="1"/>
  <c r="G20" i="1" s="1"/>
  <c r="J20" i="1" s="1"/>
  <c r="K18" i="1"/>
  <c r="I18" i="1"/>
  <c r="F18" i="1"/>
  <c r="H17" i="1"/>
  <c r="I17" i="1" s="1"/>
  <c r="F17" i="1"/>
  <c r="G17" i="1" s="1"/>
  <c r="J17" i="1" s="1"/>
  <c r="I16" i="1"/>
  <c r="F16" i="1"/>
  <c r="K15" i="1"/>
  <c r="F12" i="1"/>
  <c r="F13" i="1"/>
  <c r="I13" i="1"/>
  <c r="K12" i="1"/>
  <c r="I12" i="1"/>
  <c r="G12" i="1"/>
  <c r="G13" i="1" s="1"/>
  <c r="H11" i="1"/>
  <c r="I11" i="1" s="1"/>
  <c r="F11" i="1"/>
  <c r="G11" i="1" s="1"/>
  <c r="J11" i="1" s="1"/>
  <c r="K9" i="1"/>
  <c r="J9" i="1"/>
  <c r="I9" i="1"/>
  <c r="H9" i="1"/>
  <c r="G9" i="1"/>
  <c r="F9" i="1"/>
  <c r="H8" i="1"/>
  <c r="I8" i="1" s="1"/>
  <c r="F8" i="1"/>
  <c r="G8" i="1" s="1"/>
  <c r="J8" i="1" s="1"/>
  <c r="I7" i="1"/>
  <c r="I4" i="1"/>
  <c r="F7" i="1"/>
  <c r="K6" i="1"/>
  <c r="J6" i="1"/>
  <c r="J3" i="1"/>
  <c r="J24" i="1" s="1"/>
  <c r="J25" i="1" s="1"/>
  <c r="I6" i="1"/>
  <c r="I3" i="1"/>
  <c r="H6" i="1"/>
  <c r="G6" i="1"/>
  <c r="F6" i="1"/>
  <c r="H5" i="1"/>
  <c r="H32" i="1" s="1"/>
  <c r="F5" i="1"/>
  <c r="F4" i="1"/>
  <c r="F28" i="1" s="1"/>
  <c r="K3" i="1"/>
  <c r="H3" i="1"/>
  <c r="H12" i="1" s="1"/>
  <c r="H13" i="1" s="1"/>
  <c r="F3" i="1"/>
  <c r="U42" i="1" l="1"/>
  <c r="F35" i="1"/>
  <c r="G35" i="1" s="1"/>
  <c r="J23" i="1"/>
  <c r="K23" i="1"/>
  <c r="T23" i="1" s="1"/>
  <c r="T21" i="1"/>
  <c r="K34" i="1"/>
  <c r="T34" i="1" s="1"/>
  <c r="T33" i="1"/>
  <c r="K11" i="1"/>
  <c r="T11" i="1" s="1"/>
  <c r="T9" i="1"/>
  <c r="K20" i="1"/>
  <c r="T20" i="1" s="1"/>
  <c r="T18" i="1"/>
  <c r="K25" i="1"/>
  <c r="T25" i="1" s="1"/>
  <c r="T24" i="1"/>
  <c r="K28" i="1"/>
  <c r="T28" i="1" s="1"/>
  <c r="T27" i="1"/>
  <c r="K32" i="1"/>
  <c r="T30" i="1"/>
  <c r="K38" i="1"/>
  <c r="T38" i="1" s="1"/>
  <c r="T36" i="1"/>
  <c r="K8" i="1"/>
  <c r="T8" i="1" s="1"/>
  <c r="T6" i="1"/>
  <c r="K13" i="1"/>
  <c r="T13" i="1" s="1"/>
  <c r="T12" i="1"/>
  <c r="K16" i="1"/>
  <c r="T16" i="1" s="1"/>
  <c r="T15" i="1"/>
  <c r="K40" i="1"/>
  <c r="T40" i="1" s="1"/>
  <c r="T39" i="1"/>
  <c r="K5" i="1"/>
  <c r="T5" i="1" s="1"/>
  <c r="T3" i="1"/>
  <c r="I40" i="1"/>
  <c r="C40" i="1" s="1"/>
  <c r="I28" i="1"/>
  <c r="I38" i="1"/>
  <c r="I24" i="1"/>
  <c r="I35" i="1"/>
  <c r="G21" i="1"/>
  <c r="G22" i="1" s="1"/>
  <c r="G4" i="1"/>
  <c r="G10" i="1" s="1"/>
  <c r="G7" i="1"/>
  <c r="G24" i="1"/>
  <c r="G33" i="1"/>
  <c r="G15" i="1"/>
  <c r="G16" i="1" s="1"/>
  <c r="G26" i="1"/>
  <c r="L26" i="1" s="1"/>
  <c r="H7" i="1"/>
  <c r="H24" i="1"/>
  <c r="G28" i="1"/>
  <c r="G37" i="1" s="1"/>
  <c r="H15" i="1"/>
  <c r="H16" i="1" s="1"/>
  <c r="H18" i="1"/>
  <c r="H19" i="1" s="1"/>
  <c r="M19" i="1" s="1"/>
  <c r="P19" i="1" s="1"/>
  <c r="H27" i="1"/>
  <c r="H34" i="1"/>
  <c r="H21" i="1"/>
  <c r="H33" i="1"/>
  <c r="M30" i="1"/>
  <c r="L30" i="1"/>
  <c r="F39" i="1"/>
  <c r="I10" i="1"/>
  <c r="J4" i="1"/>
  <c r="J28" i="1" s="1"/>
  <c r="J37" i="1" s="1"/>
  <c r="K7" i="1"/>
  <c r="T7" i="1" s="1"/>
  <c r="J21" i="1"/>
  <c r="J22" i="1" s="1"/>
  <c r="K31" i="1"/>
  <c r="T31" i="1" s="1"/>
  <c r="J33" i="1"/>
  <c r="J36" i="1"/>
  <c r="I15" i="1"/>
  <c r="J34" i="1"/>
  <c r="J27" i="1"/>
  <c r="L6" i="1"/>
  <c r="M6" i="1"/>
  <c r="P6" i="1" s="1"/>
  <c r="M9" i="1"/>
  <c r="L9" i="1"/>
  <c r="K4" i="1"/>
  <c r="T4" i="1" s="1"/>
  <c r="J7" i="1"/>
  <c r="J12" i="1"/>
  <c r="J13" i="1" s="1"/>
  <c r="M12" i="1"/>
  <c r="L12" i="1"/>
  <c r="K26" i="1"/>
  <c r="T26" i="1" s="1"/>
  <c r="M3" i="1"/>
  <c r="P3" i="1" s="1"/>
  <c r="Q3" i="1" s="1"/>
  <c r="L3" i="1"/>
  <c r="K14" i="1"/>
  <c r="T14" i="1" s="1"/>
  <c r="J18" i="1"/>
  <c r="J19" i="1" s="1"/>
  <c r="G25" i="1"/>
  <c r="G27" i="1" s="1"/>
  <c r="F27" i="1"/>
  <c r="F34" i="1"/>
  <c r="H4" i="1"/>
  <c r="F15" i="1"/>
  <c r="J15" i="1"/>
  <c r="J16" i="1" s="1"/>
  <c r="F24" i="1"/>
  <c r="K35" i="1"/>
  <c r="T35" i="1" s="1"/>
  <c r="K17" i="1"/>
  <c r="T17" i="1" s="1"/>
  <c r="K10" i="1"/>
  <c r="T10" i="1" s="1"/>
  <c r="K19" i="1"/>
  <c r="T19" i="1" s="1"/>
  <c r="K22" i="1"/>
  <c r="T22" i="1" s="1"/>
  <c r="M31" i="1"/>
  <c r="P31" i="1" s="1"/>
  <c r="Q31" i="1" s="1"/>
  <c r="L31" i="1"/>
  <c r="I5" i="1"/>
  <c r="M11" i="1"/>
  <c r="P11" i="1" s="1"/>
  <c r="Q11" i="1" s="1"/>
  <c r="L11" i="1"/>
  <c r="L13" i="1"/>
  <c r="M13" i="1"/>
  <c r="H14" i="1"/>
  <c r="L17" i="1"/>
  <c r="M17" i="1"/>
  <c r="P17" i="1" s="1"/>
  <c r="L20" i="1"/>
  <c r="M20" i="1"/>
  <c r="P20" i="1" s="1"/>
  <c r="M23" i="1"/>
  <c r="P23" i="1" s="1"/>
  <c r="Q23" i="1" s="1"/>
  <c r="L23" i="1"/>
  <c r="G29" i="1"/>
  <c r="G38" i="1" s="1"/>
  <c r="M38" i="1" s="1"/>
  <c r="P38" i="1" s="1"/>
  <c r="Q38" i="1" s="1"/>
  <c r="K29" i="1"/>
  <c r="T29" i="1" s="1"/>
  <c r="G41" i="1"/>
  <c r="J41" i="1" s="1"/>
  <c r="K41" i="1"/>
  <c r="T41" i="1" s="1"/>
  <c r="L40" i="1"/>
  <c r="M40" i="1"/>
  <c r="P40" i="1" s="1"/>
  <c r="G5" i="1"/>
  <c r="L5" i="1" s="1"/>
  <c r="L8" i="1"/>
  <c r="M8" i="1"/>
  <c r="F10" i="1"/>
  <c r="F14" i="1"/>
  <c r="F32" i="1"/>
  <c r="K37" i="1"/>
  <c r="T37" i="1" s="1"/>
  <c r="A22" i="1" l="1"/>
  <c r="C22" i="1"/>
  <c r="T32" i="1"/>
  <c r="L38" i="1"/>
  <c r="N38" i="1" s="1"/>
  <c r="O38" i="1" s="1"/>
  <c r="R38" i="1" s="1"/>
  <c r="M35" i="1"/>
  <c r="P35" i="1" s="1"/>
  <c r="Q35" i="1" s="1"/>
  <c r="C23" i="1"/>
  <c r="L35" i="1"/>
  <c r="N35" i="1" s="1"/>
  <c r="O35" i="1" s="1"/>
  <c r="M27" i="1"/>
  <c r="P27" i="1" s="1"/>
  <c r="M26" i="1"/>
  <c r="P26" i="1" s="1"/>
  <c r="A23" i="1"/>
  <c r="N8" i="1"/>
  <c r="O8" i="1" s="1"/>
  <c r="N20" i="1"/>
  <c r="O20" i="1" s="1"/>
  <c r="R20" i="1" s="1"/>
  <c r="N23" i="1"/>
  <c r="O23" i="1" s="1"/>
  <c r="A19" i="1" s="1"/>
  <c r="N13" i="1"/>
  <c r="O13" i="1" s="1"/>
  <c r="N11" i="1"/>
  <c r="O11" i="1" s="1"/>
  <c r="R11" i="1" s="1"/>
  <c r="N40" i="1"/>
  <c r="O40" i="1" s="1"/>
  <c r="R40" i="1" s="1"/>
  <c r="N3" i="1"/>
  <c r="O3" i="1" s="1"/>
  <c r="R3" i="1" s="1"/>
  <c r="N6" i="1"/>
  <c r="O6" i="1" s="1"/>
  <c r="N26" i="1"/>
  <c r="O26" i="1" s="1"/>
  <c r="N30" i="1"/>
  <c r="O30" i="1" s="1"/>
  <c r="R30" i="1" s="1"/>
  <c r="M33" i="1"/>
  <c r="P33" i="1" s="1"/>
  <c r="M16" i="1"/>
  <c r="P16" i="1" s="1"/>
  <c r="S3" i="1"/>
  <c r="S38" i="1"/>
  <c r="S23" i="1"/>
  <c r="S11" i="1"/>
  <c r="S31" i="1"/>
  <c r="L7" i="1"/>
  <c r="M4" i="1"/>
  <c r="P4" i="1" s="1"/>
  <c r="L4" i="1"/>
  <c r="M7" i="1"/>
  <c r="P7" i="1" s="1"/>
  <c r="L33" i="1"/>
  <c r="M5" i="1"/>
  <c r="P5" i="1" s="1"/>
  <c r="Q5" i="1" s="1"/>
  <c r="L19" i="1"/>
  <c r="L18" i="1"/>
  <c r="M18" i="1"/>
  <c r="P18" i="1" s="1"/>
  <c r="H22" i="1"/>
  <c r="M22" i="1" s="1"/>
  <c r="P22" i="1" s="1"/>
  <c r="L21" i="1"/>
  <c r="L16" i="1"/>
  <c r="M21" i="1"/>
  <c r="P21" i="1" s="1"/>
  <c r="P12" i="1"/>
  <c r="M39" i="1"/>
  <c r="P39" i="1" s="1"/>
  <c r="L39" i="1"/>
  <c r="M41" i="1"/>
  <c r="P41" i="1" s="1"/>
  <c r="N17" i="1"/>
  <c r="P30" i="1"/>
  <c r="P8" i="1"/>
  <c r="J10" i="1"/>
  <c r="M15" i="1"/>
  <c r="L15" i="1"/>
  <c r="L27" i="1"/>
  <c r="H10" i="1"/>
  <c r="L10" i="1" s="1"/>
  <c r="H28" i="1"/>
  <c r="L25" i="1"/>
  <c r="N12" i="1"/>
  <c r="N9" i="1"/>
  <c r="G34" i="1"/>
  <c r="L34" i="1" s="1"/>
  <c r="F36" i="1"/>
  <c r="Q6" i="1"/>
  <c r="S6" i="1" s="1"/>
  <c r="Q19" i="1"/>
  <c r="S19" i="1" s="1"/>
  <c r="L24" i="1"/>
  <c r="M24" i="1"/>
  <c r="P24" i="1" s="1"/>
  <c r="M25" i="1"/>
  <c r="P9" i="1"/>
  <c r="N5" i="1"/>
  <c r="O5" i="1" s="1"/>
  <c r="Q40" i="1"/>
  <c r="S40" i="1" s="1"/>
  <c r="Q20" i="1"/>
  <c r="S20" i="1" s="1"/>
  <c r="Q17" i="1"/>
  <c r="S17" i="1" s="1"/>
  <c r="N31" i="1"/>
  <c r="M29" i="1"/>
  <c r="J5" i="1"/>
  <c r="G32" i="1"/>
  <c r="M32" i="1" s="1"/>
  <c r="G14" i="1"/>
  <c r="L14" i="1" s="1"/>
  <c r="L41" i="1"/>
  <c r="P13" i="1"/>
  <c r="I32" i="1"/>
  <c r="I14" i="1"/>
  <c r="L29" i="1"/>
  <c r="R26" i="1" l="1"/>
  <c r="A4" i="1"/>
  <c r="C5" i="1" s="1"/>
  <c r="C4" i="1"/>
  <c r="R13" i="1"/>
  <c r="R8" i="1"/>
  <c r="S5" i="1"/>
  <c r="V40" i="1"/>
  <c r="W40" i="1"/>
  <c r="U40" i="1" s="1"/>
  <c r="Z40" i="1"/>
  <c r="Y40" i="1"/>
  <c r="V3" i="1"/>
  <c r="W3" i="1"/>
  <c r="N4" i="1"/>
  <c r="O4" i="1" s="1"/>
  <c r="R4" i="1" s="1"/>
  <c r="N15" i="1"/>
  <c r="O15" i="1" s="1"/>
  <c r="V20" i="1"/>
  <c r="W20" i="1"/>
  <c r="Z20" i="1"/>
  <c r="Y20" i="1"/>
  <c r="N21" i="1"/>
  <c r="O21" i="1" s="1"/>
  <c r="R21" i="1" s="1"/>
  <c r="R23" i="1"/>
  <c r="R6" i="1"/>
  <c r="W11" i="1"/>
  <c r="V11" i="1"/>
  <c r="Y11" i="1"/>
  <c r="Z11" i="1"/>
  <c r="N33" i="1"/>
  <c r="O33" i="1" s="1"/>
  <c r="R33" i="1" s="1"/>
  <c r="N19" i="1"/>
  <c r="O19" i="1" s="1"/>
  <c r="R19" i="1" s="1"/>
  <c r="W38" i="1"/>
  <c r="V38" i="1"/>
  <c r="Y38" i="1"/>
  <c r="Z38" i="1"/>
  <c r="N18" i="1"/>
  <c r="O18" i="1" s="1"/>
  <c r="R18" i="1" s="1"/>
  <c r="N7" i="1"/>
  <c r="O7" i="1" s="1"/>
  <c r="R7" i="1" s="1"/>
  <c r="Y3" i="1"/>
  <c r="Z3" i="1"/>
  <c r="Q26" i="1"/>
  <c r="S26" i="1" s="1"/>
  <c r="Q27" i="1"/>
  <c r="S27" i="1" s="1"/>
  <c r="Q7" i="1"/>
  <c r="S7" i="1" s="1"/>
  <c r="Q9" i="1"/>
  <c r="S9" i="1" s="1"/>
  <c r="O9" i="1"/>
  <c r="R9" i="1" s="1"/>
  <c r="O17" i="1"/>
  <c r="R17" i="1" s="1"/>
  <c r="S35" i="1"/>
  <c r="O31" i="1"/>
  <c r="R31" i="1" s="1"/>
  <c r="Q33" i="1"/>
  <c r="S33" i="1" s="1"/>
  <c r="Q8" i="1"/>
  <c r="S8" i="1" s="1"/>
  <c r="Q41" i="1"/>
  <c r="S41" i="1" s="1"/>
  <c r="Q12" i="1"/>
  <c r="S12" i="1" s="1"/>
  <c r="Q22" i="1"/>
  <c r="S22" i="1" s="1"/>
  <c r="R35" i="1"/>
  <c r="Q13" i="1"/>
  <c r="S13" i="1" s="1"/>
  <c r="O12" i="1"/>
  <c r="R12" i="1" s="1"/>
  <c r="Q16" i="1"/>
  <c r="S16" i="1" s="1"/>
  <c r="Q30" i="1"/>
  <c r="S30" i="1" s="1"/>
  <c r="V30" i="1" s="1"/>
  <c r="Q21" i="1"/>
  <c r="S21" i="1" s="1"/>
  <c r="Q18" i="1"/>
  <c r="S18" i="1" s="1"/>
  <c r="R5" i="1"/>
  <c r="Q4" i="1"/>
  <c r="S4" i="1" s="1"/>
  <c r="M10" i="1"/>
  <c r="P10" i="1" s="1"/>
  <c r="M14" i="1"/>
  <c r="P14" i="1" s="1"/>
  <c r="L22" i="1"/>
  <c r="N16" i="1"/>
  <c r="M34" i="1"/>
  <c r="N24" i="1"/>
  <c r="N39" i="1"/>
  <c r="Q39" i="1"/>
  <c r="S39" i="1" s="1"/>
  <c r="L32" i="1"/>
  <c r="N34" i="1"/>
  <c r="Q24" i="1"/>
  <c r="S24" i="1" s="1"/>
  <c r="G36" i="1"/>
  <c r="M36" i="1" s="1"/>
  <c r="H37" i="1"/>
  <c r="L28" i="1"/>
  <c r="M28" i="1"/>
  <c r="N10" i="1"/>
  <c r="P15" i="1"/>
  <c r="P25" i="1"/>
  <c r="N25" i="1"/>
  <c r="N27" i="1"/>
  <c r="P32" i="1"/>
  <c r="Q32" i="1" s="1"/>
  <c r="N14" i="1"/>
  <c r="O14" i="1" s="1"/>
  <c r="J32" i="1"/>
  <c r="J14" i="1"/>
  <c r="C13" i="1" s="1"/>
  <c r="N41" i="1"/>
  <c r="N29" i="1"/>
  <c r="P29" i="1"/>
  <c r="C31" i="1" l="1"/>
  <c r="A31" i="1"/>
  <c r="C32" i="1" s="1"/>
  <c r="W26" i="1"/>
  <c r="A5" i="1"/>
  <c r="U38" i="1"/>
  <c r="A13" i="1"/>
  <c r="W8" i="1"/>
  <c r="U3" i="1"/>
  <c r="V13" i="1"/>
  <c r="C26" i="1"/>
  <c r="Z30" i="1"/>
  <c r="Y8" i="1"/>
  <c r="Z8" i="1"/>
  <c r="Y26" i="1"/>
  <c r="W13" i="1"/>
  <c r="Y30" i="1"/>
  <c r="Z13" i="1"/>
  <c r="W7" i="1"/>
  <c r="V7" i="1"/>
  <c r="Y7" i="1"/>
  <c r="Z7" i="1"/>
  <c r="W19" i="1"/>
  <c r="V19" i="1"/>
  <c r="V33" i="1"/>
  <c r="W33" i="1"/>
  <c r="Z33" i="1"/>
  <c r="Y33" i="1"/>
  <c r="V4" i="1"/>
  <c r="W4" i="1"/>
  <c r="Z4" i="1"/>
  <c r="Y4" i="1"/>
  <c r="V26" i="1"/>
  <c r="W35" i="1"/>
  <c r="V35" i="1"/>
  <c r="Y35" i="1"/>
  <c r="Z35" i="1"/>
  <c r="V17" i="1"/>
  <c r="W17" i="1"/>
  <c r="Z17" i="1"/>
  <c r="Y17" i="1"/>
  <c r="V8" i="1"/>
  <c r="W30" i="1"/>
  <c r="U30" i="1" s="1"/>
  <c r="Z26" i="1"/>
  <c r="Y13" i="1"/>
  <c r="N32" i="1"/>
  <c r="O32" i="1" s="1"/>
  <c r="R32" i="1" s="1"/>
  <c r="V12" i="1"/>
  <c r="W12" i="1"/>
  <c r="Z12" i="1"/>
  <c r="Y12" i="1"/>
  <c r="V9" i="1"/>
  <c r="W9" i="1"/>
  <c r="Z9" i="1"/>
  <c r="Y9" i="1"/>
  <c r="W6" i="1"/>
  <c r="V6" i="1"/>
  <c r="Y6" i="1"/>
  <c r="Z6" i="1"/>
  <c r="W18" i="1"/>
  <c r="V18" i="1"/>
  <c r="Y18" i="1"/>
  <c r="Z18" i="1"/>
  <c r="W31" i="1"/>
  <c r="U31" i="1" s="1"/>
  <c r="V31" i="1"/>
  <c r="Y31" i="1"/>
  <c r="Z31" i="1"/>
  <c r="W23" i="1"/>
  <c r="V23" i="1"/>
  <c r="N22" i="1"/>
  <c r="O22" i="1" s="1"/>
  <c r="R22" i="1" s="1"/>
  <c r="V5" i="1"/>
  <c r="W5" i="1"/>
  <c r="R15" i="1"/>
  <c r="V21" i="1"/>
  <c r="W21" i="1"/>
  <c r="Z21" i="1"/>
  <c r="Y21" i="1"/>
  <c r="U11" i="1"/>
  <c r="U20" i="1"/>
  <c r="S32" i="1"/>
  <c r="O27" i="1"/>
  <c r="R27" i="1" s="1"/>
  <c r="O29" i="1"/>
  <c r="R29" i="1" s="1"/>
  <c r="Q14" i="1"/>
  <c r="S14" i="1" s="1"/>
  <c r="O25" i="1"/>
  <c r="R25" i="1" s="1"/>
  <c r="O39" i="1"/>
  <c r="R39" i="1" s="1"/>
  <c r="O10" i="1"/>
  <c r="R10" i="1" s="1"/>
  <c r="O16" i="1"/>
  <c r="R16" i="1" s="1"/>
  <c r="O24" i="1"/>
  <c r="R24" i="1" s="1"/>
  <c r="R14" i="1"/>
  <c r="Q29" i="1"/>
  <c r="S29" i="1" s="1"/>
  <c r="O41" i="1"/>
  <c r="R41" i="1" s="1"/>
  <c r="Q25" i="1"/>
  <c r="S25" i="1" s="1"/>
  <c r="O34" i="1"/>
  <c r="R34" i="1" s="1"/>
  <c r="Q15" i="1"/>
  <c r="S15" i="1" s="1"/>
  <c r="Q10" i="1"/>
  <c r="S10" i="1" s="1"/>
  <c r="L36" i="1"/>
  <c r="N36" i="1" s="1"/>
  <c r="P36" i="1"/>
  <c r="P34" i="1"/>
  <c r="P28" i="1"/>
  <c r="N28" i="1"/>
  <c r="L37" i="1"/>
  <c r="M37" i="1"/>
  <c r="P37" i="1" s="1"/>
  <c r="A32" i="1" l="1"/>
  <c r="Y19" i="1"/>
  <c r="U8" i="1"/>
  <c r="Y5" i="1"/>
  <c r="U26" i="1"/>
  <c r="U35" i="1"/>
  <c r="U5" i="1"/>
  <c r="A14" i="1"/>
  <c r="U13" i="1"/>
  <c r="U23" i="1"/>
  <c r="U17" i="1"/>
  <c r="C24" i="1"/>
  <c r="C25" i="1"/>
  <c r="U7" i="1"/>
  <c r="U19" i="1"/>
  <c r="U18" i="1"/>
  <c r="U6" i="1"/>
  <c r="W22" i="1"/>
  <c r="V22" i="1"/>
  <c r="Y22" i="1"/>
  <c r="Z22" i="1"/>
  <c r="W39" i="1"/>
  <c r="U39" i="1" s="1"/>
  <c r="V39" i="1"/>
  <c r="Y39" i="1"/>
  <c r="Z39" i="1"/>
  <c r="V32" i="1"/>
  <c r="W32" i="1"/>
  <c r="W10" i="1"/>
  <c r="V10" i="1"/>
  <c r="Y10" i="1"/>
  <c r="Z10" i="1"/>
  <c r="U21" i="1"/>
  <c r="U9" i="1"/>
  <c r="U12" i="1"/>
  <c r="U4" i="1"/>
  <c r="U33" i="1"/>
  <c r="N37" i="1"/>
  <c r="O37" i="1" s="1"/>
  <c r="R37" i="1" s="1"/>
  <c r="V29" i="1"/>
  <c r="W29" i="1"/>
  <c r="U29" i="1" s="1"/>
  <c r="Z29" i="1"/>
  <c r="Y29" i="1"/>
  <c r="W14" i="1"/>
  <c r="V14" i="1"/>
  <c r="V24" i="1"/>
  <c r="W24" i="1"/>
  <c r="W27" i="1"/>
  <c r="V27" i="1"/>
  <c r="Y27" i="1"/>
  <c r="Z27" i="1"/>
  <c r="W15" i="1"/>
  <c r="V15" i="1"/>
  <c r="V41" i="1"/>
  <c r="W41" i="1"/>
  <c r="Z41" i="1"/>
  <c r="Y41" i="1"/>
  <c r="V16" i="1"/>
  <c r="W16" i="1"/>
  <c r="Z16" i="1"/>
  <c r="Y16" i="1"/>
  <c r="V25" i="1"/>
  <c r="W25" i="1"/>
  <c r="Z25" i="1"/>
  <c r="Y25" i="1"/>
  <c r="Q34" i="1"/>
  <c r="S34" i="1" s="1"/>
  <c r="V34" i="1" s="1"/>
  <c r="Q37" i="1"/>
  <c r="S37" i="1" s="1"/>
  <c r="O28" i="1"/>
  <c r="R28" i="1" s="1"/>
  <c r="Q36" i="1"/>
  <c r="S36" i="1" s="1"/>
  <c r="O36" i="1"/>
  <c r="R36" i="1" s="1"/>
  <c r="Q28" i="1"/>
  <c r="S28" i="1" s="1"/>
  <c r="Z23" i="1" l="1"/>
  <c r="Y23" i="1"/>
  <c r="U25" i="1"/>
  <c r="U27" i="1"/>
  <c r="Y32" i="1"/>
  <c r="Z19" i="1"/>
  <c r="Z5" i="1"/>
  <c r="Z32" i="1"/>
  <c r="Y15" i="1"/>
  <c r="Z15" i="1"/>
  <c r="C14" i="1"/>
  <c r="Z24" i="1"/>
  <c r="Y24" i="1"/>
  <c r="U32" i="1"/>
  <c r="U14" i="1"/>
  <c r="U15" i="1"/>
  <c r="U16" i="1"/>
  <c r="U41" i="1"/>
  <c r="Z34" i="1"/>
  <c r="U24" i="1"/>
  <c r="V28" i="1"/>
  <c r="W28" i="1"/>
  <c r="Z28" i="1"/>
  <c r="Y28" i="1"/>
  <c r="V36" i="1"/>
  <c r="W36" i="1"/>
  <c r="Z36" i="1"/>
  <c r="Y36" i="1"/>
  <c r="V37" i="1"/>
  <c r="W37" i="1"/>
  <c r="Z37" i="1"/>
  <c r="Y37" i="1"/>
  <c r="W34" i="1"/>
  <c r="U34" i="1" s="1"/>
  <c r="Y34" i="1"/>
  <c r="U10" i="1"/>
  <c r="U22" i="1"/>
  <c r="Z14" i="1" l="1"/>
  <c r="Y14" i="1"/>
  <c r="U37" i="1"/>
  <c r="U36" i="1"/>
  <c r="U28" i="1"/>
  <c r="C39" i="1"/>
</calcChain>
</file>

<file path=xl/sharedStrings.xml><?xml version="1.0" encoding="utf-8"?>
<sst xmlns="http://schemas.openxmlformats.org/spreadsheetml/2006/main" count="77" uniqueCount="38">
  <si>
    <t>CUÁDRICAS</t>
  </si>
  <si>
    <t>SECCIONES CON PLANOS PARALELOS AL PLANO</t>
  </si>
  <si>
    <t>ELIPSOIDE</t>
  </si>
  <si>
    <t>XY</t>
  </si>
  <si>
    <t>YZ</t>
  </si>
  <si>
    <t>XZ</t>
  </si>
  <si>
    <t>HIPERBOLOIDE DE UNA HOJA DE EJE X</t>
  </si>
  <si>
    <t>HIPERBOLOIDE DE UNA HOJA DE EJE Y</t>
  </si>
  <si>
    <t>HIPERBOLOIDE DE UNA HOJA DE EJE Z</t>
  </si>
  <si>
    <t>HIPERBOLOIDE DE DOS HOJAS DE EJE X</t>
  </si>
  <si>
    <t>HIPERBOLOIDE DE DOS HOJAS DE EJE Y</t>
  </si>
  <si>
    <t>HIPERBOLOIDE DE DOS HOJAS DE EJE Z</t>
  </si>
  <si>
    <t>PARABOLOIDE ELÍPTICO DE EJE X</t>
  </si>
  <si>
    <t>PARABOLOIDE ELÍPTICO DE EJE Y</t>
  </si>
  <si>
    <t>PARABOLOIDE ELÍPTICO DE EJE Z</t>
  </si>
  <si>
    <t>PARABOLOIDE HIPERBÓLICO DE EJE X</t>
  </si>
  <si>
    <t>PARABOLOIDE HIPERBÓLICO DE EJE Y</t>
  </si>
  <si>
    <t>PARABOLOIDE HIPERBÓLICO DE EJE Z</t>
  </si>
  <si>
    <t>λ1</t>
  </si>
  <si>
    <t>λ2</t>
  </si>
  <si>
    <t>u1</t>
  </si>
  <si>
    <t>u2</t>
  </si>
  <si>
    <t>v1</t>
  </si>
  <si>
    <t>v2</t>
  </si>
  <si>
    <t>u</t>
  </si>
  <si>
    <t>v</t>
  </si>
  <si>
    <t>f</t>
  </si>
  <si>
    <t>d'</t>
  </si>
  <si>
    <t>e'</t>
  </si>
  <si>
    <t>ax^2</t>
  </si>
  <si>
    <t>cy^2</t>
  </si>
  <si>
    <t>2bxy</t>
  </si>
  <si>
    <t>dx</t>
  </si>
  <si>
    <t>ey</t>
  </si>
  <si>
    <t>x'</t>
  </si>
  <si>
    <t>EXTREMO</t>
  </si>
  <si>
    <t>y'</t>
  </si>
  <si>
    <t>AMBITO DE 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</si>
</sst>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0" fontId="1" fillId="3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7" borderId="5" xfId="0" applyFill="1" applyBorder="1"/>
    <xf numFmtId="0" fontId="0" fillId="7" borderId="0" xfId="0" applyFill="1"/>
    <xf numFmtId="0" fontId="2" fillId="7" borderId="1" xfId="0" applyFont="1" applyFill="1" applyBorder="1" applyAlignment="1">
      <alignment horizontal="center"/>
    </xf>
    <xf numFmtId="0" fontId="0" fillId="7" borderId="1" xfId="0" applyFill="1" applyBorder="1"/>
    <xf numFmtId="0" fontId="2" fillId="8" borderId="5" xfId="0" applyFont="1" applyFill="1" applyBorder="1" applyAlignment="1">
      <alignment horizontal="center"/>
    </xf>
    <xf numFmtId="0" fontId="0" fillId="8" borderId="5" xfId="0" applyFill="1" applyBorder="1"/>
    <xf numFmtId="0" fontId="2" fillId="9" borderId="5" xfId="0" applyFont="1" applyFill="1" applyBorder="1" applyAlignment="1">
      <alignment horizontal="center"/>
    </xf>
    <xf numFmtId="0" fontId="0" fillId="9" borderId="5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1" xfId="0" applyFill="1" applyBorder="1" applyAlignment="1">
      <alignment horizontal="center"/>
    </xf>
    <xf numFmtId="0" fontId="0" fillId="10" borderId="11" xfId="0" applyFill="1" applyBorder="1"/>
    <xf numFmtId="0" fontId="0" fillId="5" borderId="12" xfId="0" applyFill="1" applyBorder="1" applyAlignment="1">
      <alignment horizontal="center"/>
    </xf>
    <xf numFmtId="0" fontId="0" fillId="10" borderId="12" xfId="0" applyFill="1" applyBorder="1"/>
    <xf numFmtId="0" fontId="0" fillId="5" borderId="13" xfId="0" applyFill="1" applyBorder="1" applyAlignment="1">
      <alignment horizontal="center"/>
    </xf>
    <xf numFmtId="0" fontId="0" fillId="10" borderId="13" xfId="0" applyFill="1" applyBorder="1"/>
    <xf numFmtId="0" fontId="2" fillId="5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11" borderId="6" xfId="0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A15" workbookViewId="0">
      <selection activeCell="B24" sqref="B24"/>
    </sheetView>
  </sheetViews>
  <sheetFormatPr baseColWidth="10" defaultRowHeight="15" x14ac:dyDescent="0.25"/>
  <cols>
    <col min="1" max="1" width="23.42578125" customWidth="1"/>
    <col min="3" max="3" width="12.7109375" bestFit="1" customWidth="1"/>
    <col min="4" max="4" width="35.42578125" customWidth="1"/>
    <col min="5" max="5" width="41.85546875" customWidth="1"/>
    <col min="6" max="6" width="21.28515625" customWidth="1"/>
    <col min="7" max="7" width="15.5703125" customWidth="1"/>
    <col min="8" max="8" width="19" customWidth="1"/>
    <col min="9" max="9" width="13.42578125" customWidth="1"/>
    <col min="10" max="10" width="11.85546875" bestFit="1" customWidth="1"/>
    <col min="11" max="11" width="16.28515625" customWidth="1"/>
    <col min="13" max="13" width="12.7109375" bestFit="1" customWidth="1"/>
    <col min="15" max="15" width="13.7109375" customWidth="1"/>
    <col min="16" max="16" width="12.7109375" customWidth="1"/>
    <col min="19" max="19" width="15" customWidth="1"/>
    <col min="20" max="20" width="14.42578125" customWidth="1"/>
    <col min="21" max="21" width="19" customWidth="1"/>
    <col min="24" max="24" width="12.7109375" bestFit="1" customWidth="1"/>
    <col min="25" max="25" width="30.28515625" customWidth="1"/>
    <col min="26" max="26" width="12.7109375" bestFit="1" customWidth="1"/>
  </cols>
  <sheetData>
    <row r="1" spans="1:26" ht="15.75" thickBot="1" x14ac:dyDescent="0.3">
      <c r="A1" s="40">
        <v>5</v>
      </c>
      <c r="B1" s="40">
        <v>5</v>
      </c>
      <c r="C1" s="40">
        <v>7</v>
      </c>
      <c r="K1" s="40">
        <f>B22</f>
        <v>10</v>
      </c>
      <c r="N1" s="72" t="s">
        <v>24</v>
      </c>
      <c r="O1" s="73"/>
      <c r="P1" s="72" t="s">
        <v>25</v>
      </c>
      <c r="Q1" s="74"/>
      <c r="X1">
        <v>0</v>
      </c>
    </row>
    <row r="2" spans="1:26" ht="15.75" thickBot="1" x14ac:dyDescent="0.3">
      <c r="D2" s="34" t="s">
        <v>0</v>
      </c>
      <c r="E2" s="35" t="s">
        <v>1</v>
      </c>
      <c r="F2" s="36" t="s">
        <v>29</v>
      </c>
      <c r="G2" s="37" t="s">
        <v>30</v>
      </c>
      <c r="H2" s="37" t="s">
        <v>31</v>
      </c>
      <c r="I2" s="37" t="s">
        <v>32</v>
      </c>
      <c r="J2" s="37" t="s">
        <v>33</v>
      </c>
      <c r="K2" s="37" t="s">
        <v>26</v>
      </c>
      <c r="L2" s="38" t="s">
        <v>18</v>
      </c>
      <c r="M2" s="38" t="s">
        <v>19</v>
      </c>
      <c r="N2" s="43" t="s">
        <v>20</v>
      </c>
      <c r="O2" s="43" t="s">
        <v>21</v>
      </c>
      <c r="P2" s="45" t="s">
        <v>22</v>
      </c>
      <c r="Q2" s="45" t="s">
        <v>23</v>
      </c>
      <c r="R2" s="41" t="s">
        <v>27</v>
      </c>
      <c r="S2" s="41" t="s">
        <v>28</v>
      </c>
      <c r="T2" s="41" t="s">
        <v>26</v>
      </c>
      <c r="U2" s="55" t="s">
        <v>37</v>
      </c>
      <c r="V2" s="56" t="s">
        <v>35</v>
      </c>
      <c r="W2" s="56" t="s">
        <v>35</v>
      </c>
      <c r="X2" s="57" t="s">
        <v>34</v>
      </c>
      <c r="Y2" s="58" t="s">
        <v>36</v>
      </c>
      <c r="Z2" s="58" t="s">
        <v>36</v>
      </c>
    </row>
    <row r="3" spans="1:26" ht="15.75" thickBot="1" x14ac:dyDescent="0.3">
      <c r="D3" s="6"/>
      <c r="E3" s="19" t="s">
        <v>4</v>
      </c>
      <c r="F3" s="1">
        <f>((1/3)*(4/(B1^2)+ 1/(C1^2)))</f>
        <v>6.0136054421768705E-2</v>
      </c>
      <c r="G3" s="1">
        <f>1/(C1^2)</f>
        <v>2.0408163265306121E-2</v>
      </c>
      <c r="H3" s="1">
        <f>2/((SQRT(3))*(C1^2))</f>
        <v>2.3565317109780645E-2</v>
      </c>
      <c r="I3" s="1">
        <f>((2*K1/SQRT(3))*(2/(B1^2)+1/(C1^2)))</f>
        <v>1.1594136018012078</v>
      </c>
      <c r="J3" s="1">
        <f>2*K1/(C1^2)</f>
        <v>0.40816326530612246</v>
      </c>
      <c r="K3" s="1">
        <f>(((K1^2)*(1/(A1^2) + 1/(B1^2) + 1/(C1^2))) - 1)</f>
        <v>9.0408163265306118</v>
      </c>
      <c r="L3" s="39">
        <f>(((F3+G3)+SQRT(((F3-G3)^2)+(H3^2)))/2)</f>
        <v>6.3367722638283469E-2</v>
      </c>
      <c r="M3" s="39">
        <f>(((F3+G3)-SQRT(((F3-G3)^2)+(H3^2)))/2)</f>
        <v>1.7176495048791353E-2</v>
      </c>
      <c r="N3" s="44">
        <f>1/SQRT(1 + 4*((F3-L3)^2)/(H3^2))</f>
        <v>0.96438435648551157</v>
      </c>
      <c r="O3" s="44">
        <f>-(2*(F3-L3)*N3/H3)</f>
        <v>0.26450484488195225</v>
      </c>
      <c r="P3" s="46">
        <f>(SIGN(-(F3-M3)/H3))*(1/SQRT(1 + 4*((F3-M3)^2)/(H3^2)))</f>
        <v>-0.26450484488195269</v>
      </c>
      <c r="Q3" s="46">
        <f>(-2)*((F3-M3)*P3/H3)</f>
        <v>0.96438435648551157</v>
      </c>
      <c r="R3" s="42">
        <f>((I3*N3)+(J3*O3))</f>
        <v>1.2260815014499138</v>
      </c>
      <c r="S3" s="42">
        <f>((I3*P3)+(J3*Q3))</f>
        <v>8.695575305481551E-2</v>
      </c>
      <c r="T3" s="42">
        <f>K3</f>
        <v>9.0408163265306118</v>
      </c>
      <c r="U3" s="53" t="e">
        <f>IF(NOT(_xlfn.XOR(GESTEP(SIGN(L3)*SIGN(M3),0),GESTEP(V3,W3))),"DENTRO","FUERA")</f>
        <v>#NUM!</v>
      </c>
      <c r="V3" s="54" t="e">
        <f>((SQRT((((R3^2)/(4*L3)) +((S3^2)/(4*M3)) - T3 )*(1/L3)))-(R3/(2*L3)))</f>
        <v>#NUM!</v>
      </c>
      <c r="W3" s="54" t="e">
        <f>(-(SQRT((((R3^2)/(4*L3)) +((S3^2)/(4*M3)) - T3 )*(1/L3)))-(R3/(2*L3)))</f>
        <v>#NUM!</v>
      </c>
      <c r="X3" s="62"/>
      <c r="Y3" s="59" t="e">
        <f>((SQRT((((R3^2)/(4*L3)) +((S3^2)/(4*M3)) - T3 - (L3*((X3 + (R3/(2*L3)))^2)))/M3))-(S3/(2*M3)))</f>
        <v>#NUM!</v>
      </c>
      <c r="Z3" s="59" t="e">
        <f>(-(SQRT((((R3^2)/(4*L3)) +((S3^2)/(4*M3)) - T3 - (L3*((X3 + (R3/(2*L3)))^2)))/M3))-(S3/(2*M3)))</f>
        <v>#NUM!</v>
      </c>
    </row>
    <row r="4" spans="1:26" ht="15.75" thickBot="1" x14ac:dyDescent="0.3">
      <c r="A4" t="e">
        <f>SQRT(((J5^2)/(4*G5) - K5 )*(1/F5))</f>
        <v>#NUM!</v>
      </c>
      <c r="B4">
        <v>2.5</v>
      </c>
      <c r="C4" t="e">
        <f>-SQRT(((J5^2)/(4*G5) - K5 )*(1/F5))</f>
        <v>#NUM!</v>
      </c>
      <c r="D4" s="7" t="s">
        <v>2</v>
      </c>
      <c r="E4" s="20" t="s">
        <v>5</v>
      </c>
      <c r="F4" s="2">
        <f>((1/3)*(4/(A1^2)+ 1/(C1^2)))</f>
        <v>6.0136054421768705E-2</v>
      </c>
      <c r="G4" s="2">
        <f>G3</f>
        <v>2.0408163265306121E-2</v>
      </c>
      <c r="H4" s="2">
        <f>-H3</f>
        <v>-2.3565317109780645E-2</v>
      </c>
      <c r="I4" s="2">
        <f>(((-2)*K1/SQRT(3))*(2/(A1^2)+1/(C1^2)))</f>
        <v>-1.1594136018012078</v>
      </c>
      <c r="J4" s="2">
        <f>J3</f>
        <v>0.40816326530612246</v>
      </c>
      <c r="K4" s="2">
        <f>K3</f>
        <v>9.0408163265306118</v>
      </c>
      <c r="L4" s="39">
        <f t="shared" ref="L4:L41" si="0">(((F4+G4)+SQRT(((F4-G4)^2)+(H4^2)))/2)</f>
        <v>6.3367722638283469E-2</v>
      </c>
      <c r="M4" s="39">
        <f t="shared" ref="M4:M41" si="1">(((F4+G4)-SQRT(((F4-G4)^2)+(H4^2)))/2)</f>
        <v>1.7176495048791353E-2</v>
      </c>
      <c r="N4" s="44">
        <f t="shared" ref="N4:N42" si="2">1/SQRT(1 + 4*((F4-L4)^2)/(H4^2))</f>
        <v>0.96438435648551157</v>
      </c>
      <c r="O4" s="44">
        <f t="shared" ref="O4:O42" si="3">-(2*(F4-L4)*N4/H4)</f>
        <v>-0.26450484488195225</v>
      </c>
      <c r="P4" s="46">
        <f t="shared" ref="P4:P42" si="4">(SIGN(-(F4-M4)/H4))*(1/SQRT(1 + 4*((F4-M4)^2)/(H4^2)))</f>
        <v>0.26450484488195269</v>
      </c>
      <c r="Q4" s="46">
        <f t="shared" ref="Q4:Q42" si="5">(-2)*((F4-M4)*P4/H4)</f>
        <v>0.96438435648551157</v>
      </c>
      <c r="R4" s="42">
        <f t="shared" ref="R4:R42" si="6">((I4*N4)+(J4*O4))</f>
        <v>-1.2260815014499138</v>
      </c>
      <c r="S4" s="42">
        <f t="shared" ref="S4:S42" si="7">((I4*P4)+(J4*Q4))</f>
        <v>8.695575305481551E-2</v>
      </c>
      <c r="T4" s="42">
        <f t="shared" ref="T4:T41" si="8">K4</f>
        <v>9.0408163265306118</v>
      </c>
      <c r="U4" s="49" t="e">
        <f t="shared" ref="U4:U42" si="9">IF(NOT(_xlfn.XOR(GESTEP(SIGN(L4)*SIGN(M4),0),GESTEP(V4,W4))),"DENTRO","FUERA")</f>
        <v>#NUM!</v>
      </c>
      <c r="V4" s="50" t="e">
        <f t="shared" ref="V4:V42" si="10">((SQRT((((R4^2)/(4*L4)) +((S4^2)/(4*M4)) - T4 )*(1/L4)))-(R4/(2*L4)))</f>
        <v>#NUM!</v>
      </c>
      <c r="W4" s="50" t="e">
        <f t="shared" ref="W4:W42" si="11">(-(SQRT((((R4^2)/(4*L4)) +((S4^2)/(4*M4)) - T4 )*(1/L4)))-(R4/(2*L4)))</f>
        <v>#NUM!</v>
      </c>
      <c r="X4" s="63">
        <v>4</v>
      </c>
      <c r="Y4" s="60" t="e">
        <f t="shared" ref="Y4:Y42" si="12">((SQRT((((R4^2)/(4*L4)) +((S4^2)/(4*M4)) - T4 - (L4*((X4 + (R4/(2*L4)))^2)))/M4))-(S4/(2*M4)))</f>
        <v>#NUM!</v>
      </c>
      <c r="Z4" s="60" t="e">
        <f t="shared" ref="Z4:Z42" si="13">(-(SQRT((((R4^2)/(4*L4)) +((S4^2)/(4*M4)) - T4 - (L4*((X4 + (R4/(2*L4)))^2)))/M4))-(S4/(2*M4)))</f>
        <v>#NUM!</v>
      </c>
    </row>
    <row r="5" spans="1:26" ht="15.75" thickBot="1" x14ac:dyDescent="0.3">
      <c r="A5" t="e">
        <f>(-SQRT(((J5^2)/(4*G5) - K5 - F5*(B5^2))/G5)-J5/(2*G5))</f>
        <v>#NUM!</v>
      </c>
      <c r="B5">
        <v>1</v>
      </c>
      <c r="C5" t="e">
        <f>(SQRT(((J5^2)/(4*G5) - K5 - F5*(B5^2))/G5)-J5/(2*G5))</f>
        <v>#NUM!</v>
      </c>
      <c r="D5" s="8"/>
      <c r="E5" s="21" t="s">
        <v>3</v>
      </c>
      <c r="F5" s="3">
        <f>((1/3)*(1/(A1^2) + 1/(B1^2)))</f>
        <v>2.6666666666666665E-2</v>
      </c>
      <c r="G5" s="3">
        <f>3*F5</f>
        <v>7.9999999999999988E-2</v>
      </c>
      <c r="H5" s="3">
        <f>((2/SQRT(3))*(1/(A1^2) - 1/(B1^2)))</f>
        <v>0</v>
      </c>
      <c r="I5" s="3">
        <f>-K1*(H5)</f>
        <v>0</v>
      </c>
      <c r="J5" s="3">
        <f>-(2*K1*G5)</f>
        <v>-1.5999999999999996</v>
      </c>
      <c r="K5" s="3">
        <f>K3</f>
        <v>9.0408163265306118</v>
      </c>
      <c r="L5" s="39">
        <f t="shared" si="0"/>
        <v>7.9999999999999988E-2</v>
      </c>
      <c r="M5" s="39">
        <f t="shared" si="1"/>
        <v>2.6666666666666668E-2</v>
      </c>
      <c r="N5" s="44" t="e">
        <f t="shared" si="2"/>
        <v>#DIV/0!</v>
      </c>
      <c r="O5" s="44" t="e">
        <f t="shared" si="3"/>
        <v>#DIV/0!</v>
      </c>
      <c r="P5" s="46" t="e">
        <f t="shared" si="4"/>
        <v>#DIV/0!</v>
      </c>
      <c r="Q5" s="46" t="e">
        <f t="shared" si="5"/>
        <v>#DIV/0!</v>
      </c>
      <c r="R5" s="42" t="e">
        <f t="shared" si="6"/>
        <v>#DIV/0!</v>
      </c>
      <c r="S5" s="42" t="e">
        <f t="shared" si="7"/>
        <v>#DIV/0!</v>
      </c>
      <c r="T5" s="42">
        <f t="shared" si="8"/>
        <v>9.0408163265306118</v>
      </c>
      <c r="U5" s="49" t="e">
        <f t="shared" si="9"/>
        <v>#DIV/0!</v>
      </c>
      <c r="V5" s="50" t="e">
        <f t="shared" si="10"/>
        <v>#DIV/0!</v>
      </c>
      <c r="W5" s="50" t="e">
        <f t="shared" si="11"/>
        <v>#DIV/0!</v>
      </c>
      <c r="X5" s="63"/>
      <c r="Y5" s="60" t="e">
        <f t="shared" si="12"/>
        <v>#DIV/0!</v>
      </c>
      <c r="Z5" s="60" t="e">
        <f t="shared" si="13"/>
        <v>#DIV/0!</v>
      </c>
    </row>
    <row r="6" spans="1:26" ht="15.75" thickBot="1" x14ac:dyDescent="0.3">
      <c r="B6">
        <v>1.5</v>
      </c>
      <c r="D6" s="9"/>
      <c r="E6" s="22" t="s">
        <v>4</v>
      </c>
      <c r="F6" s="1">
        <f>((1/3)*(4/(B1^2)+ 1/(C1^2)))</f>
        <v>6.0136054421768705E-2</v>
      </c>
      <c r="G6" s="1">
        <f>1/(C1^2)</f>
        <v>2.0408163265306121E-2</v>
      </c>
      <c r="H6" s="1">
        <f>2/((SQRT(3))*(C1^2))</f>
        <v>2.3565317109780645E-2</v>
      </c>
      <c r="I6" s="1">
        <f>((2*K1/SQRT(3))*(2/(B1^2)+1/(C1^2)))</f>
        <v>1.1594136018012078</v>
      </c>
      <c r="J6" s="1">
        <f>2*K1/(C1^2)</f>
        <v>0.40816326530612246</v>
      </c>
      <c r="K6" s="1">
        <f>(((K1^2)*(-1/(A1^2) + 1/(B1^2) + 1/(C1^2))) - 1)</f>
        <v>1.0408163265306123</v>
      </c>
      <c r="L6" s="39">
        <f t="shared" si="0"/>
        <v>6.3367722638283469E-2</v>
      </c>
      <c r="M6" s="39">
        <f t="shared" si="1"/>
        <v>1.7176495048791353E-2</v>
      </c>
      <c r="N6" s="44">
        <f t="shared" si="2"/>
        <v>0.96438435648551157</v>
      </c>
      <c r="O6" s="44">
        <f t="shared" si="3"/>
        <v>0.26450484488195225</v>
      </c>
      <c r="P6" s="46">
        <f t="shared" si="4"/>
        <v>-0.26450484488195269</v>
      </c>
      <c r="Q6" s="46">
        <f t="shared" si="5"/>
        <v>0.96438435648551157</v>
      </c>
      <c r="R6" s="42">
        <f t="shared" si="6"/>
        <v>1.2260815014499138</v>
      </c>
      <c r="S6" s="42">
        <f t="shared" si="7"/>
        <v>8.695575305481551E-2</v>
      </c>
      <c r="T6" s="42">
        <f t="shared" si="8"/>
        <v>1.0408163265306123</v>
      </c>
      <c r="U6" s="49" t="str">
        <f t="shared" si="9"/>
        <v>DENTRO</v>
      </c>
      <c r="V6" s="50">
        <f t="shared" si="10"/>
        <v>-0.79151588541852469</v>
      </c>
      <c r="W6" s="50">
        <f t="shared" si="11"/>
        <v>-18.557159597976224</v>
      </c>
      <c r="X6" s="63"/>
      <c r="Y6" s="60" t="e">
        <f t="shared" si="12"/>
        <v>#NUM!</v>
      </c>
      <c r="Z6" s="60" t="e">
        <f t="shared" si="13"/>
        <v>#NUM!</v>
      </c>
    </row>
    <row r="7" spans="1:26" ht="15.75" thickBot="1" x14ac:dyDescent="0.3">
      <c r="D7" s="10" t="s">
        <v>6</v>
      </c>
      <c r="E7" s="23" t="s">
        <v>5</v>
      </c>
      <c r="F7" s="2">
        <f>((1/3)*(-4/(A1^2)+ 1/(C1^2)))</f>
        <v>-4.6530612244897962E-2</v>
      </c>
      <c r="G7" s="2">
        <f>G3</f>
        <v>2.0408163265306121E-2</v>
      </c>
      <c r="H7" s="2">
        <f>-H3</f>
        <v>-2.3565317109780645E-2</v>
      </c>
      <c r="I7" s="2">
        <f>(((-2)*K1/SQRT(3))*(-2/(A1^2)+1/(C1^2)))</f>
        <v>0.68810725960559493</v>
      </c>
      <c r="J7" s="2">
        <f>J3</f>
        <v>0.40816326530612246</v>
      </c>
      <c r="K7" s="2">
        <f>K6</f>
        <v>1.0408163265306123</v>
      </c>
      <c r="L7" s="39">
        <f t="shared" si="0"/>
        <v>2.2421601769149473E-2</v>
      </c>
      <c r="M7" s="39">
        <f t="shared" si="1"/>
        <v>-4.8544050748741317E-2</v>
      </c>
      <c r="N7" s="44">
        <f t="shared" si="2"/>
        <v>0.16843994253375014</v>
      </c>
      <c r="O7" s="44">
        <f t="shared" si="3"/>
        <v>-0.98571191823941495</v>
      </c>
      <c r="P7" s="46">
        <f t="shared" si="4"/>
        <v>0.98571191823941484</v>
      </c>
      <c r="Q7" s="46">
        <f t="shared" si="5"/>
        <v>0.16843994253375064</v>
      </c>
      <c r="R7" s="42">
        <f t="shared" si="6"/>
        <v>-0.28642664793473849</v>
      </c>
      <c r="S7" s="42">
        <f t="shared" si="7"/>
        <v>0.74702652377284928</v>
      </c>
      <c r="T7" s="42">
        <f t="shared" si="8"/>
        <v>1.0408163265306123</v>
      </c>
      <c r="U7" s="49" t="e">
        <f t="shared" si="9"/>
        <v>#NUM!</v>
      </c>
      <c r="V7" s="50" t="e">
        <f t="shared" si="10"/>
        <v>#NUM!</v>
      </c>
      <c r="W7" s="50" t="e">
        <f t="shared" si="11"/>
        <v>#NUM!</v>
      </c>
      <c r="X7" s="63"/>
      <c r="Y7" s="60">
        <f t="shared" si="12"/>
        <v>16.674469245463559</v>
      </c>
      <c r="Z7" s="60">
        <f t="shared" si="13"/>
        <v>-1.2858374306326006</v>
      </c>
    </row>
    <row r="8" spans="1:26" ht="15.75" thickBot="1" x14ac:dyDescent="0.3">
      <c r="D8" s="12"/>
      <c r="E8" s="24" t="s">
        <v>3</v>
      </c>
      <c r="F8" s="3">
        <f>((1/3)*(-1/(A1^2) + 1/(B1^2)))</f>
        <v>0</v>
      </c>
      <c r="G8" s="3">
        <f>3*F8</f>
        <v>0</v>
      </c>
      <c r="H8" s="3">
        <f>((2/SQRT(3))*(-1/(A1^2) - 1/(B1^2)))</f>
        <v>-9.2376043070340141E-2</v>
      </c>
      <c r="I8" s="3">
        <f>-K1*H8</f>
        <v>0.92376043070340141</v>
      </c>
      <c r="J8" s="3">
        <f>-(2*K1*G8)</f>
        <v>0</v>
      </c>
      <c r="K8" s="3">
        <f>K6</f>
        <v>1.0408163265306123</v>
      </c>
      <c r="L8" s="39">
        <f t="shared" si="0"/>
        <v>4.6188021535170071E-2</v>
      </c>
      <c r="M8" s="39">
        <f t="shared" si="1"/>
        <v>-4.6188021535170071E-2</v>
      </c>
      <c r="N8" s="44">
        <f t="shared" si="2"/>
        <v>0.70710678118654746</v>
      </c>
      <c r="O8" s="44">
        <f t="shared" si="3"/>
        <v>-0.70710678118654746</v>
      </c>
      <c r="P8" s="46">
        <f t="shared" si="4"/>
        <v>0.70710678118654746</v>
      </c>
      <c r="Q8" s="46">
        <f t="shared" si="5"/>
        <v>0.70710678118654746</v>
      </c>
      <c r="R8" s="42">
        <f t="shared" si="6"/>
        <v>0.65319726474218087</v>
      </c>
      <c r="S8" s="42">
        <f t="shared" si="7"/>
        <v>0.65319726474218087</v>
      </c>
      <c r="T8" s="42">
        <f t="shared" si="8"/>
        <v>1.0408163265306123</v>
      </c>
      <c r="U8" s="49" t="e">
        <f t="shared" si="9"/>
        <v>#NUM!</v>
      </c>
      <c r="V8" s="50" t="e">
        <f t="shared" si="10"/>
        <v>#NUM!</v>
      </c>
      <c r="W8" s="50" t="e">
        <f t="shared" si="11"/>
        <v>#NUM!</v>
      </c>
      <c r="X8" s="63"/>
      <c r="Y8" s="60">
        <f t="shared" si="12"/>
        <v>15.587776946632715</v>
      </c>
      <c r="Z8" s="60">
        <f t="shared" si="13"/>
        <v>-1.4456413229017651</v>
      </c>
    </row>
    <row r="9" spans="1:26" ht="15.75" thickBot="1" x14ac:dyDescent="0.3">
      <c r="D9" s="9"/>
      <c r="E9" s="22" t="s">
        <v>4</v>
      </c>
      <c r="F9" s="1">
        <f>((1/3)*(-4/(B1^2)+ 1/(C1^2)))</f>
        <v>-4.6530612244897962E-2</v>
      </c>
      <c r="G9" s="1">
        <f>1/(C1^2)</f>
        <v>2.0408163265306121E-2</v>
      </c>
      <c r="H9" s="1">
        <f>2/((SQRT(3))*(C1^2))</f>
        <v>2.3565317109780645E-2</v>
      </c>
      <c r="I9" s="1">
        <f>((2*K1/SQRT(3))*(-2/(B1^2)+1/(C1^2)))</f>
        <v>-0.68810725960559493</v>
      </c>
      <c r="J9" s="1">
        <f>2*K1/(C1^2)</f>
        <v>0.40816326530612246</v>
      </c>
      <c r="K9" s="1">
        <f>(((K1^2)*(1/(A1^2) - 1/(B1^2) + 1/(C1^2))) - 1)</f>
        <v>1.0408163265306123</v>
      </c>
      <c r="L9" s="39">
        <f t="shared" si="0"/>
        <v>2.2421601769149473E-2</v>
      </c>
      <c r="M9" s="39">
        <f t="shared" si="1"/>
        <v>-4.8544050748741317E-2</v>
      </c>
      <c r="N9" s="44">
        <f t="shared" si="2"/>
        <v>0.16843994253375014</v>
      </c>
      <c r="O9" s="44">
        <f t="shared" si="3"/>
        <v>0.98571191823941495</v>
      </c>
      <c r="P9" s="46">
        <f t="shared" si="4"/>
        <v>-0.98571191823941484</v>
      </c>
      <c r="Q9" s="46">
        <f t="shared" si="5"/>
        <v>0.16843994253375064</v>
      </c>
      <c r="R9" s="42">
        <f t="shared" si="6"/>
        <v>0.28642664793473849</v>
      </c>
      <c r="S9" s="42">
        <f t="shared" si="7"/>
        <v>0.74702652377284928</v>
      </c>
      <c r="T9" s="42">
        <f t="shared" si="8"/>
        <v>1.0408163265306123</v>
      </c>
      <c r="U9" s="49" t="e">
        <f t="shared" si="9"/>
        <v>#NUM!</v>
      </c>
      <c r="V9" s="50" t="e">
        <f t="shared" si="10"/>
        <v>#NUM!</v>
      </c>
      <c r="W9" s="50" t="e">
        <f t="shared" si="11"/>
        <v>#NUM!</v>
      </c>
      <c r="X9" s="63"/>
      <c r="Y9" s="60">
        <f t="shared" si="12"/>
        <v>16.674469245463559</v>
      </c>
      <c r="Z9" s="60">
        <f t="shared" si="13"/>
        <v>-1.2858374306326006</v>
      </c>
    </row>
    <row r="10" spans="1:26" ht="15.75" thickBot="1" x14ac:dyDescent="0.3">
      <c r="D10" s="10" t="s">
        <v>7</v>
      </c>
      <c r="E10" s="23" t="s">
        <v>5</v>
      </c>
      <c r="F10" s="2">
        <f>F4</f>
        <v>6.0136054421768705E-2</v>
      </c>
      <c r="G10" s="2">
        <f>G4</f>
        <v>2.0408163265306121E-2</v>
      </c>
      <c r="H10" s="2">
        <f>H4</f>
        <v>-2.3565317109780645E-2</v>
      </c>
      <c r="I10" s="2">
        <f>I4</f>
        <v>-1.1594136018012078</v>
      </c>
      <c r="J10" s="2">
        <f>J4</f>
        <v>0.40816326530612246</v>
      </c>
      <c r="K10" s="2">
        <f>K9</f>
        <v>1.0408163265306123</v>
      </c>
      <c r="L10" s="39">
        <f t="shared" si="0"/>
        <v>6.3367722638283469E-2</v>
      </c>
      <c r="M10" s="39">
        <f t="shared" si="1"/>
        <v>1.7176495048791353E-2</v>
      </c>
      <c r="N10" s="44">
        <f t="shared" si="2"/>
        <v>0.96438435648551157</v>
      </c>
      <c r="O10" s="44">
        <f t="shared" si="3"/>
        <v>-0.26450484488195225</v>
      </c>
      <c r="P10" s="46">
        <f t="shared" si="4"/>
        <v>0.26450484488195269</v>
      </c>
      <c r="Q10" s="46">
        <f t="shared" si="5"/>
        <v>0.96438435648551157</v>
      </c>
      <c r="R10" s="42">
        <f t="shared" si="6"/>
        <v>-1.2260815014499138</v>
      </c>
      <c r="S10" s="42">
        <f t="shared" si="7"/>
        <v>8.695575305481551E-2</v>
      </c>
      <c r="T10" s="42">
        <f t="shared" si="8"/>
        <v>1.0408163265306123</v>
      </c>
      <c r="U10" s="49" t="str">
        <f t="shared" si="9"/>
        <v>DENTRO</v>
      </c>
      <c r="V10" s="50">
        <f t="shared" si="10"/>
        <v>18.557159597976224</v>
      </c>
      <c r="W10" s="50">
        <f t="shared" si="11"/>
        <v>0.79151588541852469</v>
      </c>
      <c r="X10" s="63"/>
      <c r="Y10" s="60" t="e">
        <f t="shared" si="12"/>
        <v>#NUM!</v>
      </c>
      <c r="Z10" s="60" t="e">
        <f t="shared" si="13"/>
        <v>#NUM!</v>
      </c>
    </row>
    <row r="11" spans="1:26" ht="15.75" thickBot="1" x14ac:dyDescent="0.3">
      <c r="D11" s="12"/>
      <c r="E11" s="24" t="s">
        <v>3</v>
      </c>
      <c r="F11" s="3">
        <f>((1/3)*(1/(A1^2) - 1/(B1^2)))</f>
        <v>0</v>
      </c>
      <c r="G11" s="3">
        <f>3*F11</f>
        <v>0</v>
      </c>
      <c r="H11" s="3">
        <f>((2/SQRT(3))*(1/(A1^2) + 1/(B1^2)))</f>
        <v>9.2376043070340141E-2</v>
      </c>
      <c r="I11" s="3">
        <f>-K1*H11</f>
        <v>-0.92376043070340141</v>
      </c>
      <c r="J11" s="3">
        <f>-(2*K1*G11)</f>
        <v>0</v>
      </c>
      <c r="K11" s="3">
        <f>K9</f>
        <v>1.0408163265306123</v>
      </c>
      <c r="L11" s="39">
        <f t="shared" si="0"/>
        <v>4.6188021535170071E-2</v>
      </c>
      <c r="M11" s="39">
        <f t="shared" si="1"/>
        <v>-4.6188021535170071E-2</v>
      </c>
      <c r="N11" s="44">
        <f t="shared" si="2"/>
        <v>0.70710678118654746</v>
      </c>
      <c r="O11" s="44">
        <f t="shared" si="3"/>
        <v>0.70710678118654746</v>
      </c>
      <c r="P11" s="46">
        <f t="shared" si="4"/>
        <v>-0.70710678118654746</v>
      </c>
      <c r="Q11" s="46">
        <f t="shared" si="5"/>
        <v>0.70710678118654746</v>
      </c>
      <c r="R11" s="42">
        <f t="shared" si="6"/>
        <v>-0.65319726474218087</v>
      </c>
      <c r="S11" s="42">
        <f t="shared" si="7"/>
        <v>0.65319726474218087</v>
      </c>
      <c r="T11" s="42">
        <f t="shared" si="8"/>
        <v>1.0408163265306123</v>
      </c>
      <c r="U11" s="49" t="e">
        <f t="shared" si="9"/>
        <v>#NUM!</v>
      </c>
      <c r="V11" s="50" t="e">
        <f t="shared" si="10"/>
        <v>#NUM!</v>
      </c>
      <c r="W11" s="50" t="e">
        <f t="shared" si="11"/>
        <v>#NUM!</v>
      </c>
      <c r="X11" s="63"/>
      <c r="Y11" s="60">
        <f t="shared" si="12"/>
        <v>15.587776946632715</v>
      </c>
      <c r="Z11" s="60">
        <f t="shared" si="13"/>
        <v>-1.4456413229017651</v>
      </c>
    </row>
    <row r="12" spans="1:26" ht="15.75" thickBot="1" x14ac:dyDescent="0.3">
      <c r="D12" s="9"/>
      <c r="E12" s="22" t="s">
        <v>4</v>
      </c>
      <c r="F12" s="1">
        <f>((1/3)*(4/(B1^2)- 1/(C1^2)))</f>
        <v>4.6530612244897962E-2</v>
      </c>
      <c r="G12" s="1">
        <f>-G3</f>
        <v>-2.0408163265306121E-2</v>
      </c>
      <c r="H12" s="1">
        <f>-H3</f>
        <v>-2.3565317109780645E-2</v>
      </c>
      <c r="I12" s="1">
        <f>((2*K1/SQRT(3))*(2/(B1^2)-1/(C1^2)))</f>
        <v>0.68810725960559493</v>
      </c>
      <c r="J12" s="1">
        <f>-J3</f>
        <v>-0.40816326530612246</v>
      </c>
      <c r="K12" s="1">
        <f>(((K1^2)*(1/(A1^2) + 1/(B1^2) - 1/(C1^2))) - 1)</f>
        <v>4.9591836734693882</v>
      </c>
      <c r="L12" s="39">
        <f t="shared" si="0"/>
        <v>4.8544050748741317E-2</v>
      </c>
      <c r="M12" s="39">
        <f t="shared" si="1"/>
        <v>-2.2421601769149473E-2</v>
      </c>
      <c r="N12" s="44">
        <f t="shared" si="2"/>
        <v>0.98571191823941484</v>
      </c>
      <c r="O12" s="44">
        <f t="shared" si="3"/>
        <v>-0.16843994253375064</v>
      </c>
      <c r="P12" s="46">
        <f t="shared" si="4"/>
        <v>0.16843994253375014</v>
      </c>
      <c r="Q12" s="46">
        <f t="shared" si="5"/>
        <v>0.98571191823941495</v>
      </c>
      <c r="R12" s="42">
        <f t="shared" si="6"/>
        <v>0.74702652377284928</v>
      </c>
      <c r="S12" s="42">
        <f t="shared" si="7"/>
        <v>-0.28642664793473849</v>
      </c>
      <c r="T12" s="42">
        <f t="shared" si="8"/>
        <v>4.9591836734693882</v>
      </c>
      <c r="U12" s="49" t="e">
        <f t="shared" si="9"/>
        <v>#NUM!</v>
      </c>
      <c r="V12" s="50" t="e">
        <f t="shared" si="10"/>
        <v>#NUM!</v>
      </c>
      <c r="W12" s="50" t="e">
        <f t="shared" si="11"/>
        <v>#NUM!</v>
      </c>
      <c r="X12" s="63"/>
      <c r="Y12" s="60">
        <f t="shared" si="12"/>
        <v>9.7983907090613656</v>
      </c>
      <c r="Z12" s="60">
        <f t="shared" si="13"/>
        <v>-22.572975276379886</v>
      </c>
    </row>
    <row r="13" spans="1:26" ht="15.75" thickBot="1" x14ac:dyDescent="0.3">
      <c r="A13">
        <f>SQRT(((J14^2)/(4*G14) - K14 )*(1/F14))</f>
        <v>10.678511705518604</v>
      </c>
      <c r="B13">
        <v>0</v>
      </c>
      <c r="C13">
        <f>-SQRT(((J14^2)/(4*G14) - K14 )*(1/F14))</f>
        <v>-10.678511705518604</v>
      </c>
      <c r="D13" s="10" t="s">
        <v>8</v>
      </c>
      <c r="E13" s="23" t="s">
        <v>5</v>
      </c>
      <c r="F13" s="2">
        <f>((1/3)*(4/(A1^2)- 1/(C1^2)))</f>
        <v>4.6530612244897962E-2</v>
      </c>
      <c r="G13" s="2">
        <f>G12</f>
        <v>-2.0408163265306121E-2</v>
      </c>
      <c r="H13" s="2">
        <f>-H12</f>
        <v>2.3565317109780645E-2</v>
      </c>
      <c r="I13" s="2">
        <f>(((-2)*K1/SQRT(3))*(2/(A1^2)-1/(C1^2)))</f>
        <v>-0.68810725960559493</v>
      </c>
      <c r="J13" s="2">
        <f>J12</f>
        <v>-0.40816326530612246</v>
      </c>
      <c r="K13" s="2">
        <f>K12</f>
        <v>4.9591836734693882</v>
      </c>
      <c r="L13" s="39">
        <f t="shared" si="0"/>
        <v>4.8544050748741317E-2</v>
      </c>
      <c r="M13" s="39">
        <f t="shared" si="1"/>
        <v>-2.2421601769149473E-2</v>
      </c>
      <c r="N13" s="44">
        <f t="shared" si="2"/>
        <v>0.98571191823941484</v>
      </c>
      <c r="O13" s="44">
        <f t="shared" si="3"/>
        <v>0.16843994253375064</v>
      </c>
      <c r="P13" s="46">
        <f t="shared" si="4"/>
        <v>-0.16843994253375014</v>
      </c>
      <c r="Q13" s="46">
        <f t="shared" si="5"/>
        <v>0.98571191823941495</v>
      </c>
      <c r="R13" s="42">
        <f t="shared" si="6"/>
        <v>-0.74702652377284928</v>
      </c>
      <c r="S13" s="42">
        <f t="shared" si="7"/>
        <v>-0.28642664793473849</v>
      </c>
      <c r="T13" s="42">
        <f t="shared" si="8"/>
        <v>4.9591836734693882</v>
      </c>
      <c r="U13" s="49" t="e">
        <f t="shared" si="9"/>
        <v>#NUM!</v>
      </c>
      <c r="V13" s="50" t="e">
        <f t="shared" si="10"/>
        <v>#NUM!</v>
      </c>
      <c r="W13" s="50" t="e">
        <f t="shared" si="11"/>
        <v>#NUM!</v>
      </c>
      <c r="X13" s="63"/>
      <c r="Y13" s="60">
        <f t="shared" si="12"/>
        <v>9.7983907090613656</v>
      </c>
      <c r="Z13" s="60">
        <f t="shared" si="13"/>
        <v>-22.572975276379886</v>
      </c>
    </row>
    <row r="14" spans="1:26" ht="15.75" thickBot="1" x14ac:dyDescent="0.3">
      <c r="A14">
        <f>(-SQRT(((J14^2)/(4*G14) - K14 - F14*(B14^2))/G14)-J14/(2*G14))</f>
        <v>4.1753222622792867</v>
      </c>
      <c r="B14">
        <v>3.5</v>
      </c>
      <c r="C14">
        <f>(SQRT(((J14^2)/(4*G14) - K14 - F14*(B14^2))/G14)-J14/(2*G14))</f>
        <v>15.824677737720712</v>
      </c>
      <c r="D14" s="12"/>
      <c r="E14" s="24" t="s">
        <v>3</v>
      </c>
      <c r="F14" s="3">
        <f>F5</f>
        <v>2.6666666666666665E-2</v>
      </c>
      <c r="G14" s="3">
        <f>G5</f>
        <v>7.9999999999999988E-2</v>
      </c>
      <c r="H14" s="3">
        <f>H5</f>
        <v>0</v>
      </c>
      <c r="I14" s="3">
        <f>I5</f>
        <v>0</v>
      </c>
      <c r="J14" s="3">
        <f>J5</f>
        <v>-1.5999999999999996</v>
      </c>
      <c r="K14" s="3">
        <f>K12</f>
        <v>4.9591836734693882</v>
      </c>
      <c r="L14" s="39">
        <f t="shared" si="0"/>
        <v>7.9999999999999988E-2</v>
      </c>
      <c r="M14" s="39">
        <f t="shared" si="1"/>
        <v>2.6666666666666668E-2</v>
      </c>
      <c r="N14" s="44" t="e">
        <f t="shared" si="2"/>
        <v>#DIV/0!</v>
      </c>
      <c r="O14" s="44" t="e">
        <f t="shared" si="3"/>
        <v>#DIV/0!</v>
      </c>
      <c r="P14" s="46" t="e">
        <f t="shared" si="4"/>
        <v>#DIV/0!</v>
      </c>
      <c r="Q14" s="46" t="e">
        <f t="shared" si="5"/>
        <v>#DIV/0!</v>
      </c>
      <c r="R14" s="42" t="e">
        <f t="shared" si="6"/>
        <v>#DIV/0!</v>
      </c>
      <c r="S14" s="42" t="e">
        <f t="shared" si="7"/>
        <v>#DIV/0!</v>
      </c>
      <c r="T14" s="42">
        <f t="shared" si="8"/>
        <v>4.9591836734693882</v>
      </c>
      <c r="U14" s="49" t="e">
        <f t="shared" si="9"/>
        <v>#DIV/0!</v>
      </c>
      <c r="V14" s="50" t="e">
        <f t="shared" si="10"/>
        <v>#DIV/0!</v>
      </c>
      <c r="W14" s="50" t="e">
        <f t="shared" si="11"/>
        <v>#DIV/0!</v>
      </c>
      <c r="X14" s="63"/>
      <c r="Y14" s="60" t="e">
        <f t="shared" si="12"/>
        <v>#DIV/0!</v>
      </c>
      <c r="Z14" s="60" t="e">
        <f t="shared" si="13"/>
        <v>#DIV/0!</v>
      </c>
    </row>
    <row r="15" spans="1:26" ht="15.75" thickBot="1" x14ac:dyDescent="0.3">
      <c r="B15">
        <v>3.5</v>
      </c>
      <c r="D15" s="4"/>
      <c r="E15" s="25" t="s">
        <v>4</v>
      </c>
      <c r="F15" s="1">
        <f>-F3</f>
        <v>-6.0136054421768705E-2</v>
      </c>
      <c r="G15" s="1">
        <f>-G3</f>
        <v>-2.0408163265306121E-2</v>
      </c>
      <c r="H15" s="1">
        <f>-H3</f>
        <v>-2.3565317109780645E-2</v>
      </c>
      <c r="I15" s="1">
        <f>-I3</f>
        <v>-1.1594136018012078</v>
      </c>
      <c r="J15" s="1">
        <f>-J3</f>
        <v>-0.40816326530612246</v>
      </c>
      <c r="K15" s="1">
        <f>(((K1^2)*(1/(A1^2) - 1/(B1^2) - 1/(C1^2))) - 1)</f>
        <v>-3.0408163265306123</v>
      </c>
      <c r="L15" s="39">
        <f t="shared" si="0"/>
        <v>-1.7176495048791353E-2</v>
      </c>
      <c r="M15" s="39">
        <f t="shared" si="1"/>
        <v>-6.3367722638283469E-2</v>
      </c>
      <c r="N15" s="44">
        <f t="shared" si="2"/>
        <v>0.26450484488195269</v>
      </c>
      <c r="O15" s="44">
        <f t="shared" si="3"/>
        <v>-0.96438435648551157</v>
      </c>
      <c r="P15" s="46">
        <f t="shared" si="4"/>
        <v>0.96438435648551157</v>
      </c>
      <c r="Q15" s="46">
        <f t="shared" si="5"/>
        <v>0.26450484488195225</v>
      </c>
      <c r="R15" s="42">
        <f t="shared" si="6"/>
        <v>8.695575305481551E-2</v>
      </c>
      <c r="S15" s="42">
        <f t="shared" si="7"/>
        <v>-1.2260815014499138</v>
      </c>
      <c r="T15" s="42">
        <f t="shared" si="8"/>
        <v>-3.0408163265306123</v>
      </c>
      <c r="U15" s="49" t="str">
        <f t="shared" si="9"/>
        <v>DENTRO</v>
      </c>
      <c r="V15" s="50">
        <f t="shared" si="10"/>
        <v>15.747039449021543</v>
      </c>
      <c r="W15" s="50">
        <f t="shared" si="11"/>
        <v>-10.684554186003098</v>
      </c>
      <c r="X15" s="63"/>
      <c r="Y15" s="60">
        <f t="shared" si="12"/>
        <v>-2.9211179394201388</v>
      </c>
      <c r="Z15" s="60">
        <f t="shared" si="13"/>
        <v>-16.427557543974611</v>
      </c>
    </row>
    <row r="16" spans="1:26" ht="15.75" thickBot="1" x14ac:dyDescent="0.3">
      <c r="D16" s="11" t="s">
        <v>9</v>
      </c>
      <c r="E16" s="26" t="s">
        <v>5</v>
      </c>
      <c r="F16" s="2">
        <f>((1/3)*(4/(A1^2)- 1/(C1^2)))</f>
        <v>4.6530612244897962E-2</v>
      </c>
      <c r="G16" s="2">
        <f>G15</f>
        <v>-2.0408163265306121E-2</v>
      </c>
      <c r="H16" s="2">
        <f>-H15</f>
        <v>2.3565317109780645E-2</v>
      </c>
      <c r="I16" s="2">
        <f>(((-2)*K1/SQRT(3))*(2/(A1^2)-1/(C1^2)))</f>
        <v>-0.68810725960559493</v>
      </c>
      <c r="J16" s="2">
        <f>J15</f>
        <v>-0.40816326530612246</v>
      </c>
      <c r="K16" s="2">
        <f>K15</f>
        <v>-3.0408163265306123</v>
      </c>
      <c r="L16" s="39">
        <f t="shared" si="0"/>
        <v>4.8544050748741317E-2</v>
      </c>
      <c r="M16" s="39">
        <f t="shared" si="1"/>
        <v>-2.2421601769149473E-2</v>
      </c>
      <c r="N16" s="44">
        <f t="shared" si="2"/>
        <v>0.98571191823941484</v>
      </c>
      <c r="O16" s="44">
        <f t="shared" si="3"/>
        <v>0.16843994253375064</v>
      </c>
      <c r="P16" s="46">
        <f t="shared" si="4"/>
        <v>-0.16843994253375014</v>
      </c>
      <c r="Q16" s="46">
        <f t="shared" si="5"/>
        <v>0.98571191823941495</v>
      </c>
      <c r="R16" s="42">
        <f t="shared" si="6"/>
        <v>-0.74702652377284928</v>
      </c>
      <c r="S16" s="42">
        <f t="shared" si="7"/>
        <v>-0.28642664793473849</v>
      </c>
      <c r="T16" s="42">
        <f t="shared" si="8"/>
        <v>-3.0408163265306123</v>
      </c>
      <c r="U16" s="49" t="str">
        <f t="shared" si="9"/>
        <v>FUERA</v>
      </c>
      <c r="V16" s="50">
        <f t="shared" si="10"/>
        <v>17.843169691317897</v>
      </c>
      <c r="W16" s="50">
        <f t="shared" si="11"/>
        <v>-2.4545378764869383</v>
      </c>
      <c r="X16" s="63"/>
      <c r="Y16" s="60" t="e">
        <f t="shared" si="12"/>
        <v>#NUM!</v>
      </c>
      <c r="Z16" s="60" t="e">
        <f t="shared" si="13"/>
        <v>#NUM!</v>
      </c>
    </row>
    <row r="17" spans="1:26" ht="15.75" thickBot="1" x14ac:dyDescent="0.3">
      <c r="D17" s="5"/>
      <c r="E17" s="27" t="s">
        <v>3</v>
      </c>
      <c r="F17" s="3">
        <f>((1/3)*(1/(A1^2) - 1/(B1^2)))</f>
        <v>0</v>
      </c>
      <c r="G17" s="3">
        <f>3*F17</f>
        <v>0</v>
      </c>
      <c r="H17" s="3">
        <f>((2/SQRT(3))*(1/(A1^2) + 1/(B1^2)))</f>
        <v>9.2376043070340141E-2</v>
      </c>
      <c r="I17" s="3">
        <f>-K1*H17</f>
        <v>-0.92376043070340141</v>
      </c>
      <c r="J17" s="3">
        <f>-(2*K1*G17)</f>
        <v>0</v>
      </c>
      <c r="K17" s="3">
        <f>K15</f>
        <v>-3.0408163265306123</v>
      </c>
      <c r="L17" s="39">
        <f t="shared" si="0"/>
        <v>4.6188021535170071E-2</v>
      </c>
      <c r="M17" s="39">
        <f t="shared" si="1"/>
        <v>-4.6188021535170071E-2</v>
      </c>
      <c r="N17" s="44">
        <f t="shared" si="2"/>
        <v>0.70710678118654746</v>
      </c>
      <c r="O17" s="44">
        <f t="shared" si="3"/>
        <v>0.70710678118654746</v>
      </c>
      <c r="P17" s="46">
        <f t="shared" si="4"/>
        <v>-0.70710678118654746</v>
      </c>
      <c r="Q17" s="46">
        <f t="shared" si="5"/>
        <v>0.70710678118654746</v>
      </c>
      <c r="R17" s="42">
        <f t="shared" si="6"/>
        <v>-0.65319726474218087</v>
      </c>
      <c r="S17" s="42">
        <f t="shared" si="7"/>
        <v>0.65319726474218087</v>
      </c>
      <c r="T17" s="42">
        <f t="shared" si="8"/>
        <v>-3.0408163265306123</v>
      </c>
      <c r="U17" s="49" t="str">
        <f t="shared" si="9"/>
        <v>FUERA</v>
      </c>
      <c r="V17" s="50">
        <f t="shared" si="10"/>
        <v>15.184982075366761</v>
      </c>
      <c r="W17" s="50">
        <f t="shared" si="11"/>
        <v>-1.0428464516358131</v>
      </c>
      <c r="X17" s="63"/>
      <c r="Y17" s="60" t="e">
        <f t="shared" si="12"/>
        <v>#NUM!</v>
      </c>
      <c r="Z17" s="60" t="e">
        <f t="shared" si="13"/>
        <v>#NUM!</v>
      </c>
    </row>
    <row r="18" spans="1:26" ht="15.75" thickBot="1" x14ac:dyDescent="0.3">
      <c r="D18" s="4"/>
      <c r="E18" s="25" t="s">
        <v>4</v>
      </c>
      <c r="F18" s="1">
        <f>((1/3)*(4/(B1^2) - 1/(C1^2)))</f>
        <v>4.6530612244897962E-2</v>
      </c>
      <c r="G18" s="1">
        <f>-G3</f>
        <v>-2.0408163265306121E-2</v>
      </c>
      <c r="H18" s="1">
        <f>-H3</f>
        <v>-2.3565317109780645E-2</v>
      </c>
      <c r="I18" s="1">
        <f>((2*K1/SQRT(3))*(2/(B1^2)-1/(C1^2)))</f>
        <v>0.68810725960559493</v>
      </c>
      <c r="J18" s="1">
        <f>-J3</f>
        <v>-0.40816326530612246</v>
      </c>
      <c r="K18" s="1">
        <f>(((K1^2)*(-1/(A1^2) + 1/(B1^2) - 1/(C1^2))) - 1)</f>
        <v>-3.0408163265306123</v>
      </c>
      <c r="L18" s="39">
        <f t="shared" si="0"/>
        <v>4.8544050748741317E-2</v>
      </c>
      <c r="M18" s="39">
        <f t="shared" si="1"/>
        <v>-2.2421601769149473E-2</v>
      </c>
      <c r="N18" s="44">
        <f t="shared" si="2"/>
        <v>0.98571191823941484</v>
      </c>
      <c r="O18" s="44">
        <f t="shared" si="3"/>
        <v>-0.16843994253375064</v>
      </c>
      <c r="P18" s="46">
        <f t="shared" si="4"/>
        <v>0.16843994253375014</v>
      </c>
      <c r="Q18" s="46">
        <f t="shared" si="5"/>
        <v>0.98571191823941495</v>
      </c>
      <c r="R18" s="42">
        <f t="shared" si="6"/>
        <v>0.74702652377284928</v>
      </c>
      <c r="S18" s="42">
        <f t="shared" si="7"/>
        <v>-0.28642664793473849</v>
      </c>
      <c r="T18" s="42">
        <f t="shared" si="8"/>
        <v>-3.0408163265306123</v>
      </c>
      <c r="U18" s="49" t="str">
        <f t="shared" si="9"/>
        <v>FUERA</v>
      </c>
      <c r="V18" s="50">
        <f t="shared" si="10"/>
        <v>2.4545378764869383</v>
      </c>
      <c r="W18" s="50">
        <f t="shared" si="11"/>
        <v>-17.843169691317897</v>
      </c>
      <c r="X18" s="63"/>
      <c r="Y18" s="60" t="e">
        <f t="shared" si="12"/>
        <v>#NUM!</v>
      </c>
      <c r="Z18" s="60" t="e">
        <f t="shared" si="13"/>
        <v>#NUM!</v>
      </c>
    </row>
    <row r="19" spans="1:26" ht="15.75" thickBot="1" x14ac:dyDescent="0.3">
      <c r="A19" t="e">
        <f>DEGREES(ATAN(O23/N23))</f>
        <v>#DIV/0!</v>
      </c>
      <c r="D19" s="11" t="s">
        <v>10</v>
      </c>
      <c r="E19" s="26" t="s">
        <v>5</v>
      </c>
      <c r="F19" s="2">
        <f>((1/3)*(-4/(A1^2) - 1/(C1^2)))</f>
        <v>-6.0136054421768705E-2</v>
      </c>
      <c r="G19" s="2">
        <f>G18</f>
        <v>-2.0408163265306121E-2</v>
      </c>
      <c r="H19" s="2">
        <f>-H18</f>
        <v>2.3565317109780645E-2</v>
      </c>
      <c r="I19" s="2">
        <f>(((-2)*K1/SQRT(3))*(-2/(A1^2)-1/(C1^2)))</f>
        <v>1.1594136018012078</v>
      </c>
      <c r="J19" s="2">
        <f>J18</f>
        <v>-0.40816326530612246</v>
      </c>
      <c r="K19" s="2">
        <f>K18</f>
        <v>-3.0408163265306123</v>
      </c>
      <c r="L19" s="39">
        <f t="shared" si="0"/>
        <v>-1.7176495048791353E-2</v>
      </c>
      <c r="M19" s="39">
        <f t="shared" si="1"/>
        <v>-6.3367722638283469E-2</v>
      </c>
      <c r="N19" s="44">
        <f t="shared" si="2"/>
        <v>0.26450484488195269</v>
      </c>
      <c r="O19" s="44">
        <f t="shared" si="3"/>
        <v>0.96438435648551157</v>
      </c>
      <c r="P19" s="46">
        <f t="shared" si="4"/>
        <v>-0.96438435648551157</v>
      </c>
      <c r="Q19" s="46">
        <f t="shared" si="5"/>
        <v>0.26450484488195225</v>
      </c>
      <c r="R19" s="42">
        <f t="shared" si="6"/>
        <v>-8.695575305481551E-2</v>
      </c>
      <c r="S19" s="42">
        <f t="shared" si="7"/>
        <v>-1.2260815014499138</v>
      </c>
      <c r="T19" s="42">
        <f t="shared" si="8"/>
        <v>-3.0408163265306123</v>
      </c>
      <c r="U19" s="49" t="str">
        <f t="shared" si="9"/>
        <v>DENTRO</v>
      </c>
      <c r="V19" s="50">
        <f t="shared" si="10"/>
        <v>10.684554186003098</v>
      </c>
      <c r="W19" s="50">
        <f t="shared" si="11"/>
        <v>-15.747039449021543</v>
      </c>
      <c r="X19" s="63"/>
      <c r="Y19" s="60">
        <f t="shared" si="12"/>
        <v>-2.9211179394201388</v>
      </c>
      <c r="Z19" s="60">
        <f t="shared" si="13"/>
        <v>-16.427557543974611</v>
      </c>
    </row>
    <row r="20" spans="1:26" ht="15.75" thickBot="1" x14ac:dyDescent="0.3">
      <c r="D20" s="5"/>
      <c r="E20" s="27" t="s">
        <v>3</v>
      </c>
      <c r="F20" s="3">
        <f>((1/3)*(-1/(A1^2) + 1/(B1^2)))</f>
        <v>0</v>
      </c>
      <c r="G20" s="3">
        <f>3*F20</f>
        <v>0</v>
      </c>
      <c r="H20" s="3">
        <f>((2/SQRT(3))*(-1/(A1^2) - 1/(B1^2)))</f>
        <v>-9.2376043070340141E-2</v>
      </c>
      <c r="I20" s="3">
        <f>-K1*H20</f>
        <v>0.92376043070340141</v>
      </c>
      <c r="J20" s="3">
        <f>-(2*K1*G20)</f>
        <v>0</v>
      </c>
      <c r="K20" s="3">
        <f>K18</f>
        <v>-3.0408163265306123</v>
      </c>
      <c r="L20" s="39">
        <f t="shared" si="0"/>
        <v>4.6188021535170071E-2</v>
      </c>
      <c r="M20" s="39">
        <f t="shared" si="1"/>
        <v>-4.6188021535170071E-2</v>
      </c>
      <c r="N20" s="44">
        <f t="shared" si="2"/>
        <v>0.70710678118654746</v>
      </c>
      <c r="O20" s="44">
        <f t="shared" si="3"/>
        <v>-0.70710678118654746</v>
      </c>
      <c r="P20" s="46">
        <f t="shared" si="4"/>
        <v>0.70710678118654746</v>
      </c>
      <c r="Q20" s="46">
        <f t="shared" si="5"/>
        <v>0.70710678118654746</v>
      </c>
      <c r="R20" s="42">
        <f t="shared" si="6"/>
        <v>0.65319726474218087</v>
      </c>
      <c r="S20" s="42">
        <f t="shared" si="7"/>
        <v>0.65319726474218087</v>
      </c>
      <c r="T20" s="42">
        <f t="shared" si="8"/>
        <v>-3.0408163265306123</v>
      </c>
      <c r="U20" s="49" t="str">
        <f t="shared" si="9"/>
        <v>FUERA</v>
      </c>
      <c r="V20" s="50">
        <f t="shared" si="10"/>
        <v>1.0428464516358131</v>
      </c>
      <c r="W20" s="50">
        <f t="shared" si="11"/>
        <v>-15.184982075366761</v>
      </c>
      <c r="X20" s="63"/>
      <c r="Y20" s="60" t="e">
        <f t="shared" si="12"/>
        <v>#NUM!</v>
      </c>
      <c r="Z20" s="60" t="e">
        <f t="shared" si="13"/>
        <v>#NUM!</v>
      </c>
    </row>
    <row r="21" spans="1:26" ht="15.75" thickBot="1" x14ac:dyDescent="0.3">
      <c r="A21" s="65"/>
      <c r="D21" s="4"/>
      <c r="E21" s="25" t="s">
        <v>4</v>
      </c>
      <c r="F21" s="1">
        <f>((1/3)*(-4/(B1^2)+ 1/(C1^2)))</f>
        <v>-4.6530612244897962E-2</v>
      </c>
      <c r="G21" s="1">
        <f>G3</f>
        <v>2.0408163265306121E-2</v>
      </c>
      <c r="H21" s="1">
        <f>H3</f>
        <v>2.3565317109780645E-2</v>
      </c>
      <c r="I21" s="1">
        <f>((2*K1/SQRT(3))*(-2/(B1^2)+1/(C1^2)))</f>
        <v>-0.68810725960559493</v>
      </c>
      <c r="J21" s="1">
        <f>J3</f>
        <v>0.40816326530612246</v>
      </c>
      <c r="K21" s="1">
        <f>(((K1^2)*(-1/(A1^2) - 1/(B1^2) + 1/(C1^2))) - 1)</f>
        <v>-6.9591836734693882</v>
      </c>
      <c r="L21" s="39">
        <f t="shared" si="0"/>
        <v>2.2421601769149473E-2</v>
      </c>
      <c r="M21" s="39">
        <f t="shared" si="1"/>
        <v>-4.8544050748741317E-2</v>
      </c>
      <c r="N21" s="44">
        <f t="shared" si="2"/>
        <v>0.16843994253375014</v>
      </c>
      <c r="O21" s="44">
        <f t="shared" si="3"/>
        <v>0.98571191823941495</v>
      </c>
      <c r="P21" s="46">
        <f t="shared" si="4"/>
        <v>-0.98571191823941484</v>
      </c>
      <c r="Q21" s="46">
        <f t="shared" si="5"/>
        <v>0.16843994253375064</v>
      </c>
      <c r="R21" s="42">
        <f t="shared" si="6"/>
        <v>0.28642664793473849</v>
      </c>
      <c r="S21" s="42">
        <f t="shared" si="7"/>
        <v>0.74702652377284928</v>
      </c>
      <c r="T21" s="42">
        <f t="shared" si="8"/>
        <v>-6.9591836734693882</v>
      </c>
      <c r="U21" s="49" t="str">
        <f t="shared" si="9"/>
        <v>FUERA</v>
      </c>
      <c r="V21" s="50">
        <f t="shared" si="10"/>
        <v>8.5458665625805494</v>
      </c>
      <c r="W21" s="50">
        <f t="shared" si="11"/>
        <v>-21.32045112989907</v>
      </c>
      <c r="X21" s="63"/>
      <c r="Y21" s="60" t="e">
        <f t="shared" si="12"/>
        <v>#NUM!</v>
      </c>
      <c r="Z21" s="60" t="e">
        <f t="shared" si="13"/>
        <v>#NUM!</v>
      </c>
    </row>
    <row r="22" spans="1:26" ht="15.75" thickBot="1" x14ac:dyDescent="0.3">
      <c r="A22">
        <f>-SQRT(((J23^2)/(4*G23) -K23)/F23)</f>
        <v>-6.247448458762813</v>
      </c>
      <c r="B22">
        <v>10</v>
      </c>
      <c r="C22">
        <f>SQRT(((J23^2)/(4*G23) -K23)/F23)</f>
        <v>6.247448458762813</v>
      </c>
      <c r="D22" s="11" t="s">
        <v>11</v>
      </c>
      <c r="E22" s="26" t="s">
        <v>5</v>
      </c>
      <c r="F22" s="2">
        <f>((1/3)*(-4/(A1^2)+ 1/(C1^2)))</f>
        <v>-4.6530612244897962E-2</v>
      </c>
      <c r="G22" s="2">
        <f>G21</f>
        <v>2.0408163265306121E-2</v>
      </c>
      <c r="H22" s="2">
        <f>-H21</f>
        <v>-2.3565317109780645E-2</v>
      </c>
      <c r="I22" s="2">
        <f>(((-2)*K1/SQRT(3))*(-2/(A1^2)+1/(C1^2)))</f>
        <v>0.68810725960559493</v>
      </c>
      <c r="J22" s="2">
        <f>J21</f>
        <v>0.40816326530612246</v>
      </c>
      <c r="K22" s="2">
        <f>K21</f>
        <v>-6.9591836734693882</v>
      </c>
      <c r="L22" s="39">
        <f t="shared" si="0"/>
        <v>2.2421601769149473E-2</v>
      </c>
      <c r="M22" s="39">
        <f t="shared" si="1"/>
        <v>-4.8544050748741317E-2</v>
      </c>
      <c r="N22" s="44">
        <f t="shared" si="2"/>
        <v>0.16843994253375014</v>
      </c>
      <c r="O22" s="44">
        <f t="shared" si="3"/>
        <v>-0.98571191823941495</v>
      </c>
      <c r="P22" s="46">
        <f t="shared" si="4"/>
        <v>0.98571191823941484</v>
      </c>
      <c r="Q22" s="46">
        <f t="shared" si="5"/>
        <v>0.16843994253375064</v>
      </c>
      <c r="R22" s="42">
        <f t="shared" si="6"/>
        <v>-0.28642664793473849</v>
      </c>
      <c r="S22" s="42">
        <f t="shared" si="7"/>
        <v>0.74702652377284928</v>
      </c>
      <c r="T22" s="42">
        <f t="shared" si="8"/>
        <v>-6.9591836734693882</v>
      </c>
      <c r="U22" s="49" t="str">
        <f t="shared" si="9"/>
        <v>FUERA</v>
      </c>
      <c r="V22" s="50">
        <f t="shared" si="10"/>
        <v>21.32045112989907</v>
      </c>
      <c r="W22" s="50">
        <f t="shared" si="11"/>
        <v>-8.5458665625805494</v>
      </c>
      <c r="X22" s="63"/>
      <c r="Y22" s="60" t="e">
        <f t="shared" si="12"/>
        <v>#NUM!</v>
      </c>
      <c r="Z22" s="60" t="e">
        <f t="shared" si="13"/>
        <v>#NUM!</v>
      </c>
    </row>
    <row r="23" spans="1:26" ht="15.75" thickBot="1" x14ac:dyDescent="0.3">
      <c r="A23" s="66">
        <f>(-SQRT((((J23^2)/(4*G23)) -K23 - (F23*(B23^2)))/G23)-(J23/(2*G23)))</f>
        <v>7.8373926042160864</v>
      </c>
      <c r="B23">
        <v>5</v>
      </c>
      <c r="C23">
        <f>SQRT(((J23^2)/(4*G23) -K23 - F23*(B23^2))/G23)-(J23/(2*G23))</f>
        <v>12.162607395783914</v>
      </c>
      <c r="D23" s="5"/>
      <c r="E23" s="27" t="s">
        <v>3</v>
      </c>
      <c r="F23" s="3">
        <f>((1/3)*(-1/(A1^2) - 1/(B1^2)))</f>
        <v>-2.6666666666666665E-2</v>
      </c>
      <c r="G23" s="3">
        <f>3*F23</f>
        <v>-7.9999999999999988E-2</v>
      </c>
      <c r="H23" s="3">
        <f>((2/SQRT(3))*(-1/(A1^2) + 1/(B1^2)))</f>
        <v>0</v>
      </c>
      <c r="I23" s="3">
        <f>-K1*(H23)</f>
        <v>0</v>
      </c>
      <c r="J23" s="3">
        <f>-(2*K1*G23)</f>
        <v>1.5999999999999996</v>
      </c>
      <c r="K23" s="3">
        <f>K21</f>
        <v>-6.9591836734693882</v>
      </c>
      <c r="L23" s="39">
        <f t="shared" si="0"/>
        <v>-2.6666666666666668E-2</v>
      </c>
      <c r="M23" s="39">
        <f t="shared" si="1"/>
        <v>-7.9999999999999988E-2</v>
      </c>
      <c r="N23" s="44" t="e">
        <f t="shared" si="2"/>
        <v>#DIV/0!</v>
      </c>
      <c r="O23" s="44" t="e">
        <f t="shared" si="3"/>
        <v>#DIV/0!</v>
      </c>
      <c r="P23" s="46" t="e">
        <f t="shared" si="4"/>
        <v>#DIV/0!</v>
      </c>
      <c r="Q23" s="46" t="e">
        <f t="shared" si="5"/>
        <v>#DIV/0!</v>
      </c>
      <c r="R23" s="42" t="e">
        <f t="shared" si="6"/>
        <v>#DIV/0!</v>
      </c>
      <c r="S23" s="42" t="e">
        <f t="shared" si="7"/>
        <v>#DIV/0!</v>
      </c>
      <c r="T23" s="42">
        <f t="shared" si="8"/>
        <v>-6.9591836734693882</v>
      </c>
      <c r="U23" s="49" t="e">
        <f t="shared" si="9"/>
        <v>#DIV/0!</v>
      </c>
      <c r="V23" s="50" t="e">
        <f t="shared" si="10"/>
        <v>#DIV/0!</v>
      </c>
      <c r="W23" s="50" t="e">
        <f t="shared" si="11"/>
        <v>#DIV/0!</v>
      </c>
      <c r="X23" s="63"/>
      <c r="Y23" s="60" t="e">
        <f t="shared" si="12"/>
        <v>#DIV/0!</v>
      </c>
      <c r="Z23" s="60" t="e">
        <f t="shared" si="13"/>
        <v>#DIV/0!</v>
      </c>
    </row>
    <row r="24" spans="1:26" ht="15.75" thickBot="1" x14ac:dyDescent="0.3">
      <c r="B24">
        <v>5</v>
      </c>
      <c r="C24">
        <f>((R25^2)/(4*L25)  - T25 - L25*((B24 + (R25/(2*L25)))^2))/S25</f>
        <v>6.2403373091726522</v>
      </c>
      <c r="D24" s="13"/>
      <c r="E24" s="28" t="s">
        <v>4</v>
      </c>
      <c r="F24" s="1">
        <f>F3</f>
        <v>6.0136054421768705E-2</v>
      </c>
      <c r="G24" s="1">
        <f>G3</f>
        <v>2.0408163265306121E-2</v>
      </c>
      <c r="H24" s="1">
        <f>H3</f>
        <v>2.3565317109780645E-2</v>
      </c>
      <c r="I24" s="1">
        <f>I3</f>
        <v>1.1594136018012078</v>
      </c>
      <c r="J24" s="1">
        <f>J3</f>
        <v>0.40816326530612246</v>
      </c>
      <c r="K24" s="1">
        <f>(((K1^2)*(1/(B1^2) + 1/(C1^2))) - A1*K1)</f>
        <v>-43.95918367346939</v>
      </c>
      <c r="L24" s="39">
        <f t="shared" si="0"/>
        <v>6.3367722638283469E-2</v>
      </c>
      <c r="M24" s="39">
        <f t="shared" si="1"/>
        <v>1.7176495048791353E-2</v>
      </c>
      <c r="N24" s="44">
        <f t="shared" si="2"/>
        <v>0.96438435648551157</v>
      </c>
      <c r="O24" s="44">
        <f t="shared" si="3"/>
        <v>0.26450484488195225</v>
      </c>
      <c r="P24" s="46">
        <f t="shared" si="4"/>
        <v>-0.26450484488195269</v>
      </c>
      <c r="Q24" s="46">
        <f t="shared" si="5"/>
        <v>0.96438435648551157</v>
      </c>
      <c r="R24" s="42">
        <f t="shared" si="6"/>
        <v>1.2260815014499138</v>
      </c>
      <c r="S24" s="42">
        <f t="shared" si="7"/>
        <v>8.695575305481551E-2</v>
      </c>
      <c r="T24" s="42">
        <f t="shared" si="8"/>
        <v>-43.95918367346939</v>
      </c>
      <c r="U24" s="49" t="str">
        <f t="shared" si="9"/>
        <v>DENTRO</v>
      </c>
      <c r="V24" s="50">
        <f t="shared" si="10"/>
        <v>18.415611373668657</v>
      </c>
      <c r="W24" s="50">
        <f t="shared" si="11"/>
        <v>-37.764286857063411</v>
      </c>
      <c r="X24" s="63"/>
      <c r="Y24" s="60">
        <f t="shared" si="12"/>
        <v>48.121211280549609</v>
      </c>
      <c r="Z24" s="60">
        <f t="shared" si="13"/>
        <v>-53.183696543568054</v>
      </c>
    </row>
    <row r="25" spans="1:26" ht="15.75" thickBot="1" x14ac:dyDescent="0.3">
      <c r="B25">
        <v>25</v>
      </c>
      <c r="C25">
        <f>((R25^2)/(4*L25)  - T25 - L25*((B25 + (R25/(2*L25)))^2))/S25</f>
        <v>-6.6867488282863903</v>
      </c>
      <c r="D25" s="14" t="s">
        <v>12</v>
      </c>
      <c r="E25" s="29" t="s">
        <v>5</v>
      </c>
      <c r="F25" s="2">
        <f>1/(3*(C1^2))</f>
        <v>6.8027210884353739E-3</v>
      </c>
      <c r="G25" s="2">
        <f>3*F25</f>
        <v>2.0408163265306121E-2</v>
      </c>
      <c r="H25" s="2">
        <f>-2/((SQRT(3))*(C1^2))</f>
        <v>-2.3565317109780645E-2</v>
      </c>
      <c r="I25" s="2">
        <f xml:space="preserve"> ((2/SQRT(3))*(A1-K1/(C1^2)))</f>
        <v>5.5378495207984519</v>
      </c>
      <c r="J25" s="2">
        <f>J24</f>
        <v>0.40816326530612246</v>
      </c>
      <c r="K25" s="2">
        <f>K24</f>
        <v>-43.95918367346939</v>
      </c>
      <c r="L25" s="39">
        <f t="shared" si="0"/>
        <v>2.7210884353741496E-2</v>
      </c>
      <c r="M25" s="39">
        <f t="shared" si="1"/>
        <v>0</v>
      </c>
      <c r="N25" s="44">
        <f t="shared" si="2"/>
        <v>0.50000000000000011</v>
      </c>
      <c r="O25" s="44">
        <f t="shared" si="3"/>
        <v>-0.86602540378443871</v>
      </c>
      <c r="P25" s="46">
        <f t="shared" si="4"/>
        <v>0.86602540378443871</v>
      </c>
      <c r="Q25" s="46">
        <f t="shared" si="5"/>
        <v>0.5</v>
      </c>
      <c r="R25" s="42">
        <f t="shared" si="6"/>
        <v>2.4154450037525166</v>
      </c>
      <c r="S25" s="42">
        <f t="shared" si="7"/>
        <v>5.0000000000000009</v>
      </c>
      <c r="T25" s="42">
        <f t="shared" si="8"/>
        <v>-43.95918367346939</v>
      </c>
      <c r="U25" s="49" t="e">
        <f t="shared" si="9"/>
        <v>#DIV/0!</v>
      </c>
      <c r="V25" s="50" t="e">
        <f t="shared" si="10"/>
        <v>#DIV/0!</v>
      </c>
      <c r="W25" s="50" t="e">
        <f t="shared" si="11"/>
        <v>#DIV/0!</v>
      </c>
      <c r="X25" s="63"/>
      <c r="Y25" s="60" t="e">
        <f t="shared" si="12"/>
        <v>#DIV/0!</v>
      </c>
      <c r="Z25" s="60" t="e">
        <f t="shared" si="13"/>
        <v>#DIV/0!</v>
      </c>
    </row>
    <row r="26" spans="1:26" ht="15.75" thickBot="1" x14ac:dyDescent="0.3">
      <c r="B26">
        <v>-60</v>
      </c>
      <c r="C26">
        <f>((R26^2)/(4*L26)  - T26 - L26*((B26 + (R26/(2*L26)))^2))/S26</f>
        <v>-53.164054248242849</v>
      </c>
      <c r="D26" s="15"/>
      <c r="E26" s="30" t="s">
        <v>3</v>
      </c>
      <c r="F26" s="3">
        <f>1/(3*(B1^2))</f>
        <v>1.3333333333333334E-2</v>
      </c>
      <c r="G26" s="3">
        <f>3*F26</f>
        <v>0.04</v>
      </c>
      <c r="H26" s="3">
        <f>-2/((SQRT(3))*(B1^2))</f>
        <v>-4.6188021535170064E-2</v>
      </c>
      <c r="I26" s="3">
        <f>((1/SQRT(3))*((2*K1)/(B1^2) + A1))</f>
        <v>3.3486315612998299</v>
      </c>
      <c r="J26" s="3">
        <f>(((-2)*K1)/(B1^2) + A1)</f>
        <v>4.2</v>
      </c>
      <c r="K26" s="3">
        <f>K24</f>
        <v>-43.95918367346939</v>
      </c>
      <c r="L26" s="39">
        <f t="shared" si="0"/>
        <v>5.3333333333333337E-2</v>
      </c>
      <c r="M26" s="39">
        <f>(((F26+G26)-SQRT(((F26-G26)^2)+(H26^2)))/2)</f>
        <v>0</v>
      </c>
      <c r="N26" s="44">
        <f t="shared" si="2"/>
        <v>0.5</v>
      </c>
      <c r="O26" s="44">
        <f t="shared" si="3"/>
        <v>-0.8660254037844386</v>
      </c>
      <c r="P26" s="46">
        <f t="shared" si="4"/>
        <v>0.86602540378443849</v>
      </c>
      <c r="Q26" s="46">
        <f t="shared" si="5"/>
        <v>0.49999999999999994</v>
      </c>
      <c r="R26" s="42">
        <f t="shared" si="6"/>
        <v>-1.9629909152447271</v>
      </c>
      <c r="S26" s="42">
        <f t="shared" si="7"/>
        <v>5</v>
      </c>
      <c r="T26" s="42">
        <f t="shared" si="8"/>
        <v>-43.95918367346939</v>
      </c>
      <c r="U26" s="49" t="e">
        <f t="shared" si="9"/>
        <v>#DIV/0!</v>
      </c>
      <c r="V26" s="50" t="e">
        <f t="shared" si="10"/>
        <v>#DIV/0!</v>
      </c>
      <c r="W26" s="50" t="e">
        <f t="shared" si="11"/>
        <v>#DIV/0!</v>
      </c>
      <c r="X26" s="63"/>
      <c r="Y26" s="60" t="e">
        <f t="shared" si="12"/>
        <v>#DIV/0!</v>
      </c>
      <c r="Z26" s="60" t="e">
        <f t="shared" si="13"/>
        <v>#DIV/0!</v>
      </c>
    </row>
    <row r="27" spans="1:26" ht="15.75" thickBot="1" x14ac:dyDescent="0.3">
      <c r="D27" s="13"/>
      <c r="E27" s="28" t="s">
        <v>4</v>
      </c>
      <c r="F27" s="1">
        <f>F25</f>
        <v>6.8027210884353739E-3</v>
      </c>
      <c r="G27" s="1">
        <f>G25</f>
        <v>2.0408163265306121E-2</v>
      </c>
      <c r="H27" s="1">
        <f>-H25</f>
        <v>2.3565317109780645E-2</v>
      </c>
      <c r="I27" s="1">
        <f xml:space="preserve"> ((2/SQRT(3))*(-B1+K1/(C1^2)))</f>
        <v>-5.5378495207984519</v>
      </c>
      <c r="J27" s="1">
        <f>J25</f>
        <v>0.40816326530612246</v>
      </c>
      <c r="K27" s="1">
        <f>(((K1^2)*(1/(A1^2) + 1/(C1^2))) - B1*K1)</f>
        <v>-43.95918367346939</v>
      </c>
      <c r="L27" s="39">
        <f t="shared" si="0"/>
        <v>2.7210884353741496E-2</v>
      </c>
      <c r="M27" s="39">
        <f>(((F27+G27)-SQRT(((F27-G27)^2)+(H27^2)))/2)</f>
        <v>0</v>
      </c>
      <c r="N27" s="44">
        <f t="shared" si="2"/>
        <v>0.50000000000000011</v>
      </c>
      <c r="O27" s="44">
        <f t="shared" si="3"/>
        <v>0.86602540378443871</v>
      </c>
      <c r="P27" s="46">
        <f t="shared" si="4"/>
        <v>-0.86602540378443871</v>
      </c>
      <c r="Q27" s="46">
        <f t="shared" si="5"/>
        <v>0.5</v>
      </c>
      <c r="R27" s="42">
        <f t="shared" si="6"/>
        <v>-2.4154450037525166</v>
      </c>
      <c r="S27" s="42">
        <f t="shared" si="7"/>
        <v>5.0000000000000009</v>
      </c>
      <c r="T27" s="42">
        <f t="shared" si="8"/>
        <v>-43.95918367346939</v>
      </c>
      <c r="U27" s="49" t="e">
        <f t="shared" si="9"/>
        <v>#DIV/0!</v>
      </c>
      <c r="V27" s="50" t="e">
        <f t="shared" si="10"/>
        <v>#DIV/0!</v>
      </c>
      <c r="W27" s="50" t="e">
        <f t="shared" si="11"/>
        <v>#DIV/0!</v>
      </c>
      <c r="X27" s="63"/>
      <c r="Y27" s="60" t="e">
        <f t="shared" si="12"/>
        <v>#DIV/0!</v>
      </c>
      <c r="Z27" s="60" t="e">
        <f t="shared" si="13"/>
        <v>#DIV/0!</v>
      </c>
    </row>
    <row r="28" spans="1:26" ht="15.75" thickBot="1" x14ac:dyDescent="0.3">
      <c r="D28" s="14" t="s">
        <v>13</v>
      </c>
      <c r="E28" s="29" t="s">
        <v>5</v>
      </c>
      <c r="F28" s="2">
        <f>F4</f>
        <v>6.0136054421768705E-2</v>
      </c>
      <c r="G28" s="2">
        <f>G4</f>
        <v>2.0408163265306121E-2</v>
      </c>
      <c r="H28" s="2">
        <f>H4</f>
        <v>-2.3565317109780645E-2</v>
      </c>
      <c r="I28" s="2">
        <f>I4</f>
        <v>-1.1594136018012078</v>
      </c>
      <c r="J28" s="2">
        <f>J4</f>
        <v>0.40816326530612246</v>
      </c>
      <c r="K28" s="2">
        <f>K27</f>
        <v>-43.95918367346939</v>
      </c>
      <c r="L28" s="39">
        <f t="shared" si="0"/>
        <v>6.3367722638283469E-2</v>
      </c>
      <c r="M28" s="39">
        <f t="shared" si="1"/>
        <v>1.7176495048791353E-2</v>
      </c>
      <c r="N28" s="44">
        <f t="shared" si="2"/>
        <v>0.96438435648551157</v>
      </c>
      <c r="O28" s="44">
        <f t="shared" si="3"/>
        <v>-0.26450484488195225</v>
      </c>
      <c r="P28" s="46">
        <f t="shared" si="4"/>
        <v>0.26450484488195269</v>
      </c>
      <c r="Q28" s="46">
        <f t="shared" si="5"/>
        <v>0.96438435648551157</v>
      </c>
      <c r="R28" s="42">
        <f t="shared" si="6"/>
        <v>-1.2260815014499138</v>
      </c>
      <c r="S28" s="42">
        <f t="shared" si="7"/>
        <v>8.695575305481551E-2</v>
      </c>
      <c r="T28" s="42">
        <f t="shared" si="8"/>
        <v>-43.95918367346939</v>
      </c>
      <c r="U28" s="49" t="str">
        <f t="shared" si="9"/>
        <v>DENTRO</v>
      </c>
      <c r="V28" s="50">
        <f t="shared" si="10"/>
        <v>37.764286857063411</v>
      </c>
      <c r="W28" s="50">
        <f t="shared" si="11"/>
        <v>-18.415611373668657</v>
      </c>
      <c r="X28" s="63"/>
      <c r="Y28" s="60">
        <f t="shared" si="12"/>
        <v>48.121211280549609</v>
      </c>
      <c r="Z28" s="60">
        <f t="shared" si="13"/>
        <v>-53.183696543568054</v>
      </c>
    </row>
    <row r="29" spans="1:26" ht="15.75" thickBot="1" x14ac:dyDescent="0.3">
      <c r="D29" s="15"/>
      <c r="E29" s="30" t="s">
        <v>3</v>
      </c>
      <c r="F29" s="3">
        <f>1/(3*(A1^2))</f>
        <v>1.3333333333333334E-2</v>
      </c>
      <c r="G29" s="3">
        <f>3*F29</f>
        <v>0.04</v>
      </c>
      <c r="H29" s="3">
        <f>2/((SQRT(3))*(A1^2))</f>
        <v>4.6188021535170064E-2</v>
      </c>
      <c r="I29" s="3">
        <f>-((1/SQRT(3))*((2*K1)/(A1^2) + B1))</f>
        <v>-3.3486315612998299</v>
      </c>
      <c r="J29" s="3">
        <f>(((-2)*K1)/(A1^2) + B1)</f>
        <v>4.2</v>
      </c>
      <c r="K29" s="3">
        <f>K27</f>
        <v>-43.95918367346939</v>
      </c>
      <c r="L29" s="39">
        <f t="shared" si="0"/>
        <v>5.3333333333333337E-2</v>
      </c>
      <c r="M29" s="39">
        <f t="shared" si="1"/>
        <v>0</v>
      </c>
      <c r="N29" s="44">
        <f t="shared" si="2"/>
        <v>0.5</v>
      </c>
      <c r="O29" s="44">
        <f t="shared" si="3"/>
        <v>0.8660254037844386</v>
      </c>
      <c r="P29" s="46">
        <f t="shared" si="4"/>
        <v>-0.86602540378443849</v>
      </c>
      <c r="Q29" s="46">
        <f t="shared" si="5"/>
        <v>0.49999999999999994</v>
      </c>
      <c r="R29" s="42">
        <f t="shared" si="6"/>
        <v>1.9629909152447271</v>
      </c>
      <c r="S29" s="42">
        <f t="shared" si="7"/>
        <v>5</v>
      </c>
      <c r="T29" s="42">
        <f t="shared" si="8"/>
        <v>-43.95918367346939</v>
      </c>
      <c r="U29" s="49" t="e">
        <f t="shared" si="9"/>
        <v>#DIV/0!</v>
      </c>
      <c r="V29" s="50" t="e">
        <f t="shared" si="10"/>
        <v>#DIV/0!</v>
      </c>
      <c r="W29" s="50" t="e">
        <f t="shared" si="11"/>
        <v>#DIV/0!</v>
      </c>
      <c r="X29" s="63"/>
      <c r="Y29" s="60" t="e">
        <f t="shared" si="12"/>
        <v>#DIV/0!</v>
      </c>
      <c r="Z29" s="60" t="e">
        <f t="shared" si="13"/>
        <v>#DIV/0!</v>
      </c>
    </row>
    <row r="30" spans="1:26" ht="15.75" thickBot="1" x14ac:dyDescent="0.3">
      <c r="D30" s="13"/>
      <c r="E30" s="28" t="s">
        <v>4</v>
      </c>
      <c r="F30" s="1">
        <f>4/(3*(B1^2))</f>
        <v>5.3333333333333337E-2</v>
      </c>
      <c r="G30" s="1">
        <v>0</v>
      </c>
      <c r="H30" s="1">
        <v>0</v>
      </c>
      <c r="I30" s="1">
        <f>((1/SQRT(3))*((4*K1)/(B1^2) - C1))</f>
        <v>-3.1176914536239799</v>
      </c>
      <c r="J30" s="1">
        <f>-C1</f>
        <v>-7</v>
      </c>
      <c r="K30" s="1">
        <f>(((K1^2)*(1/(A1^2) + 1/(B1^2))) - C1*K1)</f>
        <v>-62</v>
      </c>
      <c r="L30" s="39">
        <f t="shared" si="0"/>
        <v>5.3333333333333337E-2</v>
      </c>
      <c r="M30" s="39">
        <f t="shared" si="1"/>
        <v>0</v>
      </c>
      <c r="N30" s="44" t="e">
        <f t="shared" si="2"/>
        <v>#DIV/0!</v>
      </c>
      <c r="O30" s="44" t="e">
        <f t="shared" si="3"/>
        <v>#DIV/0!</v>
      </c>
      <c r="P30" s="46" t="e">
        <f t="shared" si="4"/>
        <v>#DIV/0!</v>
      </c>
      <c r="Q30" s="46" t="e">
        <f t="shared" si="5"/>
        <v>#DIV/0!</v>
      </c>
      <c r="R30" s="42" t="e">
        <f t="shared" si="6"/>
        <v>#DIV/0!</v>
      </c>
      <c r="S30" s="42" t="e">
        <f t="shared" si="7"/>
        <v>#DIV/0!</v>
      </c>
      <c r="T30" s="42">
        <f t="shared" si="8"/>
        <v>-62</v>
      </c>
      <c r="U30" s="49" t="e">
        <f t="shared" si="9"/>
        <v>#DIV/0!</v>
      </c>
      <c r="V30" s="50" t="e">
        <f t="shared" si="10"/>
        <v>#DIV/0!</v>
      </c>
      <c r="W30" s="50" t="e">
        <f t="shared" si="11"/>
        <v>#DIV/0!</v>
      </c>
      <c r="X30" s="63"/>
      <c r="Y30" s="60" t="e">
        <f t="shared" si="12"/>
        <v>#DIV/0!</v>
      </c>
      <c r="Z30" s="60" t="e">
        <f t="shared" si="13"/>
        <v>#DIV/0!</v>
      </c>
    </row>
    <row r="31" spans="1:26" ht="15.75" thickBot="1" x14ac:dyDescent="0.3">
      <c r="A31">
        <f>-SQRT((-K32+(J32^2)/(4*G32))/F32)</f>
        <v>-51.234753829797995</v>
      </c>
      <c r="B31">
        <v>-6</v>
      </c>
      <c r="C31">
        <f>SQRT((-K32+(J32^2)/(4*G32))/F32)</f>
        <v>51.234753829797995</v>
      </c>
      <c r="D31" s="14" t="s">
        <v>14</v>
      </c>
      <c r="E31" s="29" t="s">
        <v>5</v>
      </c>
      <c r="F31" s="2">
        <f>4/(3*(A1^2))</f>
        <v>5.3333333333333337E-2</v>
      </c>
      <c r="G31" s="2">
        <v>0</v>
      </c>
      <c r="H31" s="2">
        <v>0</v>
      </c>
      <c r="I31" s="2">
        <f>((1/SQRT(3))*(((-4)*K1)/(A1^2) + C1))</f>
        <v>3.1176914536239799</v>
      </c>
      <c r="J31" s="2">
        <f>-C1</f>
        <v>-7</v>
      </c>
      <c r="K31" s="2">
        <f>K30</f>
        <v>-62</v>
      </c>
      <c r="L31" s="39">
        <f t="shared" si="0"/>
        <v>5.3333333333333337E-2</v>
      </c>
      <c r="M31" s="39">
        <f t="shared" si="1"/>
        <v>0</v>
      </c>
      <c r="N31" s="44" t="e">
        <f t="shared" si="2"/>
        <v>#DIV/0!</v>
      </c>
      <c r="O31" s="44" t="e">
        <f t="shared" si="3"/>
        <v>#DIV/0!</v>
      </c>
      <c r="P31" s="46" t="e">
        <f t="shared" si="4"/>
        <v>#DIV/0!</v>
      </c>
      <c r="Q31" s="46" t="e">
        <f t="shared" si="5"/>
        <v>#DIV/0!</v>
      </c>
      <c r="R31" s="42" t="e">
        <f t="shared" si="6"/>
        <v>#DIV/0!</v>
      </c>
      <c r="S31" s="42" t="e">
        <f t="shared" si="7"/>
        <v>#DIV/0!</v>
      </c>
      <c r="T31" s="42">
        <f t="shared" si="8"/>
        <v>-62</v>
      </c>
      <c r="U31" s="49" t="e">
        <f t="shared" si="9"/>
        <v>#DIV/0!</v>
      </c>
      <c r="V31" s="50" t="e">
        <f t="shared" si="10"/>
        <v>#DIV/0!</v>
      </c>
      <c r="W31" s="50" t="e">
        <f t="shared" si="11"/>
        <v>#DIV/0!</v>
      </c>
      <c r="X31" s="63"/>
      <c r="Y31" s="60" t="e">
        <f t="shared" si="12"/>
        <v>#DIV/0!</v>
      </c>
      <c r="Z31" s="60" t="e">
        <f t="shared" si="13"/>
        <v>#DIV/0!</v>
      </c>
    </row>
    <row r="32" spans="1:26" ht="15.75" thickBot="1" x14ac:dyDescent="0.3">
      <c r="A32">
        <f>-SQRT((-K32+(J32^2)/(4*G32)-F32*(B32^2))/G32)-J32/(2*G32)</f>
        <v>-19.57476401709178</v>
      </c>
      <c r="B32">
        <v>-1</v>
      </c>
      <c r="C32">
        <f>SQRT((-K32+(J32^2)/(4*G32)-F32*(B32^2))/G32)-J32/(2*G32)</f>
        <v>39.57476401709178</v>
      </c>
      <c r="D32" s="15"/>
      <c r="E32" s="30" t="s">
        <v>3</v>
      </c>
      <c r="F32" s="3">
        <f>F5</f>
        <v>2.6666666666666665E-2</v>
      </c>
      <c r="G32" s="3">
        <f>G5</f>
        <v>7.9999999999999988E-2</v>
      </c>
      <c r="H32" s="3">
        <f>H5</f>
        <v>0</v>
      </c>
      <c r="I32" s="3">
        <f>I5</f>
        <v>0</v>
      </c>
      <c r="J32" s="3">
        <f>J5</f>
        <v>-1.5999999999999996</v>
      </c>
      <c r="K32" s="3">
        <f>K30</f>
        <v>-62</v>
      </c>
      <c r="L32" s="39">
        <f t="shared" si="0"/>
        <v>7.9999999999999988E-2</v>
      </c>
      <c r="M32" s="39">
        <f t="shared" si="1"/>
        <v>2.6666666666666668E-2</v>
      </c>
      <c r="N32" s="44" t="e">
        <f t="shared" si="2"/>
        <v>#DIV/0!</v>
      </c>
      <c r="O32" s="44" t="e">
        <f t="shared" si="3"/>
        <v>#DIV/0!</v>
      </c>
      <c r="P32" s="46" t="e">
        <f t="shared" si="4"/>
        <v>#DIV/0!</v>
      </c>
      <c r="Q32" s="46" t="e">
        <f t="shared" si="5"/>
        <v>#DIV/0!</v>
      </c>
      <c r="R32" s="42" t="e">
        <f t="shared" si="6"/>
        <v>#DIV/0!</v>
      </c>
      <c r="S32" s="42" t="e">
        <f t="shared" si="7"/>
        <v>#DIV/0!</v>
      </c>
      <c r="T32" s="42">
        <f t="shared" si="8"/>
        <v>-62</v>
      </c>
      <c r="U32" s="49" t="e">
        <f t="shared" si="9"/>
        <v>#DIV/0!</v>
      </c>
      <c r="V32" s="50" t="e">
        <f t="shared" si="10"/>
        <v>#DIV/0!</v>
      </c>
      <c r="W32" s="50" t="e">
        <f t="shared" si="11"/>
        <v>#DIV/0!</v>
      </c>
      <c r="X32" s="63">
        <v>0</v>
      </c>
      <c r="Y32" s="60" t="e">
        <f t="shared" si="12"/>
        <v>#DIV/0!</v>
      </c>
      <c r="Z32" s="60" t="e">
        <f t="shared" si="13"/>
        <v>#DIV/0!</v>
      </c>
    </row>
    <row r="33" spans="1:26" ht="15.75" thickBot="1" x14ac:dyDescent="0.3">
      <c r="D33" s="16"/>
      <c r="E33" s="31" t="s">
        <v>4</v>
      </c>
      <c r="F33" s="1">
        <f>((1/3)*(4/(B1^2) - 1/(C1^2)))</f>
        <v>4.6530612244897962E-2</v>
      </c>
      <c r="G33" s="1">
        <f>-G3</f>
        <v>-2.0408163265306121E-2</v>
      </c>
      <c r="H33" s="1">
        <f>-H3</f>
        <v>-2.3565317109780645E-2</v>
      </c>
      <c r="I33" s="1">
        <f>((2*K1/SQRT(3))*(2/(B1^2)-1/(C1^2)))</f>
        <v>0.68810725960559493</v>
      </c>
      <c r="J33" s="1">
        <f>-J3</f>
        <v>-0.40816326530612246</v>
      </c>
      <c r="K33" s="1">
        <f>(((K1^2)*(1/(B1^2) - 1/(C1^2))) - A1*K1)</f>
        <v>-48.04081632653061</v>
      </c>
      <c r="L33" s="39">
        <f t="shared" si="0"/>
        <v>4.8544050748741317E-2</v>
      </c>
      <c r="M33" s="39">
        <f t="shared" si="1"/>
        <v>-2.2421601769149473E-2</v>
      </c>
      <c r="N33" s="44">
        <f t="shared" si="2"/>
        <v>0.98571191823941484</v>
      </c>
      <c r="O33" s="44">
        <f t="shared" si="3"/>
        <v>-0.16843994253375064</v>
      </c>
      <c r="P33" s="46">
        <f t="shared" si="4"/>
        <v>0.16843994253375014</v>
      </c>
      <c r="Q33" s="46">
        <f t="shared" si="5"/>
        <v>0.98571191823941495</v>
      </c>
      <c r="R33" s="42">
        <f t="shared" si="6"/>
        <v>0.74702652377284928</v>
      </c>
      <c r="S33" s="42">
        <f t="shared" si="7"/>
        <v>-0.28642664793473849</v>
      </c>
      <c r="T33" s="42">
        <f t="shared" si="8"/>
        <v>-48.04081632653061</v>
      </c>
      <c r="U33" s="49" t="str">
        <f t="shared" si="9"/>
        <v>FUERA</v>
      </c>
      <c r="V33" s="50">
        <f t="shared" si="10"/>
        <v>24.399177689734451</v>
      </c>
      <c r="W33" s="50">
        <f t="shared" si="11"/>
        <v>-39.787809504565409</v>
      </c>
      <c r="X33" s="63">
        <v>0</v>
      </c>
      <c r="Y33" s="60" t="e">
        <f t="shared" si="12"/>
        <v>#NUM!</v>
      </c>
      <c r="Z33" s="60" t="e">
        <f t="shared" si="13"/>
        <v>#NUM!</v>
      </c>
    </row>
    <row r="34" spans="1:26" ht="15.75" thickBot="1" x14ac:dyDescent="0.3">
      <c r="D34" s="17" t="s">
        <v>15</v>
      </c>
      <c r="E34" s="32" t="s">
        <v>5</v>
      </c>
      <c r="F34" s="2">
        <f>-F25</f>
        <v>-6.8027210884353739E-3</v>
      </c>
      <c r="G34" s="2">
        <f>3*F34</f>
        <v>-2.0408163265306121E-2</v>
      </c>
      <c r="H34" s="2">
        <f>-H25</f>
        <v>2.3565317109780645E-2</v>
      </c>
      <c r="I34" s="2">
        <f xml:space="preserve"> ((2/SQRT(3))*(A1+K1/(C1^2)))</f>
        <v>6.0091558629940645</v>
      </c>
      <c r="J34" s="2">
        <f>-J25</f>
        <v>-0.40816326530612246</v>
      </c>
      <c r="K34" s="2">
        <f>K33</f>
        <v>-48.04081632653061</v>
      </c>
      <c r="L34" s="39">
        <f t="shared" si="0"/>
        <v>0</v>
      </c>
      <c r="M34" s="39">
        <f t="shared" si="1"/>
        <v>-2.7210884353741496E-2</v>
      </c>
      <c r="N34" s="44">
        <f t="shared" si="2"/>
        <v>0.86602540378443871</v>
      </c>
      <c r="O34" s="44">
        <f t="shared" si="3"/>
        <v>0.5</v>
      </c>
      <c r="P34" s="46">
        <f t="shared" si="4"/>
        <v>-0.50000000000000011</v>
      </c>
      <c r="Q34" s="46">
        <f t="shared" si="5"/>
        <v>0.86602540378443871</v>
      </c>
      <c r="R34" s="42">
        <f t="shared" si="6"/>
        <v>5.0000000000000009</v>
      </c>
      <c r="S34" s="42">
        <f t="shared" si="7"/>
        <v>-3.3580576881437429</v>
      </c>
      <c r="T34" s="42">
        <f t="shared" si="8"/>
        <v>-48.04081632653061</v>
      </c>
      <c r="U34" s="49" t="e">
        <f t="shared" si="9"/>
        <v>#DIV/0!</v>
      </c>
      <c r="V34" s="50" t="e">
        <f t="shared" si="10"/>
        <v>#DIV/0!</v>
      </c>
      <c r="W34" s="50" t="e">
        <f t="shared" si="11"/>
        <v>#DIV/0!</v>
      </c>
      <c r="X34" s="63"/>
      <c r="Y34" s="60" t="e">
        <f t="shared" si="12"/>
        <v>#DIV/0!</v>
      </c>
      <c r="Z34" s="60" t="e">
        <f t="shared" si="13"/>
        <v>#DIV/0!</v>
      </c>
    </row>
    <row r="35" spans="1:26" ht="15.75" thickBot="1" x14ac:dyDescent="0.3">
      <c r="D35" s="18"/>
      <c r="E35" s="33" t="s">
        <v>3</v>
      </c>
      <c r="F35" s="3">
        <f>F26</f>
        <v>1.3333333333333334E-2</v>
      </c>
      <c r="G35" s="3">
        <f>3*F35</f>
        <v>0.04</v>
      </c>
      <c r="H35" s="3">
        <f>H26</f>
        <v>-4.6188021535170064E-2</v>
      </c>
      <c r="I35" s="3">
        <f>I26</f>
        <v>3.3486315612998299</v>
      </c>
      <c r="J35" s="3">
        <f>J26</f>
        <v>4.2</v>
      </c>
      <c r="K35" s="3">
        <f>K33</f>
        <v>-48.04081632653061</v>
      </c>
      <c r="L35" s="39">
        <f t="shared" si="0"/>
        <v>5.3333333333333337E-2</v>
      </c>
      <c r="M35" s="39">
        <f t="shared" si="1"/>
        <v>0</v>
      </c>
      <c r="N35" s="44">
        <f t="shared" si="2"/>
        <v>0.5</v>
      </c>
      <c r="O35" s="44">
        <f t="shared" si="3"/>
        <v>-0.8660254037844386</v>
      </c>
      <c r="P35" s="46">
        <f t="shared" si="4"/>
        <v>0.86602540378443849</v>
      </c>
      <c r="Q35" s="46">
        <f t="shared" si="5"/>
        <v>0.49999999999999994</v>
      </c>
      <c r="R35" s="42">
        <f t="shared" si="6"/>
        <v>-1.9629909152447271</v>
      </c>
      <c r="S35" s="42">
        <f t="shared" si="7"/>
        <v>5</v>
      </c>
      <c r="T35" s="42">
        <f t="shared" si="8"/>
        <v>-48.04081632653061</v>
      </c>
      <c r="U35" s="49" t="e">
        <f t="shared" si="9"/>
        <v>#DIV/0!</v>
      </c>
      <c r="V35" s="50" t="e">
        <f t="shared" si="10"/>
        <v>#DIV/0!</v>
      </c>
      <c r="W35" s="50" t="e">
        <f t="shared" si="11"/>
        <v>#DIV/0!</v>
      </c>
      <c r="X35" s="63"/>
      <c r="Y35" s="60" t="e">
        <f t="shared" si="12"/>
        <v>#DIV/0!</v>
      </c>
      <c r="Z35" s="60" t="e">
        <f t="shared" si="13"/>
        <v>#DIV/0!</v>
      </c>
    </row>
    <row r="36" spans="1:26" ht="15.75" thickBot="1" x14ac:dyDescent="0.3">
      <c r="D36" s="16"/>
      <c r="E36" s="31" t="s">
        <v>4</v>
      </c>
      <c r="F36" s="1">
        <f>F34</f>
        <v>-6.8027210884353739E-3</v>
      </c>
      <c r="G36" s="1">
        <f>F36</f>
        <v>-6.8027210884353739E-3</v>
      </c>
      <c r="H36" s="1">
        <f>H25</f>
        <v>-2.3565317109780645E-2</v>
      </c>
      <c r="I36" s="1">
        <f xml:space="preserve"> ((2/SQRT(3))*(-B1-K1/(C1^2)))</f>
        <v>-6.0091558629940645</v>
      </c>
      <c r="J36" s="1">
        <f>-J3</f>
        <v>-0.40816326530612246</v>
      </c>
      <c r="K36" s="1">
        <f>(((K1^2)*(1/(A1^2) - 1/(C1^2))) - B1*K1)</f>
        <v>-48.04081632653061</v>
      </c>
      <c r="L36" s="39">
        <f t="shared" si="0"/>
        <v>4.9799374664549487E-3</v>
      </c>
      <c r="M36" s="39">
        <f t="shared" si="1"/>
        <v>-1.8585379643325697E-2</v>
      </c>
      <c r="N36" s="44">
        <f t="shared" si="2"/>
        <v>0.70710678118654746</v>
      </c>
      <c r="O36" s="44">
        <f t="shared" si="3"/>
        <v>-0.70710678118654757</v>
      </c>
      <c r="P36" s="46">
        <f t="shared" si="4"/>
        <v>0.70710678118654746</v>
      </c>
      <c r="Q36" s="46">
        <f t="shared" si="5"/>
        <v>0.70710678118654757</v>
      </c>
      <c r="R36" s="42">
        <f t="shared" si="6"/>
        <v>-3.9604998472007993</v>
      </c>
      <c r="S36" s="42">
        <f t="shared" si="7"/>
        <v>-4.5377298726592059</v>
      </c>
      <c r="T36" s="42">
        <f t="shared" si="8"/>
        <v>-48.04081632653061</v>
      </c>
      <c r="U36" s="49" t="str">
        <f t="shared" si="9"/>
        <v>FUERA</v>
      </c>
      <c r="V36" s="50">
        <f t="shared" si="10"/>
        <v>732.53358504904725</v>
      </c>
      <c r="W36" s="50">
        <f t="shared" si="11"/>
        <v>62.757495186172491</v>
      </c>
      <c r="X36" s="63"/>
      <c r="Y36" s="60">
        <f t="shared" si="12"/>
        <v>-11.090769015903817</v>
      </c>
      <c r="Z36" s="60">
        <f t="shared" si="13"/>
        <v>-233.06511909310106</v>
      </c>
    </row>
    <row r="37" spans="1:26" ht="15.75" thickBot="1" x14ac:dyDescent="0.3">
      <c r="D37" s="17" t="s">
        <v>16</v>
      </c>
      <c r="E37" s="32" t="s">
        <v>5</v>
      </c>
      <c r="F37" s="2">
        <f>((1/3)*(4/(A1^2)- 1/(C1^2)))</f>
        <v>4.6530612244897962E-2</v>
      </c>
      <c r="G37" s="2">
        <f>-G28</f>
        <v>-2.0408163265306121E-2</v>
      </c>
      <c r="H37" s="2">
        <f>-H28</f>
        <v>2.3565317109780645E-2</v>
      </c>
      <c r="I37" s="2">
        <f>(((-2)*K1/SQRT(3))*(2/(A1^2)-1/(C1^2)))</f>
        <v>-0.68810725960559493</v>
      </c>
      <c r="J37" s="2">
        <f>-J28</f>
        <v>-0.40816326530612246</v>
      </c>
      <c r="K37" s="2">
        <f>K36</f>
        <v>-48.04081632653061</v>
      </c>
      <c r="L37" s="39">
        <f t="shared" si="0"/>
        <v>4.8544050748741317E-2</v>
      </c>
      <c r="M37" s="39">
        <f t="shared" si="1"/>
        <v>-2.2421601769149473E-2</v>
      </c>
      <c r="N37" s="44">
        <f t="shared" si="2"/>
        <v>0.98571191823941484</v>
      </c>
      <c r="O37" s="44">
        <f t="shared" si="3"/>
        <v>0.16843994253375064</v>
      </c>
      <c r="P37" s="46">
        <f t="shared" si="4"/>
        <v>-0.16843994253375014</v>
      </c>
      <c r="Q37" s="46">
        <f t="shared" si="5"/>
        <v>0.98571191823941495</v>
      </c>
      <c r="R37" s="42">
        <f t="shared" si="6"/>
        <v>-0.74702652377284928</v>
      </c>
      <c r="S37" s="42">
        <f t="shared" si="7"/>
        <v>-0.28642664793473849</v>
      </c>
      <c r="T37" s="42">
        <f t="shared" si="8"/>
        <v>-48.04081632653061</v>
      </c>
      <c r="U37" s="49" t="str">
        <f t="shared" si="9"/>
        <v>FUERA</v>
      </c>
      <c r="V37" s="50">
        <f t="shared" si="10"/>
        <v>39.787809504565409</v>
      </c>
      <c r="W37" s="50">
        <f t="shared" si="11"/>
        <v>-24.399177689734451</v>
      </c>
      <c r="X37" s="63"/>
      <c r="Y37" s="60" t="e">
        <f t="shared" si="12"/>
        <v>#NUM!</v>
      </c>
      <c r="Z37" s="60" t="e">
        <f t="shared" si="13"/>
        <v>#NUM!</v>
      </c>
    </row>
    <row r="38" spans="1:26" ht="15.75" thickBot="1" x14ac:dyDescent="0.3">
      <c r="D38" s="18"/>
      <c r="E38" s="33" t="s">
        <v>3</v>
      </c>
      <c r="F38" s="3">
        <f>F29</f>
        <v>1.3333333333333334E-2</v>
      </c>
      <c r="G38" s="3">
        <f>G29</f>
        <v>0.04</v>
      </c>
      <c r="H38" s="3">
        <f>H29</f>
        <v>4.6188021535170064E-2</v>
      </c>
      <c r="I38" s="3">
        <f>I29</f>
        <v>-3.3486315612998299</v>
      </c>
      <c r="J38" s="3">
        <f>J29</f>
        <v>4.2</v>
      </c>
      <c r="K38" s="3">
        <f>K36</f>
        <v>-48.04081632653061</v>
      </c>
      <c r="L38" s="39">
        <f t="shared" si="0"/>
        <v>5.3333333333333337E-2</v>
      </c>
      <c r="M38" s="39">
        <f t="shared" si="1"/>
        <v>0</v>
      </c>
      <c r="N38" s="44">
        <f t="shared" si="2"/>
        <v>0.5</v>
      </c>
      <c r="O38" s="44">
        <f t="shared" si="3"/>
        <v>0.8660254037844386</v>
      </c>
      <c r="P38" s="46">
        <f t="shared" si="4"/>
        <v>-0.86602540378443849</v>
      </c>
      <c r="Q38" s="46">
        <f t="shared" si="5"/>
        <v>0.49999999999999994</v>
      </c>
      <c r="R38" s="42">
        <f t="shared" si="6"/>
        <v>1.9629909152447271</v>
      </c>
      <c r="S38" s="42">
        <f t="shared" si="7"/>
        <v>5</v>
      </c>
      <c r="T38" s="42">
        <f t="shared" si="8"/>
        <v>-48.04081632653061</v>
      </c>
      <c r="U38" s="49" t="e">
        <f t="shared" si="9"/>
        <v>#DIV/0!</v>
      </c>
      <c r="V38" s="50" t="e">
        <f t="shared" si="10"/>
        <v>#DIV/0!</v>
      </c>
      <c r="W38" s="50" t="e">
        <f t="shared" si="11"/>
        <v>#DIV/0!</v>
      </c>
      <c r="X38" s="63"/>
      <c r="Y38" s="60" t="e">
        <f t="shared" si="12"/>
        <v>#DIV/0!</v>
      </c>
      <c r="Z38" s="60" t="e">
        <f t="shared" si="13"/>
        <v>#DIV/0!</v>
      </c>
    </row>
    <row r="39" spans="1:26" ht="15.75" thickBot="1" x14ac:dyDescent="0.3">
      <c r="A39">
        <v>-6</v>
      </c>
      <c r="B39">
        <v>9</v>
      </c>
      <c r="C39">
        <f>-(F39*(B39^2) + I39*B39 + K39)/J39</f>
        <v>-17.000987262182434</v>
      </c>
      <c r="D39" s="16"/>
      <c r="E39" s="31" t="s">
        <v>4</v>
      </c>
      <c r="F39" s="1">
        <f>-F30</f>
        <v>-5.3333333333333337E-2</v>
      </c>
      <c r="G39" s="1">
        <f>G30</f>
        <v>0</v>
      </c>
      <c r="H39" s="1">
        <f>H30</f>
        <v>0</v>
      </c>
      <c r="I39" s="1">
        <f>((1/SQRT(3))*(-(4*K1)/(B1^2) - C1))</f>
        <v>-4.9652123150307821</v>
      </c>
      <c r="J39" s="1">
        <f>J30</f>
        <v>-7</v>
      </c>
      <c r="K39" s="1">
        <f>(((K1^2)*(1/(A1^2) - 1/(B1^2))) - C1*K1)</f>
        <v>-70</v>
      </c>
      <c r="L39" s="39">
        <f t="shared" si="0"/>
        <v>0</v>
      </c>
      <c r="M39" s="39">
        <f t="shared" si="1"/>
        <v>-5.3333333333333337E-2</v>
      </c>
      <c r="N39" s="44" t="e">
        <f t="shared" si="2"/>
        <v>#DIV/0!</v>
      </c>
      <c r="O39" s="44" t="e">
        <f t="shared" si="3"/>
        <v>#DIV/0!</v>
      </c>
      <c r="P39" s="46" t="e">
        <f t="shared" si="4"/>
        <v>#DIV/0!</v>
      </c>
      <c r="Q39" s="46" t="e">
        <f t="shared" si="5"/>
        <v>#DIV/0!</v>
      </c>
      <c r="R39" s="42" t="e">
        <f t="shared" si="6"/>
        <v>#DIV/0!</v>
      </c>
      <c r="S39" s="42" t="e">
        <f t="shared" si="7"/>
        <v>#DIV/0!</v>
      </c>
      <c r="T39" s="42">
        <f t="shared" si="8"/>
        <v>-70</v>
      </c>
      <c r="U39" s="49" t="e">
        <f t="shared" si="9"/>
        <v>#DIV/0!</v>
      </c>
      <c r="V39" s="50" t="e">
        <f t="shared" si="10"/>
        <v>#DIV/0!</v>
      </c>
      <c r="W39" s="50" t="e">
        <f t="shared" si="11"/>
        <v>#DIV/0!</v>
      </c>
      <c r="X39" s="63"/>
      <c r="Y39" s="60" t="e">
        <f t="shared" si="12"/>
        <v>#DIV/0!</v>
      </c>
      <c r="Z39" s="60" t="e">
        <f t="shared" si="13"/>
        <v>#DIV/0!</v>
      </c>
    </row>
    <row r="40" spans="1:26" ht="15.75" thickBot="1" x14ac:dyDescent="0.3">
      <c r="A40">
        <v>-7</v>
      </c>
      <c r="B40">
        <v>-5</v>
      </c>
      <c r="C40">
        <f>-(F40*(B40^2) + I40*B40 + K40)/J40</f>
        <v>-12.036446276398081</v>
      </c>
      <c r="D40" s="17" t="s">
        <v>17</v>
      </c>
      <c r="E40" s="32" t="s">
        <v>5</v>
      </c>
      <c r="F40" s="2">
        <f>F31</f>
        <v>5.3333333333333337E-2</v>
      </c>
      <c r="G40" s="2">
        <f>G31</f>
        <v>0</v>
      </c>
      <c r="H40" s="2">
        <f>H31</f>
        <v>0</v>
      </c>
      <c r="I40" s="2">
        <f>I31</f>
        <v>3.1176914536239799</v>
      </c>
      <c r="J40" s="2">
        <f>J31</f>
        <v>-7</v>
      </c>
      <c r="K40" s="2">
        <f>K39</f>
        <v>-70</v>
      </c>
      <c r="L40" s="39">
        <f t="shared" si="0"/>
        <v>5.3333333333333337E-2</v>
      </c>
      <c r="M40" s="39">
        <f t="shared" si="1"/>
        <v>0</v>
      </c>
      <c r="N40" s="44" t="e">
        <f t="shared" si="2"/>
        <v>#DIV/0!</v>
      </c>
      <c r="O40" s="44" t="e">
        <f t="shared" si="3"/>
        <v>#DIV/0!</v>
      </c>
      <c r="P40" s="46" t="e">
        <f t="shared" si="4"/>
        <v>#DIV/0!</v>
      </c>
      <c r="Q40" s="46" t="e">
        <f t="shared" si="5"/>
        <v>#DIV/0!</v>
      </c>
      <c r="R40" s="42" t="e">
        <f t="shared" si="6"/>
        <v>#DIV/0!</v>
      </c>
      <c r="S40" s="42" t="e">
        <f t="shared" si="7"/>
        <v>#DIV/0!</v>
      </c>
      <c r="T40" s="42">
        <f t="shared" si="8"/>
        <v>-70</v>
      </c>
      <c r="U40" s="49" t="e">
        <f t="shared" si="9"/>
        <v>#DIV/0!</v>
      </c>
      <c r="V40" s="50" t="e">
        <f t="shared" si="10"/>
        <v>#DIV/0!</v>
      </c>
      <c r="W40" s="50" t="e">
        <f t="shared" si="11"/>
        <v>#DIV/0!</v>
      </c>
      <c r="X40" s="63"/>
      <c r="Y40" s="60" t="e">
        <f t="shared" si="12"/>
        <v>#DIV/0!</v>
      </c>
      <c r="Z40" s="60" t="e">
        <f t="shared" si="13"/>
        <v>#DIV/0!</v>
      </c>
    </row>
    <row r="41" spans="1:26" ht="15.75" thickBot="1" x14ac:dyDescent="0.3">
      <c r="D41" s="18"/>
      <c r="E41" s="33" t="s">
        <v>3</v>
      </c>
      <c r="F41" s="3">
        <f>((1/3)*(1/(A1^2) - 1/(B1^2)))</f>
        <v>0</v>
      </c>
      <c r="G41" s="3">
        <f>3*F41</f>
        <v>0</v>
      </c>
      <c r="H41" s="3">
        <f>((2/SQRT(3))*(1/(A1^2) + 1/(B1^2)))</f>
        <v>9.2376043070340141E-2</v>
      </c>
      <c r="I41" s="3">
        <f>-K1*(H41)</f>
        <v>-0.92376043070340141</v>
      </c>
      <c r="J41" s="3">
        <f>-(2*K1*G41)</f>
        <v>0</v>
      </c>
      <c r="K41" s="3">
        <f>K39</f>
        <v>-70</v>
      </c>
      <c r="L41" s="42">
        <f t="shared" si="0"/>
        <v>4.6188021535170071E-2</v>
      </c>
      <c r="M41" s="42">
        <f t="shared" si="1"/>
        <v>-4.6188021535170071E-2</v>
      </c>
      <c r="N41" s="47">
        <f t="shared" si="2"/>
        <v>0.70710678118654746</v>
      </c>
      <c r="O41" s="47">
        <f t="shared" si="3"/>
        <v>0.70710678118654746</v>
      </c>
      <c r="P41" s="48">
        <f t="shared" si="4"/>
        <v>-0.70710678118654746</v>
      </c>
      <c r="Q41" s="48">
        <f t="shared" si="5"/>
        <v>0.70710678118654746</v>
      </c>
      <c r="R41" s="42">
        <f t="shared" si="6"/>
        <v>-0.65319726474218087</v>
      </c>
      <c r="S41" s="42">
        <f t="shared" si="7"/>
        <v>0.65319726474218087</v>
      </c>
      <c r="T41" s="42">
        <f t="shared" si="8"/>
        <v>-70</v>
      </c>
      <c r="U41" s="51" t="str">
        <f t="shared" si="9"/>
        <v>FUERA</v>
      </c>
      <c r="V41" s="52">
        <f t="shared" si="10"/>
        <v>46.001062117320586</v>
      </c>
      <c r="W41" s="52">
        <f t="shared" si="11"/>
        <v>-31.858926493589635</v>
      </c>
      <c r="X41" s="64"/>
      <c r="Y41" s="61" t="e">
        <f t="shared" si="12"/>
        <v>#NUM!</v>
      </c>
      <c r="Z41" s="61" t="e">
        <f t="shared" si="13"/>
        <v>#NUM!</v>
      </c>
    </row>
    <row r="42" spans="1:26" x14ac:dyDescent="0.25">
      <c r="F42" s="65">
        <f>17/24</f>
        <v>0.70833333333333337</v>
      </c>
      <c r="G42" s="65">
        <f>9/8</f>
        <v>1.125</v>
      </c>
      <c r="H42">
        <f>-SQRT(3)/4</f>
        <v>-0.4330127018922193</v>
      </c>
      <c r="I42">
        <f>SQRT(3)</f>
        <v>1.7320508075688772</v>
      </c>
      <c r="J42">
        <f>-5</f>
        <v>-5</v>
      </c>
      <c r="K42">
        <v>4</v>
      </c>
      <c r="L42" s="67">
        <f>(((F42+G42)+SQRT(((F42-G42)^2)+(H42^2)))/2)</f>
        <v>1.2171292729553325</v>
      </c>
      <c r="M42" s="67">
        <f>(((F42+G42)-SQRT(((F42-G42)^2)+(H42^2)))/2)</f>
        <v>0.61620406037800102</v>
      </c>
      <c r="N42" s="68">
        <f t="shared" si="2"/>
        <v>0.39155124486998094</v>
      </c>
      <c r="O42" s="68">
        <f t="shared" si="3"/>
        <v>-0.92015630337501264</v>
      </c>
      <c r="P42" s="69">
        <f t="shared" si="4"/>
        <v>0.92015630337501275</v>
      </c>
      <c r="Q42" s="69">
        <f t="shared" si="5"/>
        <v>0.39155124486998066</v>
      </c>
      <c r="R42" s="67">
        <f t="shared" si="6"/>
        <v>5.2789681667567132</v>
      </c>
      <c r="S42" s="67">
        <f t="shared" si="7"/>
        <v>-0.36399875599961984</v>
      </c>
      <c r="T42" s="67">
        <f>K42</f>
        <v>4</v>
      </c>
      <c r="U42" s="29" t="str">
        <f t="shared" si="9"/>
        <v>DENTRO</v>
      </c>
      <c r="V42" s="70">
        <f t="shared" si="10"/>
        <v>-0.96004838348843058</v>
      </c>
      <c r="W42" s="70">
        <f t="shared" si="11"/>
        <v>-3.3771804417938336</v>
      </c>
      <c r="X42">
        <v>-3</v>
      </c>
      <c r="Y42" s="71">
        <f t="shared" si="12"/>
        <v>1.5281499209780527</v>
      </c>
      <c r="Z42" s="71">
        <f t="shared" si="13"/>
        <v>-0.93743853264943566</v>
      </c>
    </row>
  </sheetData>
  <dataConsolidate/>
  <mergeCells count="2">
    <mergeCell ref="N1:O1"/>
    <mergeCell ref="P1:Q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2020-06-23T00:45:35Z</dcterms:created>
  <dcterms:modified xsi:type="dcterms:W3CDTF">2020-07-05T00:01:01Z</dcterms:modified>
</cp:coreProperties>
</file>