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6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1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UNCUYO\2-Segundo año\2-Cuarto Semestre\2-Estadística Técnica\3-Ejercicios y Aplicaciones\Resoluciones de los ejercicios\Ejercicios de la unidad 1\"/>
    </mc:Choice>
  </mc:AlternateContent>
  <bookViews>
    <workbookView xWindow="0" yWindow="0" windowWidth="9135" windowHeight="4035" firstSheet="5" activeTab="9"/>
  </bookViews>
  <sheets>
    <sheet name="Gráfico 1.1-1" sheetId="3" r:id="rId1"/>
    <sheet name="Gráfico1.1-2" sheetId="4" r:id="rId2"/>
    <sheet name="Ejercicio 1.1" sheetId="1" r:id="rId3"/>
    <sheet name="Gráfico 1.2-1" sheetId="7" r:id="rId4"/>
    <sheet name="Ej 1.2-datos individuales" sheetId="5" r:id="rId5"/>
    <sheet name="Ej1.2-Histograma" sheetId="9" r:id="rId6"/>
    <sheet name="Ej1.2-Ojiva" sheetId="11" r:id="rId7"/>
    <sheet name="Ej1.2-Datos agrupados" sheetId="8" r:id="rId8"/>
    <sheet name="ej1.3-diagrama de dispersión" sheetId="13" r:id="rId9"/>
    <sheet name="Ej 1.3" sheetId="12" r:id="rId10"/>
    <sheet name="Ej1.4-dmr-obser" sheetId="16" r:id="rId11"/>
    <sheet name="Ej1.4-dmr-cont" sheetId="17" r:id="rId12"/>
    <sheet name="Ej1.4-dc" sheetId="18" r:id="rId13"/>
    <sheet name="Ej. 1.4" sheetId="14" r:id="rId14"/>
    <sheet name="ej1.5-Z-Y" sheetId="20" r:id="rId15"/>
    <sheet name="ej1.5-Z-X" sheetId="21" r:id="rId16"/>
    <sheet name="Ej.1.5" sheetId="19" r:id="rId17"/>
    <sheet name="ej1.8-ojiva" sheetId="23" r:id="rId18"/>
    <sheet name="Ej1.8" sheetId="22" r:id="rId19"/>
    <sheet name="Hoja6" sheetId="24" r:id="rId20"/>
  </sheets>
  <definedNames>
    <definedName name="_xlnm._FilterDatabase" localSheetId="4" hidden="1">'Ej 1.2-datos individuales'!$I$4:$I$61</definedName>
    <definedName name="_xlnm._FilterDatabase" localSheetId="7" hidden="1">'Ej1.2-Datos agrupados'!$D$4:$D$56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2" l="1"/>
  <c r="H4" i="12"/>
  <c r="G4" i="12"/>
  <c r="L4" i="12"/>
  <c r="K4" i="12"/>
  <c r="J4" i="12"/>
  <c r="E13" i="12"/>
  <c r="D13" i="12"/>
  <c r="C13" i="12"/>
  <c r="E12" i="12"/>
  <c r="D12" i="12"/>
  <c r="C12" i="12"/>
  <c r="E6" i="12"/>
  <c r="J5" i="22" l="1"/>
  <c r="J6" i="22"/>
  <c r="J7" i="22"/>
  <c r="J8" i="22"/>
  <c r="J9" i="22"/>
  <c r="J10" i="22"/>
  <c r="J4" i="22"/>
  <c r="I5" i="22"/>
  <c r="I6" i="22"/>
  <c r="I7" i="22"/>
  <c r="I8" i="22"/>
  <c r="I9" i="22"/>
  <c r="I10" i="22"/>
  <c r="I4" i="22"/>
  <c r="H4" i="22"/>
  <c r="H5" i="22"/>
  <c r="H6" i="22"/>
  <c r="H7" i="22"/>
  <c r="H8" i="22"/>
  <c r="H9" i="22"/>
  <c r="H10" i="22"/>
  <c r="G5" i="22"/>
  <c r="G6" i="22"/>
  <c r="G7" i="22"/>
  <c r="G8" i="22"/>
  <c r="G9" i="22"/>
  <c r="G10" i="22"/>
  <c r="G4" i="22"/>
  <c r="F11" i="22"/>
  <c r="A14" i="19"/>
  <c r="A13" i="19"/>
  <c r="R6" i="19"/>
  <c r="R7" i="19"/>
  <c r="R5" i="19"/>
  <c r="Q5" i="19"/>
  <c r="Q7" i="19"/>
  <c r="Q6" i="19"/>
  <c r="F10" i="14"/>
  <c r="G10" i="14"/>
  <c r="H10" i="14"/>
  <c r="I10" i="14"/>
  <c r="E10" i="14"/>
  <c r="J6" i="14"/>
  <c r="J7" i="14"/>
  <c r="J8" i="14"/>
  <c r="J9" i="14"/>
  <c r="J5" i="14"/>
  <c r="J10" i="14" s="1"/>
  <c r="E16" i="14" s="1" a="1"/>
  <c r="E16" i="14" s="1"/>
  <c r="F4" i="12"/>
  <c r="E4" i="12"/>
  <c r="H20" i="14" l="1"/>
  <c r="I19" i="14"/>
  <c r="E19" i="14"/>
  <c r="F18" i="14"/>
  <c r="G17" i="14"/>
  <c r="H16" i="14"/>
  <c r="G20" i="14"/>
  <c r="H19" i="14"/>
  <c r="I18" i="14"/>
  <c r="E18" i="14"/>
  <c r="F17" i="14"/>
  <c r="G16" i="14"/>
  <c r="F16" i="14"/>
  <c r="F20" i="14"/>
  <c r="G19" i="14"/>
  <c r="H18" i="14"/>
  <c r="I17" i="14"/>
  <c r="E17" i="14"/>
  <c r="I20" i="14"/>
  <c r="E20" i="14"/>
  <c r="F19" i="14"/>
  <c r="G18" i="14"/>
  <c r="H17" i="14"/>
  <c r="I16" i="14"/>
  <c r="T12" i="8"/>
  <c r="T11" i="8"/>
  <c r="T10" i="8"/>
  <c r="T9" i="8"/>
  <c r="T8" i="8"/>
  <c r="T7" i="8"/>
  <c r="T6" i="8"/>
  <c r="T5" i="8"/>
  <c r="O13" i="8"/>
  <c r="P5" i="8" s="1"/>
  <c r="P7" i="8"/>
  <c r="P8" i="8"/>
  <c r="P9" i="8"/>
  <c r="P11" i="8"/>
  <c r="Q5" i="8"/>
  <c r="Q6" i="8"/>
  <c r="Q7" i="8"/>
  <c r="Q8" i="8"/>
  <c r="Q9" i="8"/>
  <c r="Q10" i="8"/>
  <c r="Q11" i="8"/>
  <c r="S5" i="8"/>
  <c r="S8" i="8"/>
  <c r="R5" i="8"/>
  <c r="R6" i="8"/>
  <c r="S6" i="8" s="1"/>
  <c r="R7" i="8"/>
  <c r="R8" i="8"/>
  <c r="R9" i="8"/>
  <c r="S9" i="8" s="1"/>
  <c r="R10" i="8"/>
  <c r="S10" i="8" s="1"/>
  <c r="R11" i="8"/>
  <c r="G4" i="8"/>
  <c r="F4" i="8"/>
  <c r="H4" i="8" s="1"/>
  <c r="I4" i="8" s="1"/>
  <c r="L38" i="5"/>
  <c r="L36" i="5"/>
  <c r="L34" i="5"/>
  <c r="L32" i="5"/>
  <c r="H7" i="7"/>
  <c r="H8" i="7"/>
  <c r="H11" i="7"/>
  <c r="H12" i="7"/>
  <c r="H15" i="7"/>
  <c r="H16" i="7"/>
  <c r="H19" i="7"/>
  <c r="D15" i="7"/>
  <c r="D16" i="7"/>
  <c r="D17" i="7"/>
  <c r="D18" i="7"/>
  <c r="D19" i="7"/>
  <c r="D14" i="7"/>
  <c r="D7" i="7"/>
  <c r="D5" i="7"/>
  <c r="D6" i="7"/>
  <c r="D8" i="7"/>
  <c r="D9" i="7"/>
  <c r="D10" i="7"/>
  <c r="D11" i="7"/>
  <c r="D12" i="7"/>
  <c r="G20" i="7"/>
  <c r="H5" i="7" s="1"/>
  <c r="M30" i="5"/>
  <c r="M28" i="5"/>
  <c r="L28" i="5"/>
  <c r="L30" i="5"/>
  <c r="L26" i="5"/>
  <c r="M22" i="5"/>
  <c r="M24" i="5"/>
  <c r="M20" i="5"/>
  <c r="L10" i="5"/>
  <c r="F4" i="5" a="1"/>
  <c r="F4" i="5" s="1"/>
  <c r="I4" i="5" s="1"/>
  <c r="L8" i="5"/>
  <c r="L6" i="5"/>
  <c r="L4" i="5"/>
  <c r="H21" i="14" l="1"/>
  <c r="J17" i="14"/>
  <c r="E21" i="14"/>
  <c r="J18" i="14"/>
  <c r="J16" i="14"/>
  <c r="I21" i="14"/>
  <c r="J20" i="14"/>
  <c r="G21" i="14"/>
  <c r="F21" i="14"/>
  <c r="J19" i="14"/>
  <c r="P10" i="8"/>
  <c r="P6" i="8"/>
  <c r="S11" i="8"/>
  <c r="S7" i="8"/>
  <c r="H18" i="7"/>
  <c r="H14" i="7"/>
  <c r="H10" i="7"/>
  <c r="H6" i="7"/>
  <c r="H17" i="7"/>
  <c r="H13" i="7"/>
  <c r="H9" i="7"/>
  <c r="F35" i="5"/>
  <c r="F31" i="5"/>
  <c r="F27" i="5"/>
  <c r="F23" i="5"/>
  <c r="F19" i="5"/>
  <c r="F15" i="5"/>
  <c r="F11" i="5"/>
  <c r="F7" i="5"/>
  <c r="F38" i="5"/>
  <c r="F34" i="5"/>
  <c r="F30" i="5"/>
  <c r="F26" i="5"/>
  <c r="F22" i="5"/>
  <c r="F18" i="5"/>
  <c r="F14" i="5"/>
  <c r="F10" i="5"/>
  <c r="F6" i="5"/>
  <c r="F37" i="5"/>
  <c r="F33" i="5"/>
  <c r="F29" i="5"/>
  <c r="F25" i="5"/>
  <c r="F21" i="5"/>
  <c r="F17" i="5"/>
  <c r="F13" i="5"/>
  <c r="F9" i="5"/>
  <c r="F5" i="5"/>
  <c r="I6" i="5" s="1"/>
  <c r="F36" i="5"/>
  <c r="F32" i="5"/>
  <c r="F28" i="5"/>
  <c r="F24" i="5"/>
  <c r="F20" i="5"/>
  <c r="F16" i="5"/>
  <c r="F12" i="5"/>
  <c r="F8" i="5"/>
  <c r="L11" i="1"/>
  <c r="L12" i="1"/>
  <c r="L13" i="1"/>
  <c r="L10" i="1"/>
  <c r="I11" i="1"/>
  <c r="I12" i="1"/>
  <c r="I13" i="1"/>
  <c r="J10" i="1"/>
  <c r="K10" i="1" s="1"/>
  <c r="J11" i="1"/>
  <c r="K11" i="1" s="1"/>
  <c r="J12" i="1"/>
  <c r="K12" i="1" s="1"/>
  <c r="J13" i="1"/>
  <c r="G14" i="1"/>
  <c r="H13" i="1" s="1"/>
  <c r="J21" i="14" l="1"/>
  <c r="I10" i="5"/>
  <c r="I38" i="5"/>
  <c r="I26" i="5"/>
  <c r="I14" i="5"/>
  <c r="I30" i="5"/>
  <c r="I22" i="5"/>
  <c r="I7" i="5"/>
  <c r="I11" i="5"/>
  <c r="I15" i="5"/>
  <c r="I19" i="5"/>
  <c r="I23" i="5"/>
  <c r="I27" i="5"/>
  <c r="I31" i="5"/>
  <c r="I35" i="5"/>
  <c r="I8" i="5"/>
  <c r="I16" i="5"/>
  <c r="I24" i="5"/>
  <c r="I32" i="5"/>
  <c r="I9" i="5"/>
  <c r="I17" i="5"/>
  <c r="I25" i="5"/>
  <c r="I33" i="5"/>
  <c r="I5" i="5"/>
  <c r="I13" i="5"/>
  <c r="I21" i="5"/>
  <c r="I29" i="5"/>
  <c r="I37" i="5"/>
  <c r="I12" i="5"/>
  <c r="I20" i="5"/>
  <c r="I28" i="5"/>
  <c r="I36" i="5"/>
  <c r="F39" i="5"/>
  <c r="L12" i="5" s="1" a="1"/>
  <c r="I18" i="5"/>
  <c r="I34" i="5"/>
  <c r="H12" i="1"/>
  <c r="K13" i="1"/>
  <c r="H10" i="1"/>
  <c r="I10" i="1" s="1"/>
  <c r="H11" i="1"/>
  <c r="H14" i="1"/>
  <c r="I14" i="1" s="1"/>
  <c r="J10" i="5" l="1"/>
  <c r="L24" i="5"/>
  <c r="L22" i="5"/>
  <c r="L20" i="5"/>
  <c r="L12" i="5"/>
  <c r="L14" i="5" s="1"/>
  <c r="H15" i="5"/>
  <c r="G18" i="5"/>
  <c r="G21" i="5"/>
  <c r="J20" i="5"/>
  <c r="K20" i="5"/>
  <c r="K21" i="5"/>
  <c r="J21" i="5"/>
  <c r="K25" i="5"/>
  <c r="J25" i="5"/>
  <c r="K24" i="5"/>
  <c r="J24" i="5"/>
  <c r="J35" i="5"/>
  <c r="K35" i="5"/>
  <c r="J19" i="5"/>
  <c r="K19" i="5"/>
  <c r="G5" i="5"/>
  <c r="H8" i="5"/>
  <c r="H7" i="5"/>
  <c r="G10" i="5"/>
  <c r="G13" i="5"/>
  <c r="H9" i="5"/>
  <c r="H27" i="5"/>
  <c r="G30" i="5"/>
  <c r="H33" i="5"/>
  <c r="G36" i="5"/>
  <c r="G32" i="5"/>
  <c r="G38" i="5"/>
  <c r="H25" i="5"/>
  <c r="J26" i="5"/>
  <c r="K26" i="5"/>
  <c r="H19" i="5"/>
  <c r="K10" i="5"/>
  <c r="G31" i="5"/>
  <c r="J12" i="5"/>
  <c r="K12" i="5"/>
  <c r="K13" i="5"/>
  <c r="J13" i="5"/>
  <c r="K17" i="5"/>
  <c r="J17" i="5"/>
  <c r="K16" i="5"/>
  <c r="J16" i="5"/>
  <c r="J31" i="5"/>
  <c r="K31" i="5"/>
  <c r="J15" i="5"/>
  <c r="K15" i="5"/>
  <c r="G24" i="5"/>
  <c r="G23" i="5"/>
  <c r="H26" i="5"/>
  <c r="H29" i="5"/>
  <c r="J22" i="5"/>
  <c r="K22" i="5"/>
  <c r="G9" i="5"/>
  <c r="G27" i="5"/>
  <c r="H30" i="5"/>
  <c r="G33" i="5"/>
  <c r="H36" i="5"/>
  <c r="H32" i="5"/>
  <c r="H38" i="5"/>
  <c r="G25" i="5"/>
  <c r="G16" i="5"/>
  <c r="G19" i="5"/>
  <c r="J18" i="5"/>
  <c r="K18" i="5"/>
  <c r="H4" i="5"/>
  <c r="G4" i="5"/>
  <c r="J4" i="5"/>
  <c r="K4" i="5"/>
  <c r="G34" i="5"/>
  <c r="G37" i="5"/>
  <c r="J36" i="5"/>
  <c r="K36" i="5"/>
  <c r="K37" i="5"/>
  <c r="J37" i="5"/>
  <c r="K5" i="5"/>
  <c r="J5" i="5"/>
  <c r="K9" i="5"/>
  <c r="J9" i="5"/>
  <c r="K8" i="5"/>
  <c r="J8" i="5"/>
  <c r="J27" i="5"/>
  <c r="K27" i="5"/>
  <c r="J11" i="5"/>
  <c r="K11" i="5"/>
  <c r="H24" i="5"/>
  <c r="H23" i="5"/>
  <c r="G26" i="5"/>
  <c r="G29" i="5"/>
  <c r="H6" i="5"/>
  <c r="J30" i="5"/>
  <c r="K30" i="5"/>
  <c r="H11" i="5"/>
  <c r="H14" i="5"/>
  <c r="H17" i="5"/>
  <c r="G20" i="5"/>
  <c r="G35" i="5"/>
  <c r="H22" i="5"/>
  <c r="G12" i="5"/>
  <c r="H16" i="5"/>
  <c r="G28" i="5"/>
  <c r="K6" i="5"/>
  <c r="H34" i="5"/>
  <c r="H37" i="5"/>
  <c r="H31" i="5"/>
  <c r="J34" i="5"/>
  <c r="K34" i="5"/>
  <c r="G15" i="5"/>
  <c r="H18" i="5"/>
  <c r="H21" i="5"/>
  <c r="J28" i="5"/>
  <c r="K28" i="5"/>
  <c r="K29" i="5"/>
  <c r="J29" i="5"/>
  <c r="K33" i="5"/>
  <c r="J33" i="5"/>
  <c r="K32" i="5"/>
  <c r="J32" i="5"/>
  <c r="H5" i="5"/>
  <c r="J23" i="5"/>
  <c r="K23" i="5"/>
  <c r="J7" i="5"/>
  <c r="K7" i="5"/>
  <c r="G8" i="5"/>
  <c r="G7" i="5"/>
  <c r="H10" i="5"/>
  <c r="H13" i="5"/>
  <c r="G6" i="5"/>
  <c r="J14" i="5"/>
  <c r="K14" i="5"/>
  <c r="G11" i="5"/>
  <c r="G14" i="5"/>
  <c r="G17" i="5"/>
  <c r="H20" i="5"/>
  <c r="H35" i="5"/>
  <c r="G22" i="5"/>
  <c r="H12" i="5"/>
  <c r="J38" i="5"/>
  <c r="K38" i="5"/>
  <c r="H28" i="5"/>
  <c r="J6" i="5"/>
  <c r="L18" i="5" l="1"/>
  <c r="L16" i="5"/>
</calcChain>
</file>

<file path=xl/sharedStrings.xml><?xml version="1.0" encoding="utf-8"?>
<sst xmlns="http://schemas.openxmlformats.org/spreadsheetml/2006/main" count="139" uniqueCount="121">
  <si>
    <t>ÁMBITO DE CONSISTENCIA             xi</t>
  </si>
  <si>
    <t>Absolutas     fi</t>
  </si>
  <si>
    <t>Relativa         fri</t>
  </si>
  <si>
    <t>Relativa porcentual                  fri(%)</t>
  </si>
  <si>
    <t>Absolutas     Fi</t>
  </si>
  <si>
    <t>Relativa         Fri</t>
  </si>
  <si>
    <t>Relativa porcentual                  Fri(%)</t>
  </si>
  <si>
    <t>Frecuencias simples</t>
  </si>
  <si>
    <t>Frecuencias acumuladas</t>
  </si>
  <si>
    <t>TOTAL</t>
  </si>
  <si>
    <r>
      <rPr>
        <b/>
        <i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 xml:space="preserve"> Resultados obtenidos mediante el ensayo de tronco de cono de Abrams (IRAM 1536)</t>
    </r>
  </si>
  <si>
    <r>
      <rPr>
        <sz val="11"/>
        <color rgb="FFFF0000"/>
        <rFont val="Calibri"/>
        <family val="2"/>
        <scheme val="minor"/>
      </rPr>
      <t xml:space="preserve">A-1: </t>
    </r>
    <r>
      <rPr>
        <sz val="11"/>
        <color theme="3" tint="-0.499984740745262"/>
        <rFont val="Calibri"/>
        <family val="2"/>
        <scheme val="minor"/>
      </rPr>
      <t xml:space="preserve">Hormigón seco </t>
    </r>
  </si>
  <si>
    <r>
      <rPr>
        <sz val="11"/>
        <color rgb="FFFF0000"/>
        <rFont val="Calibri"/>
        <family val="2"/>
        <scheme val="minor"/>
      </rPr>
      <t xml:space="preserve">A-2: </t>
    </r>
    <r>
      <rPr>
        <sz val="11"/>
        <color theme="3" tint="-0.499984740745262"/>
        <rFont val="Calibri"/>
        <family val="2"/>
        <scheme val="minor"/>
      </rPr>
      <t>Hormigón plástico</t>
    </r>
  </si>
  <si>
    <r>
      <rPr>
        <sz val="11"/>
        <color rgb="FFFF0000"/>
        <rFont val="Calibri"/>
        <family val="2"/>
        <scheme val="minor"/>
      </rPr>
      <t xml:space="preserve">A-3: </t>
    </r>
    <r>
      <rPr>
        <sz val="11"/>
        <color theme="3" tint="-0.499984740745262"/>
        <rFont val="Calibri"/>
        <family val="2"/>
        <scheme val="minor"/>
      </rPr>
      <t>Hormigón blando</t>
    </r>
  </si>
  <si>
    <r>
      <rPr>
        <sz val="11"/>
        <color rgb="FFFF0000"/>
        <rFont val="Calibri"/>
        <family val="2"/>
        <scheme val="minor"/>
      </rPr>
      <t xml:space="preserve">A-4: </t>
    </r>
    <r>
      <rPr>
        <sz val="11"/>
        <color theme="3" tint="-0.499984740745262"/>
        <rFont val="Calibri"/>
        <family val="2"/>
        <scheme val="minor"/>
      </rPr>
      <t>Hormigón superfluidificado</t>
    </r>
  </si>
  <si>
    <t>Ámbito de consistencia de 32 muestras de hormigón</t>
  </si>
  <si>
    <t>fi</t>
  </si>
  <si>
    <t>fri</t>
  </si>
  <si>
    <t>fri(%)</t>
  </si>
  <si>
    <t>DATOS ORDENADOS (MPa)</t>
  </si>
  <si>
    <t>Fi</t>
  </si>
  <si>
    <t>Fri</t>
  </si>
  <si>
    <t>Fri(%)</t>
  </si>
  <si>
    <t>n</t>
  </si>
  <si>
    <t>xi (MPa)</t>
  </si>
  <si>
    <t>Mo (MPa)</t>
  </si>
  <si>
    <t>Me (MPa)</t>
  </si>
  <si>
    <t>CV</t>
  </si>
  <si>
    <r>
      <t>Media x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 xml:space="preserve"> (MPa)</t>
    </r>
  </si>
  <si>
    <t>s^2 (Mpa^2)</t>
  </si>
  <si>
    <t>s (Mpa)</t>
  </si>
  <si>
    <t>R (MPa)</t>
  </si>
  <si>
    <t>σbk (MPa)</t>
  </si>
  <si>
    <t>°Q1</t>
  </si>
  <si>
    <t>°Q3</t>
  </si>
  <si>
    <t>°Q2</t>
  </si>
  <si>
    <t>Medida</t>
  </si>
  <si>
    <t>Fr</t>
  </si>
  <si>
    <t>Q1(MPa)</t>
  </si>
  <si>
    <t>Q2(Mpa)</t>
  </si>
  <si>
    <t>Q3(Mpa)</t>
  </si>
  <si>
    <t>RI(MPa)</t>
  </si>
  <si>
    <t>°P5</t>
  </si>
  <si>
    <t>°P95</t>
  </si>
  <si>
    <t>P5(Mpa)</t>
  </si>
  <si>
    <t>P95(Mpa)</t>
  </si>
  <si>
    <t>Tallo</t>
  </si>
  <si>
    <t>Hojas</t>
  </si>
  <si>
    <t>Frecuencias absolutas</t>
  </si>
  <si>
    <t>0 2 2 2</t>
  </si>
  <si>
    <t>7 9</t>
  </si>
  <si>
    <t>7 7 8 8 9</t>
  </si>
  <si>
    <t>0 0 1 1 1 2 4</t>
  </si>
  <si>
    <t>5 6 7 8 9 9</t>
  </si>
  <si>
    <t xml:space="preserve">0 1 2 2 2 3 4 4 4 4 4 4 4 </t>
  </si>
  <si>
    <t>6 8 8 9</t>
  </si>
  <si>
    <t>0 2 3 3 4</t>
  </si>
  <si>
    <t>6 9</t>
  </si>
  <si>
    <t>0 4</t>
  </si>
  <si>
    <t>-</t>
  </si>
  <si>
    <t>Frecuancias relativas (%)</t>
  </si>
  <si>
    <t>REF1</t>
  </si>
  <si>
    <t>REF2</t>
  </si>
  <si>
    <t>REF3</t>
  </si>
  <si>
    <t>REF4</t>
  </si>
  <si>
    <t>°</t>
  </si>
  <si>
    <t>Sturges</t>
  </si>
  <si>
    <t>Rango (MPa)</t>
  </si>
  <si>
    <t>Longitud de intervalo sugerida (l)</t>
  </si>
  <si>
    <t>Número de intervalos sugerido (k)</t>
  </si>
  <si>
    <t xml:space="preserve"> xi (MPa)</t>
  </si>
  <si>
    <t>[16,5; 17,5)</t>
  </si>
  <si>
    <t>[17,5; 18,5)</t>
  </si>
  <si>
    <t>[18,5; 19,5)</t>
  </si>
  <si>
    <t>[19,5; 20,5)</t>
  </si>
  <si>
    <t>[20,5; 21,5)</t>
  </si>
  <si>
    <t>[21,5; 22,5)</t>
  </si>
  <si>
    <t>[22,5; 23,5]</t>
  </si>
  <si>
    <t>Intervalos (MPa)</t>
  </si>
  <si>
    <t>Primer elemento</t>
  </si>
  <si>
    <t>Año hidrológico</t>
  </si>
  <si>
    <t>1962-63</t>
  </si>
  <si>
    <t>1963-64</t>
  </si>
  <si>
    <t>1964-65</t>
  </si>
  <si>
    <t>1965-66</t>
  </si>
  <si>
    <t>1966-67</t>
  </si>
  <si>
    <t>1967-68</t>
  </si>
  <si>
    <t>X(m^3/s)</t>
  </si>
  <si>
    <t>Y(m^3/s)</t>
  </si>
  <si>
    <t>Rio tunuyán</t>
  </si>
  <si>
    <t>Arroyo Claro</t>
  </si>
  <si>
    <t>Sxy</t>
  </si>
  <si>
    <t>r</t>
  </si>
  <si>
    <t>X:Vehículos observados</t>
  </si>
  <si>
    <t>Y:Vehículos registrados</t>
  </si>
  <si>
    <t xml:space="preserve">Tabla de distribución de frecuencias absolutas bidimensional </t>
  </si>
  <si>
    <t xml:space="preserve">Tabla de distribución bidimensional de frecuencias relativas  </t>
  </si>
  <si>
    <t>X(Kg)</t>
  </si>
  <si>
    <t>Y(Kg)</t>
  </si>
  <si>
    <t>Z(Kg)</t>
  </si>
  <si>
    <t xml:space="preserve"> X: Carga que produce una deformación de 1.5 mm</t>
  </si>
  <si>
    <t>Y:Carga que produce una deformación de 3mm</t>
  </si>
  <si>
    <t>Z:Carga última que soporta la unión</t>
  </si>
  <si>
    <t>Resultados del ensayo por esfuerzo cortante doble de 15 uniones de madera atornilladas con bulones de 12mm</t>
  </si>
  <si>
    <t>min</t>
  </si>
  <si>
    <t>max</t>
  </si>
  <si>
    <t>ryz</t>
  </si>
  <si>
    <t>rxz</t>
  </si>
  <si>
    <t>Clase i</t>
  </si>
  <si>
    <t>Límites de Clase</t>
  </si>
  <si>
    <t>(Linf</t>
  </si>
  <si>
    <t>Lsup]</t>
  </si>
  <si>
    <t>Marca de Clase</t>
  </si>
  <si>
    <t>Se observa así que el coeficiente de correlación que se obtiene es el mismo para la muestra que para la población.</t>
  </si>
  <si>
    <t>media de x</t>
  </si>
  <si>
    <t xml:space="preserve">media de y </t>
  </si>
  <si>
    <t>suma de productos de desviaciones en x e y</t>
  </si>
  <si>
    <t>oxy</t>
  </si>
  <si>
    <t>covarianza de la población por n</t>
  </si>
  <si>
    <t>Covarianza de la muestra por n</t>
  </si>
  <si>
    <t>Covarianza de la muestra por 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</si>
</sst>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4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0" fontId="0" fillId="0" borderId="4" xfId="1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0" fontId="0" fillId="0" borderId="6" xfId="1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0" fontId="0" fillId="0" borderId="10" xfId="1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0" fontId="0" fillId="0" borderId="12" xfId="1" applyNumberFormat="1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0" fontId="0" fillId="0" borderId="28" xfId="1" applyNumberFormat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0" fontId="0" fillId="0" borderId="30" xfId="1" applyNumberFormat="1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0" fillId="0" borderId="32" xfId="0" quotePrefix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0" fontId="0" fillId="5" borderId="1" xfId="1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164" fontId="3" fillId="2" borderId="4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164" fontId="0" fillId="0" borderId="43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0" fontId="0" fillId="4" borderId="0" xfId="1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0" fillId="4" borderId="45" xfId="0" applyFill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8" borderId="52" xfId="0" applyFill="1" applyBorder="1" applyAlignment="1">
      <alignment horizontal="center" vertical="center" wrapText="1"/>
    </xf>
    <xf numFmtId="0" fontId="0" fillId="8" borderId="50" xfId="0" applyFill="1" applyBorder="1" applyAlignment="1">
      <alignment horizontal="center" vertical="center" wrapText="1"/>
    </xf>
    <xf numFmtId="0" fontId="0" fillId="8" borderId="38" xfId="0" applyFill="1" applyBorder="1" applyAlignment="1">
      <alignment horizontal="center" vertical="center" wrapText="1"/>
    </xf>
    <xf numFmtId="0" fontId="0" fillId="9" borderId="54" xfId="0" applyFill="1" applyBorder="1" applyAlignment="1">
      <alignment horizontal="center" vertical="center" wrapText="1"/>
    </xf>
    <xf numFmtId="0" fontId="0" fillId="9" borderId="51" xfId="0" applyFill="1" applyBorder="1" applyAlignment="1">
      <alignment horizontal="center" vertical="center" wrapText="1"/>
    </xf>
    <xf numFmtId="0" fontId="0" fillId="9" borderId="55" xfId="0" applyFill="1" applyBorder="1" applyAlignment="1">
      <alignment horizontal="center" vertical="center" wrapText="1"/>
    </xf>
    <xf numFmtId="0" fontId="0" fillId="9" borderId="56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0" fillId="9" borderId="58" xfId="0" applyFill="1" applyBorder="1" applyAlignment="1">
      <alignment horizontal="center" vertical="center" wrapText="1"/>
    </xf>
    <xf numFmtId="0" fontId="0" fillId="9" borderId="59" xfId="0" applyFill="1" applyBorder="1" applyAlignment="1">
      <alignment horizontal="center" vertical="center" wrapText="1"/>
    </xf>
    <xf numFmtId="0" fontId="0" fillId="10" borderId="39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 wrapText="1"/>
    </xf>
    <xf numFmtId="0" fontId="3" fillId="7" borderId="48" xfId="0" applyFont="1" applyFill="1" applyBorder="1" applyAlignment="1">
      <alignment horizontal="center" vertical="center" wrapText="1"/>
    </xf>
    <xf numFmtId="0" fontId="3" fillId="7" borderId="50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1.xml"/><Relationship Id="rId3" Type="http://schemas.openxmlformats.org/officeDocument/2006/relationships/worksheet" Target="worksheets/sheet1.xml"/><Relationship Id="rId21" Type="http://schemas.openxmlformats.org/officeDocument/2006/relationships/theme" Target="theme/theme1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7.xml"/><Relationship Id="rId17" Type="http://schemas.openxmlformats.org/officeDocument/2006/relationships/worksheet" Target="worksheets/sheet7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0.xml"/><Relationship Id="rId20" Type="http://schemas.openxmlformats.org/officeDocument/2006/relationships/worksheet" Target="worksheets/sheet9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3.xml"/><Relationship Id="rId15" Type="http://schemas.openxmlformats.org/officeDocument/2006/relationships/chartsheet" Target="chartsheets/sheet9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5.xml"/><Relationship Id="rId19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6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AR" sz="1400"/>
              <a:t>Ámbito de consistencia de 32 muestras de hormigón (IRAM 1536)</a:t>
            </a:r>
          </a:p>
        </c:rich>
      </c:tx>
      <c:layout>
        <c:manualLayout>
          <c:xMode val="edge"/>
          <c:yMode val="edge"/>
          <c:x val="0.29249034254907336"/>
          <c:y val="9.05127488679253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7.0543225187490496E-2"/>
          <c:y val="0.20509267527126118"/>
          <c:w val="0.90286351706036749"/>
          <c:h val="0.6366513560804900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0451AEA-D6A3-467C-BA45-281DFFB73CFB}" type="VALUE">
                      <a:rPr lang="en-US" b="1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s-AR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3.9623576027736501E-3"/>
                  <c:y val="6.8677111237384014E-2"/>
                </c:manualLayout>
              </c:layout>
              <c:tx>
                <c:rich>
                  <a:bodyPr/>
                  <a:lstStyle/>
                  <a:p>
                    <a:fld id="{269BF48F-554C-4E4B-B9BC-9981EA38038B}" type="VALUE">
                      <a:rPr lang="en-US" b="1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s-A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4BB2722-53A1-4789-BA8C-906F6C7C71DC}" type="VALUE">
                      <a:rPr lang="en-US" b="0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s-AR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3.9623576027735053E-3"/>
                  <c:y val="6.8677111237383986E-2"/>
                </c:manualLayout>
              </c:layout>
              <c:tx>
                <c:rich>
                  <a:bodyPr/>
                  <a:lstStyle/>
                  <a:p>
                    <a:fld id="{2BF516B5-3528-414D-B4C0-62144A2E890B}" type="VALUE">
                      <a:rPr lang="en-US" b="1">
                        <a:solidFill>
                          <a:schemeClr val="tx1"/>
                        </a:solidFill>
                      </a:rPr>
                      <a:pPr/>
                      <a:t>[VALOR]</a:t>
                    </a:fld>
                    <a:endParaRPr lang="es-AR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1.1'!$F$10:$F$13</c:f>
              <c:strCache>
                <c:ptCount val="4"/>
                <c:pt idx="0">
                  <c:v>A-1: Hormigón seco </c:v>
                </c:pt>
                <c:pt idx="1">
                  <c:v>A-2: Hormigón plástico</c:v>
                </c:pt>
                <c:pt idx="2">
                  <c:v>A-3: Hormigón blando</c:v>
                </c:pt>
                <c:pt idx="3">
                  <c:v>A-4: Hormigón superfluidificado</c:v>
                </c:pt>
              </c:strCache>
            </c:strRef>
          </c:cat>
          <c:val>
            <c:numRef>
              <c:f>'Ejercicio 1.1'!$G$10:$G$13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10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-352205840"/>
        <c:axId val="-352206384"/>
      </c:barChart>
      <c:catAx>
        <c:axId val="-35220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352206384"/>
        <c:crosses val="autoZero"/>
        <c:auto val="1"/>
        <c:lblAlgn val="ctr"/>
        <c:lblOffset val="100"/>
        <c:noMultiLvlLbl val="0"/>
      </c:catAx>
      <c:valAx>
        <c:axId val="-3522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352205840"/>
        <c:crosses val="autoZero"/>
        <c:crossBetween val="between"/>
        <c:minorUnit val="1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Ámbito de Consistencia de 32 muestras de hormigón (IRAM 1536)</a:t>
            </a:r>
          </a:p>
        </c:rich>
      </c:tx>
      <c:layout>
        <c:manualLayout>
          <c:xMode val="edge"/>
          <c:yMode val="edge"/>
          <c:x val="0.22810118336305202"/>
          <c:y val="4.70105624160912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'Ejercicio 1.1'!$F$10:$F$13</c:f>
              <c:strCache>
                <c:ptCount val="4"/>
                <c:pt idx="0">
                  <c:v>A-1: Hormigón seco </c:v>
                </c:pt>
                <c:pt idx="1">
                  <c:v>A-2: Hormigón plástico</c:v>
                </c:pt>
                <c:pt idx="2">
                  <c:v>A-3: Hormigón blando</c:v>
                </c:pt>
                <c:pt idx="3">
                  <c:v>A-4: Hormigón superfluidificado</c:v>
                </c:pt>
              </c:strCache>
            </c:strRef>
          </c:cat>
          <c:val>
            <c:numRef>
              <c:f>'Ejercicio 1.1'!$I$10:$I$13</c:f>
              <c:numCache>
                <c:formatCode>0.00%</c:formatCode>
                <c:ptCount val="4"/>
                <c:pt idx="0">
                  <c:v>0.15625</c:v>
                </c:pt>
                <c:pt idx="1">
                  <c:v>0.46875</c:v>
                </c:pt>
                <c:pt idx="2">
                  <c:v>0.3125</c:v>
                </c:pt>
                <c:pt idx="3">
                  <c:v>6.25E-2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Histograma</a:t>
            </a:r>
            <a:r>
              <a:rPr lang="es-AR" baseline="0"/>
              <a:t> y polígono de frecuencias para la distribución de resistencia en 53 probetas de hormigón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'Ej1.2-Datos agrupados'!$N$4:$N$12</c:f>
              <c:numCache>
                <c:formatCode>General</c:formatCode>
                <c:ptCount val="9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</c:numCache>
            </c:numRef>
          </c:cat>
          <c:val>
            <c:numRef>
              <c:f>'Ej1.2-Datos agrupados'!$O$4:$O$12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12</c:v>
                </c:pt>
                <c:pt idx="4">
                  <c:v>19</c:v>
                </c:pt>
                <c:pt idx="5">
                  <c:v>9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352205296"/>
        <c:axId val="-352203120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'Ej1.2-Datos agrupados'!$O$4:$O$12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12</c:v>
                </c:pt>
                <c:pt idx="4">
                  <c:v>19</c:v>
                </c:pt>
                <c:pt idx="5">
                  <c:v>9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52205296"/>
        <c:axId val="-352203120"/>
      </c:lineChart>
      <c:catAx>
        <c:axId val="-3522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Resistencia</a:t>
                </a:r>
                <a:r>
                  <a:rPr lang="es-AR" baseline="0"/>
                  <a:t> (MPa)</a:t>
                </a:r>
                <a:endParaRPr lang="es-A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352203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35220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Frecuancias</a:t>
                </a:r>
                <a:r>
                  <a:rPr lang="es-AR" baseline="0"/>
                  <a:t> Absolutas simples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35220529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Ojiva para la resistencia de 53 probetas de hormigón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'Ej1.2-Datos agrupados'!$N$5:$N$11</c:f>
              <c:numCache>
                <c:formatCode>General</c:formatCode>
                <c:ptCount val="7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</c:numCache>
            </c:numRef>
          </c:cat>
          <c:val>
            <c:numRef>
              <c:f>'Ej1.2-Datos agrupados'!$T$5:$T$11</c:f>
              <c:numCache>
                <c:formatCode>0.00%</c:formatCode>
                <c:ptCount val="7"/>
                <c:pt idx="0">
                  <c:v>3.7735849056603772E-2</c:v>
                </c:pt>
                <c:pt idx="1">
                  <c:v>0.15094339622641509</c:v>
                </c:pt>
                <c:pt idx="2">
                  <c:v>0.37735849056603776</c:v>
                </c:pt>
                <c:pt idx="3">
                  <c:v>0.73584905660377353</c:v>
                </c:pt>
                <c:pt idx="4">
                  <c:v>0.90566037735849059</c:v>
                </c:pt>
                <c:pt idx="5">
                  <c:v>0.98113207547169812</c:v>
                </c:pt>
                <c:pt idx="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352200944"/>
        <c:axId val="-352198768"/>
      </c:lineChart>
      <c:catAx>
        <c:axId val="-35220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Resistencia </a:t>
                </a:r>
              </a:p>
              <a:p>
                <a:pPr>
                  <a:defRPr/>
                </a:pPr>
                <a:r>
                  <a:rPr lang="es-AR"/>
                  <a:t>(MPa)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352198768"/>
        <c:crosses val="autoZero"/>
        <c:auto val="1"/>
        <c:lblAlgn val="ctr"/>
        <c:lblOffset val="100"/>
        <c:noMultiLvlLbl val="0"/>
      </c:catAx>
      <c:valAx>
        <c:axId val="-35219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Frecucncias</a:t>
                </a:r>
                <a:r>
                  <a:rPr lang="es-AR" baseline="0"/>
                  <a:t> relativas acumuladas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35220094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2000"/>
              <a:t>Diagrama</a:t>
            </a:r>
            <a:r>
              <a:rPr lang="es-AR" sz="2000" baseline="0"/>
              <a:t> de dispersión para los caudales medios anuales del Rio Tunuyán el Arroyo Claro  </a:t>
            </a:r>
            <a:endParaRPr lang="es-AR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206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0233989612505345"/>
                  <c:y val="0.221373135446342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y = 0,0321x + 0,3567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'Ej 1.3'!$C$4:$C$9</c:f>
              <c:numCache>
                <c:formatCode>General</c:formatCode>
                <c:ptCount val="6"/>
                <c:pt idx="0">
                  <c:v>28.63</c:v>
                </c:pt>
                <c:pt idx="1">
                  <c:v>39.31</c:v>
                </c:pt>
                <c:pt idx="2">
                  <c:v>23.41</c:v>
                </c:pt>
                <c:pt idx="3">
                  <c:v>30.74</c:v>
                </c:pt>
                <c:pt idx="4">
                  <c:v>25.43</c:v>
                </c:pt>
                <c:pt idx="5">
                  <c:v>22.03</c:v>
                </c:pt>
              </c:numCache>
            </c:numRef>
          </c:xVal>
          <c:yVal>
            <c:numRef>
              <c:f>'Ej 1.3'!$D$4:$D$9</c:f>
              <c:numCache>
                <c:formatCode>General</c:formatCode>
                <c:ptCount val="6"/>
                <c:pt idx="0">
                  <c:v>1.2789999999999999</c:v>
                </c:pt>
                <c:pt idx="1">
                  <c:v>1.6639999999999999</c:v>
                </c:pt>
                <c:pt idx="2">
                  <c:v>1.218</c:v>
                </c:pt>
                <c:pt idx="3">
                  <c:v>1.232</c:v>
                </c:pt>
                <c:pt idx="4">
                  <c:v>1.1879999999999999</c:v>
                </c:pt>
                <c:pt idx="5">
                  <c:v>1.0069999999999999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52196592"/>
        <c:axId val="-352211824"/>
      </c:scatterChart>
      <c:valAx>
        <c:axId val="-352196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500"/>
                  <a:t>X(m^3/s)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352211824"/>
        <c:crosses val="autoZero"/>
        <c:crossBetween val="midCat"/>
      </c:valAx>
      <c:valAx>
        <c:axId val="-35221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1500"/>
                  <a:t>Y(m^3/s)</a:t>
                </a:r>
                <a:endParaRPr lang="es-A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352196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Distribución</a:t>
            </a:r>
            <a:r>
              <a:rPr lang="en-US" sz="3200" baseline="0"/>
              <a:t> marginal relativa del tránsito observado </a:t>
            </a:r>
            <a:endParaRPr lang="en-US" sz="3200"/>
          </a:p>
        </c:rich>
      </c:tx>
      <c:layout>
        <c:manualLayout>
          <c:xMode val="edge"/>
          <c:yMode val="edge"/>
          <c:x val="0.16689524020075264"/>
          <c:y val="3.54648548873083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9.381714785651793E-2"/>
          <c:y val="0.25083333333333335"/>
          <c:w val="0.88396062992125979"/>
          <c:h val="0.6417672790901137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'Ej. 1.4'!$D$16:$D$20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'Ej. 1.4'!$J$16:$J$20</c:f>
              <c:numCache>
                <c:formatCode>General</c:formatCode>
                <c:ptCount val="5"/>
                <c:pt idx="0">
                  <c:v>0.25</c:v>
                </c:pt>
                <c:pt idx="1">
                  <c:v>0.39999999999999997</c:v>
                </c:pt>
                <c:pt idx="2">
                  <c:v>0.2</c:v>
                </c:pt>
                <c:pt idx="3">
                  <c:v>0.1</c:v>
                </c:pt>
                <c:pt idx="4">
                  <c:v>0.05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52200400"/>
        <c:axId val="-564895088"/>
      </c:barChart>
      <c:catAx>
        <c:axId val="-35220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Vehículos</a:t>
                </a:r>
                <a:r>
                  <a:rPr lang="en-US" sz="2000" baseline="0"/>
                  <a:t> observados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564895088"/>
        <c:crosses val="autoZero"/>
        <c:auto val="1"/>
        <c:lblAlgn val="ctr"/>
        <c:lblOffset val="100"/>
        <c:noMultiLvlLbl val="0"/>
      </c:catAx>
      <c:valAx>
        <c:axId val="-56489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 sz="2000"/>
                  <a:t>Frecuencias</a:t>
                </a:r>
                <a:r>
                  <a:rPr lang="es-AR" sz="2000" baseline="0"/>
                  <a:t> marginales relativas</a:t>
                </a:r>
                <a:endParaRPr lang="es-AR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35220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Distribución marginal de frecuencias</a:t>
            </a:r>
            <a:r>
              <a:rPr lang="es-AR" baseline="0"/>
              <a:t> relativas vehículos registrados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'Ej. 1.4'!$E$15:$I$15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'Ej. 1.4'!$E$21:$I$21</c:f>
              <c:numCache>
                <c:formatCode>General</c:formatCode>
                <c:ptCount val="5"/>
                <c:pt idx="0">
                  <c:v>0.3</c:v>
                </c:pt>
                <c:pt idx="1">
                  <c:v>0.4</c:v>
                </c:pt>
                <c:pt idx="2">
                  <c:v>0.1825</c:v>
                </c:pt>
                <c:pt idx="3">
                  <c:v>8.5000000000000006E-2</c:v>
                </c:pt>
                <c:pt idx="4">
                  <c:v>3.2500000000000001E-2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86835728"/>
        <c:axId val="-286828112"/>
      </c:barChart>
      <c:catAx>
        <c:axId val="-286835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vehículos registrados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286828112"/>
        <c:crosses val="autoZero"/>
        <c:auto val="1"/>
        <c:lblAlgn val="ctr"/>
        <c:lblOffset val="100"/>
        <c:noMultiLvlLbl val="0"/>
      </c:catAx>
      <c:valAx>
        <c:axId val="-28682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Frecuencias</a:t>
                </a:r>
                <a:r>
                  <a:rPr lang="es-AR" baseline="0"/>
                  <a:t> relativas marginales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28683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Distribución</a:t>
            </a:r>
            <a:r>
              <a:rPr lang="es-AR" baseline="0"/>
              <a:t> de frecuencias de vechículos observados dado 1 vehículo registrado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4.4336003631705943E-2"/>
          <c:y val="7.5289800757821046E-2"/>
          <c:w val="0.94612325585014279"/>
          <c:h val="0.8742285490603456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'Ej. 1.4'!$D$5:$D$9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'Ej. 1.4'!$F$5:$F$9</c:f>
              <c:numCache>
                <c:formatCode>General</c:formatCode>
                <c:ptCount val="5"/>
                <c:pt idx="0">
                  <c:v>0</c:v>
                </c:pt>
                <c:pt idx="1">
                  <c:v>432</c:v>
                </c:pt>
                <c:pt idx="2">
                  <c:v>36</c:v>
                </c:pt>
                <c:pt idx="3">
                  <c:v>12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86838448"/>
        <c:axId val="-286833008"/>
      </c:barChart>
      <c:catAx>
        <c:axId val="-28683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vehículos observados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286833008"/>
        <c:crosses val="autoZero"/>
        <c:auto val="1"/>
        <c:lblAlgn val="ctr"/>
        <c:lblOffset val="100"/>
        <c:noMultiLvlLbl val="0"/>
      </c:catAx>
      <c:valAx>
        <c:axId val="-2868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Frecuencias</a:t>
                </a:r>
                <a:r>
                  <a:rPr lang="es-AR" baseline="0"/>
                  <a:t> absolutas simples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28683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Diagrama</a:t>
            </a:r>
            <a:r>
              <a:rPr lang="es-AR" baseline="0"/>
              <a:t> de disperisón Z/Y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5875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4763056406811166"/>
                  <c:y val="1.27397512072259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'Ej.1.5'!$B$6:$P$6</c:f>
              <c:numCache>
                <c:formatCode>General</c:formatCode>
                <c:ptCount val="15"/>
                <c:pt idx="0">
                  <c:v>1950</c:v>
                </c:pt>
                <c:pt idx="1">
                  <c:v>1750</c:v>
                </c:pt>
                <c:pt idx="2">
                  <c:v>1800</c:v>
                </c:pt>
                <c:pt idx="3">
                  <c:v>1750</c:v>
                </c:pt>
                <c:pt idx="4">
                  <c:v>1840</c:v>
                </c:pt>
                <c:pt idx="5">
                  <c:v>2125</c:v>
                </c:pt>
                <c:pt idx="6">
                  <c:v>1725</c:v>
                </c:pt>
                <c:pt idx="7">
                  <c:v>1850</c:v>
                </c:pt>
                <c:pt idx="8">
                  <c:v>2050</c:v>
                </c:pt>
                <c:pt idx="9">
                  <c:v>1600</c:v>
                </c:pt>
                <c:pt idx="10">
                  <c:v>1650</c:v>
                </c:pt>
                <c:pt idx="11">
                  <c:v>2000</c:v>
                </c:pt>
                <c:pt idx="12">
                  <c:v>1700</c:v>
                </c:pt>
                <c:pt idx="13">
                  <c:v>1925</c:v>
                </c:pt>
                <c:pt idx="14">
                  <c:v>2100</c:v>
                </c:pt>
              </c:numCache>
            </c:numRef>
          </c:xVal>
          <c:yVal>
            <c:numRef>
              <c:f>'Ej.1.5'!$B$7:$P$7</c:f>
              <c:numCache>
                <c:formatCode>General</c:formatCode>
                <c:ptCount val="15"/>
                <c:pt idx="0">
                  <c:v>2125</c:v>
                </c:pt>
                <c:pt idx="1">
                  <c:v>1950</c:v>
                </c:pt>
                <c:pt idx="2">
                  <c:v>2050</c:v>
                </c:pt>
                <c:pt idx="3">
                  <c:v>2000</c:v>
                </c:pt>
                <c:pt idx="4">
                  <c:v>2050</c:v>
                </c:pt>
                <c:pt idx="5">
                  <c:v>2250</c:v>
                </c:pt>
                <c:pt idx="6">
                  <c:v>2000</c:v>
                </c:pt>
                <c:pt idx="7">
                  <c:v>2100</c:v>
                </c:pt>
                <c:pt idx="8">
                  <c:v>2200</c:v>
                </c:pt>
                <c:pt idx="9">
                  <c:v>1850</c:v>
                </c:pt>
                <c:pt idx="10">
                  <c:v>1925</c:v>
                </c:pt>
                <c:pt idx="11">
                  <c:v>2200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86836816"/>
        <c:axId val="-286837904"/>
      </c:scatterChart>
      <c:valAx>
        <c:axId val="-286836816"/>
        <c:scaling>
          <c:orientation val="minMax"/>
          <c:min val="15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Y(Kg)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286837904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</c:dispUnitsLbl>
        </c:dispUnits>
      </c:valAx>
      <c:valAx>
        <c:axId val="-286837904"/>
        <c:scaling>
          <c:orientation val="minMax"/>
          <c:min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Z(Kg)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47110309128025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286836816"/>
        <c:crossesAt val="0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Diagrama</a:t>
            </a:r>
            <a:r>
              <a:rPr lang="es-AR" baseline="0"/>
              <a:t> de dispersión Z/X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'Ej.1.5'!$B$5:$P$5</c:f>
              <c:numCache>
                <c:formatCode>General</c:formatCode>
                <c:ptCount val="15"/>
                <c:pt idx="0">
                  <c:v>1750</c:v>
                </c:pt>
                <c:pt idx="1">
                  <c:v>1700</c:v>
                </c:pt>
                <c:pt idx="2">
                  <c:v>1550</c:v>
                </c:pt>
                <c:pt idx="3">
                  <c:v>1350</c:v>
                </c:pt>
                <c:pt idx="4">
                  <c:v>1450</c:v>
                </c:pt>
                <c:pt idx="5">
                  <c:v>1700</c:v>
                </c:pt>
                <c:pt idx="6">
                  <c:v>1350</c:v>
                </c:pt>
                <c:pt idx="7">
                  <c:v>1550</c:v>
                </c:pt>
                <c:pt idx="8">
                  <c:v>1550</c:v>
                </c:pt>
                <c:pt idx="9">
                  <c:v>1140</c:v>
                </c:pt>
                <c:pt idx="10">
                  <c:v>1250</c:v>
                </c:pt>
                <c:pt idx="11">
                  <c:v>1600</c:v>
                </c:pt>
                <c:pt idx="12">
                  <c:v>1300</c:v>
                </c:pt>
                <c:pt idx="13">
                  <c:v>1700</c:v>
                </c:pt>
                <c:pt idx="14">
                  <c:v>1600</c:v>
                </c:pt>
              </c:numCache>
            </c:numRef>
          </c:xVal>
          <c:yVal>
            <c:numRef>
              <c:f>'Ej.1.5'!$B$7:$P$7</c:f>
              <c:numCache>
                <c:formatCode>General</c:formatCode>
                <c:ptCount val="15"/>
                <c:pt idx="0">
                  <c:v>2125</c:v>
                </c:pt>
                <c:pt idx="1">
                  <c:v>1950</c:v>
                </c:pt>
                <c:pt idx="2">
                  <c:v>2050</c:v>
                </c:pt>
                <c:pt idx="3">
                  <c:v>2000</c:v>
                </c:pt>
                <c:pt idx="4">
                  <c:v>2050</c:v>
                </c:pt>
                <c:pt idx="5">
                  <c:v>2250</c:v>
                </c:pt>
                <c:pt idx="6">
                  <c:v>2000</c:v>
                </c:pt>
                <c:pt idx="7">
                  <c:v>2100</c:v>
                </c:pt>
                <c:pt idx="8">
                  <c:v>2200</c:v>
                </c:pt>
                <c:pt idx="9">
                  <c:v>1850</c:v>
                </c:pt>
                <c:pt idx="10">
                  <c:v>1925</c:v>
                </c:pt>
                <c:pt idx="11">
                  <c:v>2200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86838992"/>
        <c:axId val="-286837360"/>
      </c:scatterChart>
      <c:valAx>
        <c:axId val="-286838992"/>
        <c:scaling>
          <c:orientation val="minMax"/>
          <c:min val="1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X(kg)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286837360"/>
        <c:crosses val="autoZero"/>
        <c:crossBetween val="midCat"/>
      </c:valAx>
      <c:valAx>
        <c:axId val="-286837360"/>
        <c:scaling>
          <c:orientation val="minMax"/>
          <c:min val="1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z(kg)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28683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Ojiva para</a:t>
            </a:r>
            <a:r>
              <a:rPr lang="es-AR" baseline="0"/>
              <a:t> el ensayo de compresión de 53 probetas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'Ej1.8'!$D$4:$D$10</c:f>
              <c:numCache>
                <c:formatCode>General</c:formatCode>
                <c:ptCount val="7"/>
                <c:pt idx="0">
                  <c:v>17.5</c:v>
                </c:pt>
                <c:pt idx="1">
                  <c:v>18.5</c:v>
                </c:pt>
                <c:pt idx="2">
                  <c:v>19.5</c:v>
                </c:pt>
                <c:pt idx="3">
                  <c:v>20.5</c:v>
                </c:pt>
                <c:pt idx="4">
                  <c:v>21.5</c:v>
                </c:pt>
                <c:pt idx="5">
                  <c:v>22.5</c:v>
                </c:pt>
                <c:pt idx="6">
                  <c:v>23.5</c:v>
                </c:pt>
              </c:numCache>
            </c:numRef>
          </c:xVal>
          <c:yVal>
            <c:numRef>
              <c:f>'Ej1.8'!$J$4:$J$10</c:f>
              <c:numCache>
                <c:formatCode>0.00%</c:formatCode>
                <c:ptCount val="7"/>
                <c:pt idx="0">
                  <c:v>3.7735849056603772E-2</c:v>
                </c:pt>
                <c:pt idx="1">
                  <c:v>0.15094339622641509</c:v>
                </c:pt>
                <c:pt idx="2">
                  <c:v>0.37735849056603776</c:v>
                </c:pt>
                <c:pt idx="3">
                  <c:v>0.73584905660377353</c:v>
                </c:pt>
                <c:pt idx="4">
                  <c:v>0.90566037735849059</c:v>
                </c:pt>
                <c:pt idx="5">
                  <c:v>0.98113207547169812</c:v>
                </c:pt>
                <c:pt idx="6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86836272"/>
        <c:axId val="-286827024"/>
      </c:scatterChart>
      <c:valAx>
        <c:axId val="-286836272"/>
        <c:scaling>
          <c:orientation val="minMax"/>
          <c:min val="16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Resistencia</a:t>
                </a:r>
                <a:r>
                  <a:rPr lang="es-AR" baseline="0"/>
                  <a:t> a la compresión(MPa)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286827024"/>
        <c:crosses val="autoZero"/>
        <c:crossBetween val="midCat"/>
      </c:valAx>
      <c:valAx>
        <c:axId val="-2868270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Resistencia</a:t>
                </a:r>
                <a:r>
                  <a:rPr lang="es-AR" baseline="0"/>
                  <a:t> a la compresion()MPa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-28683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16"/>
  <sheetViews>
    <sheetView topLeftCell="A2" workbookViewId="0">
      <selection activeCell="F8" sqref="F8:F9"/>
    </sheetView>
  </sheetViews>
  <sheetFormatPr baseColWidth="10" defaultRowHeight="15" x14ac:dyDescent="0.25"/>
  <cols>
    <col min="6" max="6" width="29.7109375" customWidth="1"/>
  </cols>
  <sheetData>
    <row r="3" spans="5:14" x14ac:dyDescent="0.25">
      <c r="G3" s="1"/>
      <c r="H3" s="1"/>
      <c r="I3" s="1"/>
      <c r="J3" s="1"/>
      <c r="K3" s="1"/>
      <c r="L3" s="1"/>
      <c r="M3" s="1"/>
      <c r="N3" s="1"/>
    </row>
    <row r="4" spans="5:14" x14ac:dyDescent="0.25">
      <c r="G4" s="1"/>
      <c r="H4" s="1"/>
      <c r="I4" s="1"/>
      <c r="J4" s="1"/>
      <c r="K4" s="1"/>
      <c r="L4" s="1"/>
      <c r="M4" s="1"/>
      <c r="N4" s="1"/>
    </row>
    <row r="5" spans="5:14" x14ac:dyDescent="0.25">
      <c r="G5" s="1"/>
      <c r="H5" s="1"/>
      <c r="I5" s="1"/>
      <c r="J5" s="1"/>
      <c r="K5" s="1"/>
      <c r="L5" s="1"/>
      <c r="M5" s="1"/>
      <c r="N5" s="1"/>
    </row>
    <row r="6" spans="5:14" ht="18.75" x14ac:dyDescent="0.3">
      <c r="F6" s="116" t="s">
        <v>15</v>
      </c>
      <c r="G6" s="117"/>
      <c r="H6" s="117"/>
      <c r="I6" s="117"/>
      <c r="J6" s="117"/>
      <c r="K6" s="117"/>
      <c r="L6" s="117"/>
      <c r="M6" s="1"/>
      <c r="N6" s="1"/>
    </row>
    <row r="7" spans="5:14" ht="15.75" thickBot="1" x14ac:dyDescent="0.3">
      <c r="G7" s="1"/>
      <c r="H7" s="1"/>
      <c r="I7" s="1"/>
      <c r="J7" s="1"/>
      <c r="K7" s="1"/>
      <c r="L7" s="1"/>
      <c r="M7" s="1"/>
      <c r="N7" s="1"/>
    </row>
    <row r="8" spans="5:14" ht="16.5" thickTop="1" thickBot="1" x14ac:dyDescent="0.3">
      <c r="F8" s="123" t="s">
        <v>0</v>
      </c>
      <c r="G8" s="118" t="s">
        <v>7</v>
      </c>
      <c r="H8" s="119"/>
      <c r="I8" s="120"/>
      <c r="J8" s="121" t="s">
        <v>8</v>
      </c>
      <c r="K8" s="119"/>
      <c r="L8" s="122"/>
      <c r="M8" s="1"/>
      <c r="N8" s="1"/>
    </row>
    <row r="9" spans="5:14" ht="45.75" thickBot="1" x14ac:dyDescent="0.3">
      <c r="F9" s="124"/>
      <c r="G9" s="14" t="s">
        <v>1</v>
      </c>
      <c r="H9" s="15" t="s">
        <v>2</v>
      </c>
      <c r="I9" s="16" t="s">
        <v>3</v>
      </c>
      <c r="J9" s="17" t="s">
        <v>4</v>
      </c>
      <c r="K9" s="15" t="s">
        <v>5</v>
      </c>
      <c r="L9" s="18" t="s">
        <v>6</v>
      </c>
      <c r="M9" s="1"/>
      <c r="N9" s="1"/>
    </row>
    <row r="10" spans="5:14" x14ac:dyDescent="0.25">
      <c r="E10" s="29"/>
      <c r="F10" s="8" t="s">
        <v>11</v>
      </c>
      <c r="G10" s="9">
        <v>5</v>
      </c>
      <c r="H10" s="10">
        <f>G10/$G$14</f>
        <v>0.15625</v>
      </c>
      <c r="I10" s="11">
        <f>H10</f>
        <v>0.15625</v>
      </c>
      <c r="J10" s="12">
        <f t="shared" ref="J10:J12" si="0">SUM(G7:G10)</f>
        <v>5</v>
      </c>
      <c r="K10" s="10">
        <f>J10/$G$14</f>
        <v>0.15625</v>
      </c>
      <c r="L10" s="13">
        <f>K10</f>
        <v>0.15625</v>
      </c>
      <c r="M10" s="1"/>
      <c r="N10" s="1"/>
    </row>
    <row r="11" spans="5:14" x14ac:dyDescent="0.25">
      <c r="F11" s="6" t="s">
        <v>12</v>
      </c>
      <c r="G11" s="4">
        <v>15</v>
      </c>
      <c r="H11" s="2">
        <f t="shared" ref="H11:H14" si="1">G11/$G$14</f>
        <v>0.46875</v>
      </c>
      <c r="I11" s="5">
        <f>H11</f>
        <v>0.46875</v>
      </c>
      <c r="J11" s="3">
        <f t="shared" si="0"/>
        <v>20</v>
      </c>
      <c r="K11" s="2">
        <f t="shared" ref="K11:K13" si="2">J11/$G$14</f>
        <v>0.625</v>
      </c>
      <c r="L11" s="7">
        <f t="shared" ref="L11:L13" si="3">K11</f>
        <v>0.625</v>
      </c>
      <c r="M11" s="1"/>
      <c r="N11" s="1"/>
    </row>
    <row r="12" spans="5:14" x14ac:dyDescent="0.25">
      <c r="F12" s="6" t="s">
        <v>13</v>
      </c>
      <c r="G12" s="4">
        <v>10</v>
      </c>
      <c r="H12" s="2">
        <f t="shared" si="1"/>
        <v>0.3125</v>
      </c>
      <c r="I12" s="5">
        <f t="shared" ref="I12:I13" si="4">H12</f>
        <v>0.3125</v>
      </c>
      <c r="J12" s="3">
        <f t="shared" si="0"/>
        <v>30</v>
      </c>
      <c r="K12" s="2">
        <f t="shared" si="2"/>
        <v>0.9375</v>
      </c>
      <c r="L12" s="7">
        <f t="shared" si="3"/>
        <v>0.9375</v>
      </c>
      <c r="M12" s="1"/>
      <c r="N12" s="1"/>
    </row>
    <row r="13" spans="5:14" ht="15.75" thickBot="1" x14ac:dyDescent="0.3">
      <c r="F13" s="19" t="s">
        <v>14</v>
      </c>
      <c r="G13" s="20">
        <v>2</v>
      </c>
      <c r="H13" s="21">
        <f t="shared" si="1"/>
        <v>6.25E-2</v>
      </c>
      <c r="I13" s="22">
        <f t="shared" si="4"/>
        <v>6.25E-2</v>
      </c>
      <c r="J13" s="23">
        <f>SUM(G10:G13)</f>
        <v>32</v>
      </c>
      <c r="K13" s="21">
        <f t="shared" si="2"/>
        <v>1</v>
      </c>
      <c r="L13" s="24">
        <f t="shared" si="3"/>
        <v>1</v>
      </c>
      <c r="M13" s="1"/>
      <c r="N13" s="1"/>
    </row>
    <row r="14" spans="5:14" ht="15.75" thickBot="1" x14ac:dyDescent="0.3">
      <c r="F14" s="25" t="s">
        <v>9</v>
      </c>
      <c r="G14" s="26">
        <f xml:space="preserve"> SUM(G10:G13)</f>
        <v>32</v>
      </c>
      <c r="H14" s="27">
        <f t="shared" si="1"/>
        <v>1</v>
      </c>
      <c r="I14" s="28">
        <f t="shared" ref="I14" si="5">H14*100</f>
        <v>100</v>
      </c>
      <c r="J14" s="125"/>
      <c r="K14" s="126"/>
      <c r="L14" s="127"/>
      <c r="M14" s="1"/>
      <c r="N14" s="1"/>
    </row>
    <row r="15" spans="5:14" ht="15.75" thickTop="1" x14ac:dyDescent="0.25">
      <c r="F15" s="1"/>
      <c r="G15" s="1"/>
      <c r="H15" s="1"/>
      <c r="I15" s="1"/>
      <c r="J15" s="1"/>
      <c r="K15" s="1"/>
      <c r="L15" s="1"/>
      <c r="M15" s="1"/>
      <c r="N15" s="1"/>
    </row>
    <row r="16" spans="5:14" x14ac:dyDescent="0.25">
      <c r="F16" s="117" t="s">
        <v>10</v>
      </c>
      <c r="G16" s="117"/>
      <c r="H16" s="117"/>
      <c r="I16" s="117"/>
      <c r="J16" s="117"/>
      <c r="K16" s="117"/>
      <c r="L16" s="117"/>
    </row>
  </sheetData>
  <mergeCells count="6">
    <mergeCell ref="F6:L6"/>
    <mergeCell ref="F16:L16"/>
    <mergeCell ref="G8:I8"/>
    <mergeCell ref="J8:L8"/>
    <mergeCell ref="F8:F9"/>
    <mergeCell ref="J14:L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7"/>
  <sheetViews>
    <sheetView workbookViewId="0">
      <selection activeCell="K12" sqref="K12"/>
    </sheetView>
  </sheetViews>
  <sheetFormatPr baseColWidth="10" defaultRowHeight="15" x14ac:dyDescent="0.25"/>
  <cols>
    <col min="6" max="6" width="20.28515625" customWidth="1"/>
  </cols>
  <sheetData>
    <row r="3" spans="1:8" ht="15.75" thickBot="1" x14ac:dyDescent="0.3"/>
    <row r="4" spans="1:8" ht="45.75" thickBot="1" x14ac:dyDescent="0.3">
      <c r="A4" s="63" t="s">
        <v>36</v>
      </c>
      <c r="B4" s="64" t="s">
        <v>19</v>
      </c>
      <c r="D4" s="75" t="s">
        <v>8</v>
      </c>
      <c r="E4" s="82" t="s">
        <v>46</v>
      </c>
      <c r="F4" s="82" t="s">
        <v>47</v>
      </c>
      <c r="G4" s="60" t="s">
        <v>48</v>
      </c>
      <c r="H4" s="41" t="s">
        <v>60</v>
      </c>
    </row>
    <row r="5" spans="1:8" x14ac:dyDescent="0.25">
      <c r="A5" s="4">
        <v>1</v>
      </c>
      <c r="B5" s="65">
        <v>16.899999999999999</v>
      </c>
      <c r="D5" s="73">
        <f>SUM($G$5:G5)</f>
        <v>0</v>
      </c>
      <c r="E5" s="76">
        <v>16</v>
      </c>
      <c r="F5" s="77" t="s">
        <v>59</v>
      </c>
      <c r="G5" s="1">
        <v>0</v>
      </c>
      <c r="H5" s="70">
        <f>G5/$G$20</f>
        <v>0</v>
      </c>
    </row>
    <row r="6" spans="1:8" x14ac:dyDescent="0.25">
      <c r="A6" s="4">
        <v>2</v>
      </c>
      <c r="B6" s="65">
        <v>17.399999999999999</v>
      </c>
      <c r="D6" s="73">
        <f>SUM($G$5:G6)</f>
        <v>1</v>
      </c>
      <c r="E6" s="76">
        <v>16</v>
      </c>
      <c r="F6" s="77">
        <v>9</v>
      </c>
      <c r="G6" s="1">
        <v>1</v>
      </c>
      <c r="H6" s="70">
        <f t="shared" ref="H6:H19" si="0">G6/$G$20</f>
        <v>1.8867924528301886E-2</v>
      </c>
    </row>
    <row r="7" spans="1:8" x14ac:dyDescent="0.25">
      <c r="A7" s="4">
        <v>3</v>
      </c>
      <c r="B7" s="65">
        <v>17.7</v>
      </c>
      <c r="D7" s="73">
        <f>SUM($G$5:G7)</f>
        <v>2</v>
      </c>
      <c r="E7" s="76">
        <v>17</v>
      </c>
      <c r="F7" s="77">
        <v>4</v>
      </c>
      <c r="G7" s="1">
        <v>1</v>
      </c>
      <c r="H7" s="70">
        <f t="shared" si="0"/>
        <v>1.8867924528301886E-2</v>
      </c>
    </row>
    <row r="8" spans="1:8" x14ac:dyDescent="0.25">
      <c r="A8" s="4">
        <v>4</v>
      </c>
      <c r="B8" s="65">
        <v>17.899999999999999</v>
      </c>
      <c r="D8" s="73">
        <f>SUM($G$5:G8)</f>
        <v>4</v>
      </c>
      <c r="E8" s="76">
        <v>17</v>
      </c>
      <c r="F8" s="77" t="s">
        <v>50</v>
      </c>
      <c r="G8" s="1">
        <v>2</v>
      </c>
      <c r="H8" s="70">
        <f t="shared" si="0"/>
        <v>3.7735849056603772E-2</v>
      </c>
    </row>
    <row r="9" spans="1:8" x14ac:dyDescent="0.25">
      <c r="A9" s="4">
        <v>5</v>
      </c>
      <c r="B9" s="69">
        <v>18</v>
      </c>
      <c r="D9" s="73">
        <f>SUM($G$5:G9)</f>
        <v>8</v>
      </c>
      <c r="E9" s="76">
        <v>18</v>
      </c>
      <c r="F9" s="77" t="s">
        <v>49</v>
      </c>
      <c r="G9" s="1">
        <v>4</v>
      </c>
      <c r="H9" s="70">
        <f t="shared" si="0"/>
        <v>7.5471698113207544E-2</v>
      </c>
    </row>
    <row r="10" spans="1:8" x14ac:dyDescent="0.25">
      <c r="A10" s="4">
        <v>6</v>
      </c>
      <c r="B10" s="69">
        <v>18.2</v>
      </c>
      <c r="D10" s="73">
        <f>SUM($G$5:G10)</f>
        <v>13</v>
      </c>
      <c r="E10" s="76">
        <v>18</v>
      </c>
      <c r="F10" s="77" t="s">
        <v>51</v>
      </c>
      <c r="G10" s="1">
        <v>5</v>
      </c>
      <c r="H10" s="70">
        <f t="shared" si="0"/>
        <v>9.4339622641509441E-2</v>
      </c>
    </row>
    <row r="11" spans="1:8" x14ac:dyDescent="0.25">
      <c r="A11" s="4">
        <v>7</v>
      </c>
      <c r="B11" s="69">
        <v>18.2</v>
      </c>
      <c r="D11" s="73">
        <f>SUM($G$5:G11)</f>
        <v>20</v>
      </c>
      <c r="E11" s="76">
        <v>19</v>
      </c>
      <c r="F11" s="77" t="s">
        <v>52</v>
      </c>
      <c r="G11" s="1">
        <v>7</v>
      </c>
      <c r="H11" s="70">
        <f t="shared" si="0"/>
        <v>0.13207547169811321</v>
      </c>
    </row>
    <row r="12" spans="1:8" x14ac:dyDescent="0.25">
      <c r="A12" s="4">
        <v>8</v>
      </c>
      <c r="B12" s="69">
        <v>18.2</v>
      </c>
      <c r="D12" s="73">
        <f>SUM($G$5:G12)</f>
        <v>26</v>
      </c>
      <c r="E12" s="76">
        <v>19</v>
      </c>
      <c r="F12" s="77" t="s">
        <v>53</v>
      </c>
      <c r="G12" s="1">
        <v>6</v>
      </c>
      <c r="H12" s="70">
        <f t="shared" si="0"/>
        <v>0.11320754716981132</v>
      </c>
    </row>
    <row r="13" spans="1:8" x14ac:dyDescent="0.25">
      <c r="A13" s="4">
        <v>9</v>
      </c>
      <c r="B13" s="69">
        <v>18.7</v>
      </c>
      <c r="D13" s="74">
        <v>13</v>
      </c>
      <c r="E13" s="78">
        <v>20</v>
      </c>
      <c r="F13" s="79" t="s">
        <v>54</v>
      </c>
      <c r="G13" s="71">
        <v>13</v>
      </c>
      <c r="H13" s="72">
        <f t="shared" si="0"/>
        <v>0.24528301886792453</v>
      </c>
    </row>
    <row r="14" spans="1:8" x14ac:dyDescent="0.25">
      <c r="A14" s="4">
        <v>10</v>
      </c>
      <c r="B14" s="69">
        <v>18.7</v>
      </c>
      <c r="D14" s="73">
        <f>SUM(G14:$G$19)</f>
        <v>14</v>
      </c>
      <c r="E14" s="76">
        <v>20</v>
      </c>
      <c r="F14" s="77" t="s">
        <v>55</v>
      </c>
      <c r="G14" s="1">
        <v>4</v>
      </c>
      <c r="H14" s="70">
        <f t="shared" si="0"/>
        <v>7.5471698113207544E-2</v>
      </c>
    </row>
    <row r="15" spans="1:8" x14ac:dyDescent="0.25">
      <c r="A15" s="4">
        <v>11</v>
      </c>
      <c r="B15" s="69">
        <v>18.8</v>
      </c>
      <c r="D15" s="73">
        <f>SUM(G15:$G$19)</f>
        <v>10</v>
      </c>
      <c r="E15" s="76">
        <v>21</v>
      </c>
      <c r="F15" s="77" t="s">
        <v>56</v>
      </c>
      <c r="G15" s="1">
        <v>5</v>
      </c>
      <c r="H15" s="70">
        <f t="shared" si="0"/>
        <v>9.4339622641509441E-2</v>
      </c>
    </row>
    <row r="16" spans="1:8" x14ac:dyDescent="0.25">
      <c r="A16" s="4">
        <v>12</v>
      </c>
      <c r="B16" s="69">
        <v>18.8</v>
      </c>
      <c r="D16" s="73">
        <f>SUM(G16:$G$19)</f>
        <v>5</v>
      </c>
      <c r="E16" s="76">
        <v>21</v>
      </c>
      <c r="F16" s="77" t="s">
        <v>57</v>
      </c>
      <c r="G16" s="1">
        <v>2</v>
      </c>
      <c r="H16" s="70">
        <f t="shared" si="0"/>
        <v>3.7735849056603772E-2</v>
      </c>
    </row>
    <row r="17" spans="1:8" x14ac:dyDescent="0.25">
      <c r="A17" s="4">
        <v>13</v>
      </c>
      <c r="B17" s="69">
        <v>18.899999999999999</v>
      </c>
      <c r="D17" s="73">
        <f>SUM(G17:$G$19)</f>
        <v>3</v>
      </c>
      <c r="E17" s="76">
        <v>22</v>
      </c>
      <c r="F17" s="77" t="s">
        <v>58</v>
      </c>
      <c r="G17" s="1">
        <v>2</v>
      </c>
      <c r="H17" s="70">
        <f t="shared" si="0"/>
        <v>3.7735849056603772E-2</v>
      </c>
    </row>
    <row r="18" spans="1:8" x14ac:dyDescent="0.25">
      <c r="A18" s="4">
        <v>14</v>
      </c>
      <c r="B18" s="69">
        <v>19</v>
      </c>
      <c r="D18" s="73">
        <f>SUM(G18:$G$19)</f>
        <v>1</v>
      </c>
      <c r="E18" s="76">
        <v>22</v>
      </c>
      <c r="F18" s="77" t="s">
        <v>59</v>
      </c>
      <c r="G18" s="1">
        <v>0</v>
      </c>
      <c r="H18" s="70">
        <f t="shared" si="0"/>
        <v>0</v>
      </c>
    </row>
    <row r="19" spans="1:8" ht="15.75" thickBot="1" x14ac:dyDescent="0.3">
      <c r="A19" s="4">
        <v>15</v>
      </c>
      <c r="B19" s="69">
        <v>19</v>
      </c>
      <c r="D19" s="73">
        <f>SUM(G19:$G$19)</f>
        <v>1</v>
      </c>
      <c r="E19" s="80">
        <v>23</v>
      </c>
      <c r="F19" s="81">
        <v>5</v>
      </c>
      <c r="G19" s="1">
        <v>1</v>
      </c>
      <c r="H19" s="70">
        <f t="shared" si="0"/>
        <v>1.8867924528301886E-2</v>
      </c>
    </row>
    <row r="20" spans="1:8" x14ac:dyDescent="0.25">
      <c r="A20" s="4">
        <v>16</v>
      </c>
      <c r="B20" s="69">
        <v>19.100000000000001</v>
      </c>
      <c r="G20" s="30">
        <f>SUM(G5:G19)</f>
        <v>53</v>
      </c>
    </row>
    <row r="21" spans="1:8" x14ac:dyDescent="0.25">
      <c r="A21" s="4">
        <v>17</v>
      </c>
      <c r="B21" s="69">
        <v>19.100000000000001</v>
      </c>
    </row>
    <row r="22" spans="1:8" x14ac:dyDescent="0.25">
      <c r="A22" s="4">
        <v>18</v>
      </c>
      <c r="B22" s="69">
        <v>19.100000000000001</v>
      </c>
    </row>
    <row r="23" spans="1:8" x14ac:dyDescent="0.25">
      <c r="A23" s="4">
        <v>19</v>
      </c>
      <c r="B23" s="69">
        <v>19.2</v>
      </c>
    </row>
    <row r="24" spans="1:8" x14ac:dyDescent="0.25">
      <c r="A24" s="4">
        <v>20</v>
      </c>
      <c r="B24" s="69">
        <v>19.399999999999999</v>
      </c>
    </row>
    <row r="25" spans="1:8" x14ac:dyDescent="0.25">
      <c r="A25" s="4">
        <v>21</v>
      </c>
      <c r="B25" s="69">
        <v>19.5</v>
      </c>
    </row>
    <row r="26" spans="1:8" x14ac:dyDescent="0.25">
      <c r="A26" s="4">
        <v>22</v>
      </c>
      <c r="B26" s="69">
        <v>19.600000000000001</v>
      </c>
    </row>
    <row r="27" spans="1:8" x14ac:dyDescent="0.25">
      <c r="A27" s="4">
        <v>23</v>
      </c>
      <c r="B27" s="69">
        <v>19.7</v>
      </c>
    </row>
    <row r="28" spans="1:8" x14ac:dyDescent="0.25">
      <c r="A28" s="4">
        <v>24</v>
      </c>
      <c r="B28" s="69">
        <v>19.8</v>
      </c>
    </row>
    <row r="29" spans="1:8" x14ac:dyDescent="0.25">
      <c r="A29" s="4">
        <v>25</v>
      </c>
      <c r="B29" s="69">
        <v>19.899999999999999</v>
      </c>
    </row>
    <row r="30" spans="1:8" x14ac:dyDescent="0.25">
      <c r="A30" s="4">
        <v>26</v>
      </c>
      <c r="B30" s="69">
        <v>19.899999999999999</v>
      </c>
    </row>
    <row r="31" spans="1:8" x14ac:dyDescent="0.25">
      <c r="A31" s="4">
        <v>27</v>
      </c>
      <c r="B31" s="69">
        <v>20</v>
      </c>
    </row>
    <row r="32" spans="1:8" x14ac:dyDescent="0.25">
      <c r="A32" s="4">
        <v>28</v>
      </c>
      <c r="B32" s="69">
        <v>20.100000000000001</v>
      </c>
    </row>
    <row r="33" spans="1:2" x14ac:dyDescent="0.25">
      <c r="A33" s="4">
        <v>29</v>
      </c>
      <c r="B33" s="69">
        <v>20.2</v>
      </c>
    </row>
    <row r="34" spans="1:2" x14ac:dyDescent="0.25">
      <c r="A34" s="4">
        <v>30</v>
      </c>
      <c r="B34" s="69">
        <v>20.2</v>
      </c>
    </row>
    <row r="35" spans="1:2" x14ac:dyDescent="0.25">
      <c r="A35" s="4">
        <v>31</v>
      </c>
      <c r="B35" s="69">
        <v>20.2</v>
      </c>
    </row>
    <row r="36" spans="1:2" x14ac:dyDescent="0.25">
      <c r="A36" s="4">
        <v>32</v>
      </c>
      <c r="B36" s="69">
        <v>20.3</v>
      </c>
    </row>
    <row r="37" spans="1:2" x14ac:dyDescent="0.25">
      <c r="A37" s="4">
        <v>33</v>
      </c>
      <c r="B37" s="69">
        <v>20.399999999999999</v>
      </c>
    </row>
    <row r="38" spans="1:2" x14ac:dyDescent="0.25">
      <c r="A38" s="4">
        <v>34</v>
      </c>
      <c r="B38" s="69">
        <v>20.399999999999999</v>
      </c>
    </row>
    <row r="39" spans="1:2" x14ac:dyDescent="0.25">
      <c r="A39" s="4">
        <v>35</v>
      </c>
      <c r="B39" s="69">
        <v>20.399999999999999</v>
      </c>
    </row>
    <row r="40" spans="1:2" x14ac:dyDescent="0.25">
      <c r="A40" s="4">
        <v>36</v>
      </c>
      <c r="B40" s="69">
        <v>20.399999999999999</v>
      </c>
    </row>
    <row r="41" spans="1:2" x14ac:dyDescent="0.25">
      <c r="A41" s="4">
        <v>37</v>
      </c>
      <c r="B41" s="69">
        <v>20.399999999999999</v>
      </c>
    </row>
    <row r="42" spans="1:2" x14ac:dyDescent="0.25">
      <c r="A42" s="4">
        <v>38</v>
      </c>
      <c r="B42" s="69">
        <v>20.399999999999999</v>
      </c>
    </row>
    <row r="43" spans="1:2" x14ac:dyDescent="0.25">
      <c r="A43" s="4">
        <v>39</v>
      </c>
      <c r="B43" s="69">
        <v>20.399999999999999</v>
      </c>
    </row>
    <row r="44" spans="1:2" x14ac:dyDescent="0.25">
      <c r="A44" s="4">
        <v>40</v>
      </c>
      <c r="B44" s="69">
        <v>20.6</v>
      </c>
    </row>
    <row r="45" spans="1:2" x14ac:dyDescent="0.25">
      <c r="A45" s="4">
        <v>41</v>
      </c>
      <c r="B45" s="69">
        <v>20.8</v>
      </c>
    </row>
    <row r="46" spans="1:2" x14ac:dyDescent="0.25">
      <c r="A46" s="4">
        <v>42</v>
      </c>
      <c r="B46" s="69">
        <v>20.8</v>
      </c>
    </row>
    <row r="47" spans="1:2" x14ac:dyDescent="0.25">
      <c r="A47" s="4">
        <v>43</v>
      </c>
      <c r="B47" s="69">
        <v>20.9</v>
      </c>
    </row>
    <row r="48" spans="1:2" x14ac:dyDescent="0.25">
      <c r="A48" s="4">
        <v>44</v>
      </c>
      <c r="B48" s="69">
        <v>21</v>
      </c>
    </row>
    <row r="49" spans="1:2" x14ac:dyDescent="0.25">
      <c r="A49" s="4">
        <v>45</v>
      </c>
      <c r="B49" s="69">
        <v>21.2</v>
      </c>
    </row>
    <row r="50" spans="1:2" x14ac:dyDescent="0.25">
      <c r="A50" s="4">
        <v>46</v>
      </c>
      <c r="B50" s="69">
        <v>21.3</v>
      </c>
    </row>
    <row r="51" spans="1:2" x14ac:dyDescent="0.25">
      <c r="A51" s="4">
        <v>47</v>
      </c>
      <c r="B51" s="69">
        <v>21.3</v>
      </c>
    </row>
    <row r="52" spans="1:2" x14ac:dyDescent="0.25">
      <c r="A52" s="4">
        <v>48</v>
      </c>
      <c r="B52" s="69">
        <v>21.4</v>
      </c>
    </row>
    <row r="53" spans="1:2" x14ac:dyDescent="0.25">
      <c r="A53" s="4">
        <v>49</v>
      </c>
      <c r="B53" s="69">
        <v>21.6</v>
      </c>
    </row>
    <row r="54" spans="1:2" x14ac:dyDescent="0.25">
      <c r="A54" s="4">
        <v>50</v>
      </c>
      <c r="B54" s="69">
        <v>21.9</v>
      </c>
    </row>
    <row r="55" spans="1:2" x14ac:dyDescent="0.25">
      <c r="A55" s="4">
        <v>51</v>
      </c>
      <c r="B55" s="65">
        <v>22</v>
      </c>
    </row>
    <row r="56" spans="1:2" x14ac:dyDescent="0.25">
      <c r="A56" s="4">
        <v>52</v>
      </c>
      <c r="B56" s="65">
        <v>22.4</v>
      </c>
    </row>
    <row r="57" spans="1:2" ht="15.75" thickBot="1" x14ac:dyDescent="0.3">
      <c r="A57" s="66">
        <v>53</v>
      </c>
      <c r="B57" s="67">
        <v>23.5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opLeftCell="B1" zoomScaleNormal="100" workbookViewId="0">
      <selection activeCell="N4" sqref="N4"/>
    </sheetView>
  </sheetViews>
  <sheetFormatPr baseColWidth="10" defaultRowHeight="15" x14ac:dyDescent="0.25"/>
  <cols>
    <col min="1" max="1" width="22.42578125" customWidth="1"/>
    <col min="2" max="2" width="13.7109375" customWidth="1"/>
    <col min="3" max="3" width="14.140625" customWidth="1"/>
    <col min="4" max="4" width="15.5703125" customWidth="1"/>
    <col min="5" max="5" width="13.85546875" customWidth="1"/>
    <col min="7" max="7" width="11" customWidth="1"/>
    <col min="10" max="10" width="12.85546875" customWidth="1"/>
    <col min="11" max="11" width="21.85546875" customWidth="1"/>
    <col min="12" max="12" width="17.140625" customWidth="1"/>
    <col min="16" max="16" width="11.140625" customWidth="1"/>
  </cols>
  <sheetData>
    <row r="1" spans="1:13" x14ac:dyDescent="0.25">
      <c r="G1" s="30"/>
      <c r="H1" s="30"/>
      <c r="I1" s="30"/>
      <c r="J1" s="30"/>
      <c r="K1" s="30"/>
      <c r="L1" s="30"/>
      <c r="M1" s="30"/>
    </row>
    <row r="2" spans="1:13" ht="15.75" thickBot="1" x14ac:dyDescent="0.3">
      <c r="G2" s="30"/>
      <c r="H2" s="30"/>
      <c r="I2" s="30"/>
      <c r="J2" s="30"/>
      <c r="K2" s="30"/>
      <c r="L2" s="30"/>
      <c r="M2" s="30"/>
    </row>
    <row r="3" spans="1:13" ht="45" x14ac:dyDescent="0.25">
      <c r="A3" s="62"/>
      <c r="B3" s="63" t="s">
        <v>36</v>
      </c>
      <c r="C3" s="64" t="s">
        <v>19</v>
      </c>
      <c r="E3" s="41" t="s">
        <v>24</v>
      </c>
      <c r="F3" s="41" t="s">
        <v>16</v>
      </c>
      <c r="G3" s="41" t="s">
        <v>17</v>
      </c>
      <c r="H3" s="41" t="s">
        <v>18</v>
      </c>
      <c r="I3" s="41" t="s">
        <v>20</v>
      </c>
      <c r="J3" s="41" t="s">
        <v>37</v>
      </c>
      <c r="K3" s="41" t="s">
        <v>22</v>
      </c>
      <c r="L3" s="41" t="s">
        <v>26</v>
      </c>
    </row>
    <row r="4" spans="1:13" x14ac:dyDescent="0.25">
      <c r="A4" s="61"/>
      <c r="B4" s="4">
        <v>1</v>
      </c>
      <c r="C4" s="65">
        <v>16.899999999999999</v>
      </c>
      <c r="E4" s="32">
        <v>16.899999999999999</v>
      </c>
      <c r="F4" s="36">
        <f t="array" ref="F4:F38">FREQUENCY(C4:C56,E4:E38)</f>
        <v>1</v>
      </c>
      <c r="G4" s="37">
        <f t="shared" ref="G4:G38" si="0">F4/$F$39</f>
        <v>1.8867924528301886E-2</v>
      </c>
      <c r="H4" s="38">
        <f t="shared" ref="H4:H38" si="1">F4/$F$39</f>
        <v>1.8867924528301886E-2</v>
      </c>
      <c r="I4" s="36">
        <f>SUM($F$4:F4)</f>
        <v>1</v>
      </c>
      <c r="J4" s="37">
        <f t="shared" ref="J4:J38" si="2">I4/$F$39</f>
        <v>1.8867924528301886E-2</v>
      </c>
      <c r="K4" s="38">
        <f t="shared" ref="K4:K38" si="3">I4/$F$39</f>
        <v>1.8867924528301886E-2</v>
      </c>
      <c r="L4" s="32">
        <f>MEDIAN(C4:C56)</f>
        <v>20</v>
      </c>
    </row>
    <row r="5" spans="1:13" x14ac:dyDescent="0.25">
      <c r="B5" s="4">
        <v>2</v>
      </c>
      <c r="C5" s="65">
        <v>17.399999999999999</v>
      </c>
      <c r="E5" s="32">
        <v>17.399999999999999</v>
      </c>
      <c r="F5" s="36">
        <v>1</v>
      </c>
      <c r="G5" s="37">
        <f t="shared" si="0"/>
        <v>1.8867924528301886E-2</v>
      </c>
      <c r="H5" s="38">
        <f t="shared" si="1"/>
        <v>1.8867924528301886E-2</v>
      </c>
      <c r="I5" s="36">
        <f>SUM($F$4:F5)</f>
        <v>2</v>
      </c>
      <c r="J5" s="37">
        <f t="shared" si="2"/>
        <v>3.7735849056603772E-2</v>
      </c>
      <c r="K5" s="38">
        <f t="shared" si="3"/>
        <v>3.7735849056603772E-2</v>
      </c>
      <c r="L5" s="41" t="s">
        <v>28</v>
      </c>
    </row>
    <row r="6" spans="1:13" x14ac:dyDescent="0.25">
      <c r="B6" s="4">
        <v>3</v>
      </c>
      <c r="C6" s="65">
        <v>17.7</v>
      </c>
      <c r="E6" s="32">
        <v>17.7</v>
      </c>
      <c r="F6" s="36">
        <v>1</v>
      </c>
      <c r="G6" s="37">
        <f t="shared" si="0"/>
        <v>1.8867924528301886E-2</v>
      </c>
      <c r="H6" s="38">
        <f t="shared" si="1"/>
        <v>1.8867924528301886E-2</v>
      </c>
      <c r="I6" s="36">
        <f>SUM($F$4:F6)</f>
        <v>3</v>
      </c>
      <c r="J6" s="37">
        <f t="shared" si="2"/>
        <v>5.6603773584905662E-2</v>
      </c>
      <c r="K6" s="38">
        <f t="shared" si="3"/>
        <v>5.6603773584905662E-2</v>
      </c>
      <c r="L6" s="57">
        <f>AVERAGE(C4:C56)</f>
        <v>19.871698113207543</v>
      </c>
    </row>
    <row r="7" spans="1:13" x14ac:dyDescent="0.25">
      <c r="B7" s="4">
        <v>4</v>
      </c>
      <c r="C7" s="65">
        <v>17.899999999999999</v>
      </c>
      <c r="E7" s="32">
        <v>17.899999999999999</v>
      </c>
      <c r="F7" s="36">
        <v>1</v>
      </c>
      <c r="G7" s="37">
        <f t="shared" si="0"/>
        <v>1.8867924528301886E-2</v>
      </c>
      <c r="H7" s="38">
        <f t="shared" si="1"/>
        <v>1.8867924528301886E-2</v>
      </c>
      <c r="I7" s="36">
        <f>SUM($F$4:F7)</f>
        <v>4</v>
      </c>
      <c r="J7" s="37">
        <f t="shared" si="2"/>
        <v>7.5471698113207544E-2</v>
      </c>
      <c r="K7" s="38">
        <f t="shared" si="3"/>
        <v>7.5471698113207544E-2</v>
      </c>
      <c r="L7" s="41" t="s">
        <v>25</v>
      </c>
    </row>
    <row r="8" spans="1:13" x14ac:dyDescent="0.25">
      <c r="B8" s="4">
        <v>5</v>
      </c>
      <c r="C8" s="65">
        <v>18</v>
      </c>
      <c r="E8" s="32">
        <v>18</v>
      </c>
      <c r="F8" s="36">
        <v>1</v>
      </c>
      <c r="G8" s="37">
        <f t="shared" si="0"/>
        <v>1.8867924528301886E-2</v>
      </c>
      <c r="H8" s="38">
        <f t="shared" si="1"/>
        <v>1.8867924528301886E-2</v>
      </c>
      <c r="I8" s="36">
        <f>SUM($F$4:F8)</f>
        <v>5</v>
      </c>
      <c r="J8" s="37">
        <f t="shared" si="2"/>
        <v>9.4339622641509441E-2</v>
      </c>
      <c r="K8" s="38">
        <f t="shared" si="3"/>
        <v>9.4339622641509441E-2</v>
      </c>
      <c r="L8" s="35">
        <f>MODE(C4:C56)</f>
        <v>20.399999999999999</v>
      </c>
    </row>
    <row r="9" spans="1:13" x14ac:dyDescent="0.25">
      <c r="B9" s="4">
        <v>6</v>
      </c>
      <c r="C9" s="65">
        <v>18.2</v>
      </c>
      <c r="E9" s="32">
        <v>18.2</v>
      </c>
      <c r="F9" s="36">
        <v>3</v>
      </c>
      <c r="G9" s="37">
        <f t="shared" si="0"/>
        <v>5.6603773584905662E-2</v>
      </c>
      <c r="H9" s="38">
        <f t="shared" si="1"/>
        <v>5.6603773584905662E-2</v>
      </c>
      <c r="I9" s="36">
        <f>SUM($F$4:F9)</f>
        <v>8</v>
      </c>
      <c r="J9" s="37">
        <f t="shared" si="2"/>
        <v>0.15094339622641509</v>
      </c>
      <c r="K9" s="38">
        <f t="shared" si="3"/>
        <v>0.15094339622641509</v>
      </c>
      <c r="L9" s="41" t="s">
        <v>31</v>
      </c>
    </row>
    <row r="10" spans="1:13" x14ac:dyDescent="0.25">
      <c r="B10" s="4">
        <v>7</v>
      </c>
      <c r="C10" s="65">
        <v>18.2</v>
      </c>
      <c r="E10" s="32">
        <v>18.7</v>
      </c>
      <c r="F10" s="36">
        <v>2</v>
      </c>
      <c r="G10" s="37">
        <f t="shared" si="0"/>
        <v>3.7735849056603772E-2</v>
      </c>
      <c r="H10" s="38">
        <f t="shared" si="1"/>
        <v>3.7735849056603772E-2</v>
      </c>
      <c r="I10" s="36">
        <f>SUM($F$4:F10)</f>
        <v>10</v>
      </c>
      <c r="J10" s="37">
        <f t="shared" si="2"/>
        <v>0.18867924528301888</v>
      </c>
      <c r="K10" s="38">
        <f t="shared" si="3"/>
        <v>0.18867924528301888</v>
      </c>
      <c r="L10" s="54">
        <f>(E38-E4)</f>
        <v>6.6000000000000014</v>
      </c>
    </row>
    <row r="11" spans="1:13" x14ac:dyDescent="0.25">
      <c r="B11" s="4">
        <v>8</v>
      </c>
      <c r="C11" s="65">
        <v>18.2</v>
      </c>
      <c r="E11" s="32">
        <v>18.8</v>
      </c>
      <c r="F11" s="36">
        <v>2</v>
      </c>
      <c r="G11" s="37">
        <f t="shared" si="0"/>
        <v>3.7735849056603772E-2</v>
      </c>
      <c r="H11" s="38">
        <f t="shared" si="1"/>
        <v>3.7735849056603772E-2</v>
      </c>
      <c r="I11" s="36">
        <f>SUM($F$4:F11)</f>
        <v>12</v>
      </c>
      <c r="J11" s="37">
        <f t="shared" si="2"/>
        <v>0.22641509433962265</v>
      </c>
      <c r="K11" s="38">
        <f t="shared" si="3"/>
        <v>0.22641509433962265</v>
      </c>
      <c r="L11" s="41" t="s">
        <v>29</v>
      </c>
    </row>
    <row r="12" spans="1:13" x14ac:dyDescent="0.25">
      <c r="B12" s="4">
        <v>9</v>
      </c>
      <c r="C12" s="65">
        <v>18.7</v>
      </c>
      <c r="E12" s="32">
        <v>18.899999999999999</v>
      </c>
      <c r="F12" s="36">
        <v>1</v>
      </c>
      <c r="G12" s="37">
        <f t="shared" si="0"/>
        <v>1.8867924528301886E-2</v>
      </c>
      <c r="H12" s="38">
        <f t="shared" si="1"/>
        <v>1.8867924528301886E-2</v>
      </c>
      <c r="I12" s="36">
        <f>SUM($F$4:F12)</f>
        <v>13</v>
      </c>
      <c r="J12" s="37">
        <f t="shared" si="2"/>
        <v>0.24528301886792453</v>
      </c>
      <c r="K12" s="38">
        <f t="shared" si="3"/>
        <v>0.24528301886792453</v>
      </c>
      <c r="L12" s="55">
        <f t="array" ref="L12">SUM(((E4:E38-L6)^2)*F4:F38)/(F39-1)</f>
        <v>1.7716835994194491</v>
      </c>
    </row>
    <row r="13" spans="1:13" x14ac:dyDescent="0.25">
      <c r="B13" s="4">
        <v>10</v>
      </c>
      <c r="C13" s="65">
        <v>18.7</v>
      </c>
      <c r="E13" s="32">
        <v>19</v>
      </c>
      <c r="F13" s="36">
        <v>2</v>
      </c>
      <c r="G13" s="37">
        <f t="shared" si="0"/>
        <v>3.7735849056603772E-2</v>
      </c>
      <c r="H13" s="38">
        <f t="shared" si="1"/>
        <v>3.7735849056603772E-2</v>
      </c>
      <c r="I13" s="36">
        <f>SUM($F$4:F13)</f>
        <v>15</v>
      </c>
      <c r="J13" s="37">
        <f t="shared" si="2"/>
        <v>0.28301886792452829</v>
      </c>
      <c r="K13" s="38">
        <f t="shared" si="3"/>
        <v>0.28301886792452829</v>
      </c>
      <c r="L13" s="41" t="s">
        <v>30</v>
      </c>
    </row>
    <row r="14" spans="1:13" x14ac:dyDescent="0.25">
      <c r="B14" s="4">
        <v>11</v>
      </c>
      <c r="C14" s="65">
        <v>18.8</v>
      </c>
      <c r="E14" s="32">
        <v>19.100000000000001</v>
      </c>
      <c r="F14" s="36">
        <v>3</v>
      </c>
      <c r="G14" s="37">
        <f t="shared" si="0"/>
        <v>5.6603773584905662E-2</v>
      </c>
      <c r="H14" s="38">
        <f t="shared" si="1"/>
        <v>5.6603773584905662E-2</v>
      </c>
      <c r="I14" s="36">
        <f>SUM($F$4:F14)</f>
        <v>18</v>
      </c>
      <c r="J14" s="37">
        <f t="shared" si="2"/>
        <v>0.33962264150943394</v>
      </c>
      <c r="K14" s="38">
        <f t="shared" si="3"/>
        <v>0.33962264150943394</v>
      </c>
      <c r="L14" s="55">
        <f>SQRT(L12)</f>
        <v>1.3310460545824285</v>
      </c>
    </row>
    <row r="15" spans="1:13" x14ac:dyDescent="0.25">
      <c r="B15" s="4">
        <v>12</v>
      </c>
      <c r="C15" s="65">
        <v>18.8</v>
      </c>
      <c r="E15" s="32">
        <v>19.2</v>
      </c>
      <c r="F15" s="36">
        <v>1</v>
      </c>
      <c r="G15" s="37">
        <f t="shared" si="0"/>
        <v>1.8867924528301886E-2</v>
      </c>
      <c r="H15" s="38">
        <f t="shared" si="1"/>
        <v>1.8867924528301886E-2</v>
      </c>
      <c r="I15" s="36">
        <f>SUM($F$4:F15)</f>
        <v>19</v>
      </c>
      <c r="J15" s="37">
        <f t="shared" si="2"/>
        <v>0.35849056603773582</v>
      </c>
      <c r="K15" s="38">
        <f t="shared" si="3"/>
        <v>0.35849056603773582</v>
      </c>
      <c r="L15" s="56" t="s">
        <v>27</v>
      </c>
    </row>
    <row r="16" spans="1:13" x14ac:dyDescent="0.25">
      <c r="B16" s="4">
        <v>13</v>
      </c>
      <c r="C16" s="65">
        <v>18.899999999999999</v>
      </c>
      <c r="E16" s="32">
        <v>19.399999999999999</v>
      </c>
      <c r="F16" s="36">
        <v>1</v>
      </c>
      <c r="G16" s="37">
        <f t="shared" si="0"/>
        <v>1.8867924528301886E-2</v>
      </c>
      <c r="H16" s="38">
        <f t="shared" si="1"/>
        <v>1.8867924528301886E-2</v>
      </c>
      <c r="I16" s="36">
        <f>SUM($F$4:F16)</f>
        <v>20</v>
      </c>
      <c r="J16" s="37">
        <f t="shared" si="2"/>
        <v>0.37735849056603776</v>
      </c>
      <c r="K16" s="38">
        <f t="shared" si="3"/>
        <v>0.37735849056603776</v>
      </c>
      <c r="L16" s="57">
        <f>L14/L6</f>
        <v>6.698199856899803E-2</v>
      </c>
    </row>
    <row r="17" spans="2:13" x14ac:dyDescent="0.25">
      <c r="B17" s="4">
        <v>14</v>
      </c>
      <c r="C17" s="65">
        <v>19</v>
      </c>
      <c r="E17" s="32">
        <v>19.5</v>
      </c>
      <c r="F17" s="36">
        <v>1</v>
      </c>
      <c r="G17" s="37">
        <f t="shared" si="0"/>
        <v>1.8867924528301886E-2</v>
      </c>
      <c r="H17" s="38">
        <f t="shared" si="1"/>
        <v>1.8867924528301886E-2</v>
      </c>
      <c r="I17" s="36">
        <f>SUM($F$4:F17)</f>
        <v>21</v>
      </c>
      <c r="J17" s="37">
        <f t="shared" si="2"/>
        <v>0.39622641509433965</v>
      </c>
      <c r="K17" s="38">
        <f t="shared" si="3"/>
        <v>0.39622641509433965</v>
      </c>
      <c r="L17" s="58" t="s">
        <v>32</v>
      </c>
    </row>
    <row r="18" spans="2:13" x14ac:dyDescent="0.25">
      <c r="B18" s="4">
        <v>15</v>
      </c>
      <c r="C18" s="65">
        <v>19</v>
      </c>
      <c r="E18" s="32">
        <v>19.600000000000001</v>
      </c>
      <c r="F18" s="36">
        <v>1</v>
      </c>
      <c r="G18" s="37">
        <f t="shared" si="0"/>
        <v>1.8867924528301886E-2</v>
      </c>
      <c r="H18" s="38">
        <f t="shared" si="1"/>
        <v>1.8867924528301886E-2</v>
      </c>
      <c r="I18" s="36">
        <f>SUM($F$4:F18)</f>
        <v>22</v>
      </c>
      <c r="J18" s="37">
        <f t="shared" si="2"/>
        <v>0.41509433962264153</v>
      </c>
      <c r="K18" s="38">
        <f t="shared" si="3"/>
        <v>0.41509433962264153</v>
      </c>
      <c r="L18" s="59">
        <f>L6-(1.65*L14)</f>
        <v>17.675472123146537</v>
      </c>
    </row>
    <row r="19" spans="2:13" x14ac:dyDescent="0.25">
      <c r="B19" s="4">
        <v>16</v>
      </c>
      <c r="C19" s="65">
        <v>19.100000000000001</v>
      </c>
      <c r="E19" s="32">
        <v>19.7</v>
      </c>
      <c r="F19" s="36">
        <v>1</v>
      </c>
      <c r="G19" s="37">
        <f t="shared" si="0"/>
        <v>1.8867924528301886E-2</v>
      </c>
      <c r="H19" s="38">
        <f t="shared" si="1"/>
        <v>1.8867924528301886E-2</v>
      </c>
      <c r="I19" s="36">
        <f>SUM($F$4:F19)</f>
        <v>23</v>
      </c>
      <c r="J19" s="37">
        <f t="shared" si="2"/>
        <v>0.43396226415094341</v>
      </c>
      <c r="K19" s="38">
        <f t="shared" si="3"/>
        <v>0.43396226415094341</v>
      </c>
      <c r="L19" s="40" t="s">
        <v>33</v>
      </c>
      <c r="M19" s="43" t="s">
        <v>38</v>
      </c>
    </row>
    <row r="20" spans="2:13" x14ac:dyDescent="0.25">
      <c r="B20" s="4">
        <v>17</v>
      </c>
      <c r="C20" s="65">
        <v>19.100000000000001</v>
      </c>
      <c r="E20" s="32">
        <v>19.8</v>
      </c>
      <c r="F20" s="36">
        <v>1</v>
      </c>
      <c r="G20" s="37">
        <f t="shared" si="0"/>
        <v>1.8867924528301886E-2</v>
      </c>
      <c r="H20" s="38">
        <f t="shared" si="1"/>
        <v>1.8867924528301886E-2</v>
      </c>
      <c r="I20" s="36">
        <f>SUM($F$4:F20)</f>
        <v>24</v>
      </c>
      <c r="J20" s="37">
        <f t="shared" si="2"/>
        <v>0.45283018867924529</v>
      </c>
      <c r="K20" s="38">
        <f t="shared" si="3"/>
        <v>0.45283018867924529</v>
      </c>
      <c r="L20" s="2">
        <f>($F$39+1)/4</f>
        <v>13.5</v>
      </c>
      <c r="M20" s="36">
        <f>((C17-C16)*(L20-B16)/(B17-B16)) + C16</f>
        <v>18.95</v>
      </c>
    </row>
    <row r="21" spans="2:13" x14ac:dyDescent="0.25">
      <c r="B21" s="4">
        <v>18</v>
      </c>
      <c r="C21" s="65">
        <v>19.100000000000001</v>
      </c>
      <c r="E21" s="50">
        <v>19.899999999999999</v>
      </c>
      <c r="F21" s="51">
        <v>2</v>
      </c>
      <c r="G21" s="52">
        <f t="shared" si="0"/>
        <v>3.7735849056603772E-2</v>
      </c>
      <c r="H21" s="53">
        <f t="shared" si="1"/>
        <v>3.7735849056603772E-2</v>
      </c>
      <c r="I21" s="51">
        <f>SUM($F$4:F21)</f>
        <v>26</v>
      </c>
      <c r="J21" s="52">
        <f t="shared" si="2"/>
        <v>0.49056603773584906</v>
      </c>
      <c r="K21" s="53">
        <f t="shared" si="3"/>
        <v>0.49056603773584906</v>
      </c>
      <c r="L21" s="40" t="s">
        <v>35</v>
      </c>
      <c r="M21" s="43" t="s">
        <v>39</v>
      </c>
    </row>
    <row r="22" spans="2:13" x14ac:dyDescent="0.25">
      <c r="B22" s="4">
        <v>19</v>
      </c>
      <c r="C22" s="65">
        <v>19.2</v>
      </c>
      <c r="E22" s="46">
        <v>20</v>
      </c>
      <c r="F22" s="47">
        <v>1</v>
      </c>
      <c r="G22" s="48">
        <f t="shared" si="0"/>
        <v>1.8867924528301886E-2</v>
      </c>
      <c r="H22" s="49">
        <f t="shared" si="1"/>
        <v>1.8867924528301886E-2</v>
      </c>
      <c r="I22" s="47">
        <f>SUM($F$4:F22)</f>
        <v>27</v>
      </c>
      <c r="J22" s="48">
        <f t="shared" si="2"/>
        <v>0.50943396226415094</v>
      </c>
      <c r="K22" s="49">
        <f t="shared" si="3"/>
        <v>0.50943396226415094</v>
      </c>
      <c r="L22" s="2">
        <f>2*($F$39+1)/4</f>
        <v>27</v>
      </c>
      <c r="M22" s="32">
        <f>C30</f>
        <v>20</v>
      </c>
    </row>
    <row r="23" spans="2:13" x14ac:dyDescent="0.25">
      <c r="B23" s="4">
        <v>20</v>
      </c>
      <c r="C23" s="65">
        <v>19.399999999999999</v>
      </c>
      <c r="E23" s="32">
        <v>20.100000000000001</v>
      </c>
      <c r="F23" s="36">
        <v>1</v>
      </c>
      <c r="G23" s="37">
        <f t="shared" si="0"/>
        <v>1.8867924528301886E-2</v>
      </c>
      <c r="H23" s="38">
        <f t="shared" si="1"/>
        <v>1.8867924528301886E-2</v>
      </c>
      <c r="I23" s="36">
        <f>SUM($F$4:F23)</f>
        <v>28</v>
      </c>
      <c r="J23" s="37">
        <f t="shared" si="2"/>
        <v>0.52830188679245282</v>
      </c>
      <c r="K23" s="38">
        <f t="shared" si="3"/>
        <v>0.52830188679245282</v>
      </c>
      <c r="L23" s="40" t="s">
        <v>34</v>
      </c>
      <c r="M23" s="43" t="s">
        <v>40</v>
      </c>
    </row>
    <row r="24" spans="2:13" x14ac:dyDescent="0.25">
      <c r="B24" s="4">
        <v>21</v>
      </c>
      <c r="C24" s="65">
        <v>19.5</v>
      </c>
      <c r="E24" s="32">
        <v>20.2</v>
      </c>
      <c r="F24" s="36">
        <v>3</v>
      </c>
      <c r="G24" s="37">
        <f t="shared" si="0"/>
        <v>5.6603773584905662E-2</v>
      </c>
      <c r="H24" s="38">
        <f t="shared" si="1"/>
        <v>5.6603773584905662E-2</v>
      </c>
      <c r="I24" s="36">
        <f>SUM($F$4:F24)</f>
        <v>31</v>
      </c>
      <c r="J24" s="37">
        <f t="shared" si="2"/>
        <v>0.58490566037735847</v>
      </c>
      <c r="K24" s="38">
        <f t="shared" si="3"/>
        <v>0.58490566037735847</v>
      </c>
      <c r="L24" s="2">
        <f>3*($F$39+1)/4</f>
        <v>40.5</v>
      </c>
      <c r="M24" s="36">
        <f>((C44-C43)*(L24-B43)/(B44-B43)) + C43</f>
        <v>20.700000000000003</v>
      </c>
    </row>
    <row r="25" spans="2:13" x14ac:dyDescent="0.25">
      <c r="B25" s="4">
        <v>22</v>
      </c>
      <c r="C25" s="65">
        <v>19.600000000000001</v>
      </c>
      <c r="E25" s="32">
        <v>20.3</v>
      </c>
      <c r="F25" s="36">
        <v>1</v>
      </c>
      <c r="G25" s="37">
        <f t="shared" si="0"/>
        <v>1.8867924528301886E-2</v>
      </c>
      <c r="H25" s="38">
        <f t="shared" si="1"/>
        <v>1.8867924528301886E-2</v>
      </c>
      <c r="I25" s="36">
        <f>SUM($F$4:F25)</f>
        <v>32</v>
      </c>
      <c r="J25" s="37">
        <f t="shared" si="2"/>
        <v>0.60377358490566035</v>
      </c>
      <c r="K25" s="38">
        <f t="shared" si="3"/>
        <v>0.60377358490566035</v>
      </c>
      <c r="L25" s="40" t="s">
        <v>41</v>
      </c>
    </row>
    <row r="26" spans="2:13" x14ac:dyDescent="0.25">
      <c r="B26" s="4">
        <v>23</v>
      </c>
      <c r="C26" s="65">
        <v>19.7</v>
      </c>
      <c r="E26" s="42">
        <v>20.399999999999999</v>
      </c>
      <c r="F26" s="43">
        <v>7</v>
      </c>
      <c r="G26" s="44">
        <f t="shared" si="0"/>
        <v>0.13207547169811321</v>
      </c>
      <c r="H26" s="45">
        <f t="shared" si="1"/>
        <v>0.13207547169811321</v>
      </c>
      <c r="I26" s="43">
        <f>SUM($F$4:F26)</f>
        <v>39</v>
      </c>
      <c r="J26" s="44">
        <f t="shared" si="2"/>
        <v>0.73584905660377353</v>
      </c>
      <c r="K26" s="45">
        <f t="shared" si="3"/>
        <v>0.73584905660377353</v>
      </c>
      <c r="L26" s="68">
        <f>M24-M20</f>
        <v>1.7500000000000036</v>
      </c>
    </row>
    <row r="27" spans="2:13" x14ac:dyDescent="0.25">
      <c r="B27" s="4">
        <v>24</v>
      </c>
      <c r="C27" s="65">
        <v>19.8</v>
      </c>
      <c r="E27" s="32">
        <v>20.6</v>
      </c>
      <c r="F27" s="36">
        <v>1</v>
      </c>
      <c r="G27" s="37">
        <f t="shared" si="0"/>
        <v>1.8867924528301886E-2</v>
      </c>
      <c r="H27" s="38">
        <f t="shared" si="1"/>
        <v>1.8867924528301886E-2</v>
      </c>
      <c r="I27" s="36">
        <f>SUM($F$4:F27)</f>
        <v>40</v>
      </c>
      <c r="J27" s="37">
        <f t="shared" si="2"/>
        <v>0.75471698113207553</v>
      </c>
      <c r="K27" s="38">
        <f t="shared" si="3"/>
        <v>0.75471698113207553</v>
      </c>
      <c r="L27" s="40" t="s">
        <v>42</v>
      </c>
      <c r="M27" s="43" t="s">
        <v>44</v>
      </c>
    </row>
    <row r="28" spans="2:13" x14ac:dyDescent="0.25">
      <c r="B28" s="4">
        <v>25</v>
      </c>
      <c r="C28" s="65">
        <v>19.899999999999999</v>
      </c>
      <c r="E28" s="32">
        <v>20.8</v>
      </c>
      <c r="F28" s="36">
        <v>2</v>
      </c>
      <c r="G28" s="37">
        <f t="shared" si="0"/>
        <v>3.7735849056603772E-2</v>
      </c>
      <c r="H28" s="38">
        <f t="shared" si="1"/>
        <v>3.7735849056603772E-2</v>
      </c>
      <c r="I28" s="36">
        <f>SUM($F$4:F28)</f>
        <v>42</v>
      </c>
      <c r="J28" s="37">
        <f t="shared" si="2"/>
        <v>0.79245283018867929</v>
      </c>
      <c r="K28" s="38">
        <f t="shared" si="3"/>
        <v>0.79245283018867929</v>
      </c>
      <c r="L28" s="2">
        <f xml:space="preserve"> 55*(F39+1)/100</f>
        <v>29.7</v>
      </c>
      <c r="M28" s="36">
        <f>((C33-C32)*(L28-B32)/(B33-B32))+C32</f>
        <v>20.2</v>
      </c>
    </row>
    <row r="29" spans="2:13" x14ac:dyDescent="0.25">
      <c r="B29" s="4">
        <v>26</v>
      </c>
      <c r="C29" s="65">
        <v>19.899999999999999</v>
      </c>
      <c r="E29" s="32">
        <v>20.9</v>
      </c>
      <c r="F29" s="36">
        <v>1</v>
      </c>
      <c r="G29" s="37">
        <f t="shared" si="0"/>
        <v>1.8867924528301886E-2</v>
      </c>
      <c r="H29" s="38">
        <f t="shared" si="1"/>
        <v>1.8867924528301886E-2</v>
      </c>
      <c r="I29" s="36">
        <f>SUM($F$4:F29)</f>
        <v>43</v>
      </c>
      <c r="J29" s="37">
        <f t="shared" si="2"/>
        <v>0.81132075471698117</v>
      </c>
      <c r="K29" s="38">
        <f t="shared" si="3"/>
        <v>0.81132075471698117</v>
      </c>
      <c r="L29" s="40" t="s">
        <v>43</v>
      </c>
      <c r="M29" s="43" t="s">
        <v>45</v>
      </c>
    </row>
    <row r="30" spans="2:13" x14ac:dyDescent="0.25">
      <c r="B30" s="4">
        <v>27</v>
      </c>
      <c r="C30" s="65">
        <v>20</v>
      </c>
      <c r="E30" s="32">
        <v>21</v>
      </c>
      <c r="F30" s="36">
        <v>1</v>
      </c>
      <c r="G30" s="37">
        <f t="shared" si="0"/>
        <v>1.8867924528301886E-2</v>
      </c>
      <c r="H30" s="38">
        <f t="shared" si="1"/>
        <v>1.8867924528301886E-2</v>
      </c>
      <c r="I30" s="36">
        <f>SUM($F$4:F30)</f>
        <v>44</v>
      </c>
      <c r="J30" s="37">
        <f t="shared" si="2"/>
        <v>0.83018867924528306</v>
      </c>
      <c r="K30" s="38">
        <f t="shared" si="3"/>
        <v>0.83018867924528306</v>
      </c>
      <c r="L30" s="2">
        <f>(95/100)*(F39+1)</f>
        <v>51.3</v>
      </c>
      <c r="M30" s="36">
        <f>((C55-C54)*(L30-B54)/(B55-B54))+C54</f>
        <v>22.119999999999997</v>
      </c>
    </row>
    <row r="31" spans="2:13" x14ac:dyDescent="0.25">
      <c r="B31" s="4">
        <v>28</v>
      </c>
      <c r="C31" s="65">
        <v>20.100000000000001</v>
      </c>
      <c r="E31" s="32">
        <v>21.2</v>
      </c>
      <c r="F31" s="36">
        <v>1</v>
      </c>
      <c r="G31" s="37">
        <f t="shared" si="0"/>
        <v>1.8867924528301886E-2</v>
      </c>
      <c r="H31" s="38">
        <f t="shared" si="1"/>
        <v>1.8867924528301886E-2</v>
      </c>
      <c r="I31" s="36">
        <f>SUM($F$4:F31)</f>
        <v>45</v>
      </c>
      <c r="J31" s="37">
        <f t="shared" si="2"/>
        <v>0.84905660377358494</v>
      </c>
      <c r="K31" s="38">
        <f t="shared" si="3"/>
        <v>0.84905660377358494</v>
      </c>
      <c r="L31" s="43" t="s">
        <v>61</v>
      </c>
    </row>
    <row r="32" spans="2:13" x14ac:dyDescent="0.25">
      <c r="B32" s="4">
        <v>29</v>
      </c>
      <c r="C32" s="65">
        <v>20.2</v>
      </c>
      <c r="E32" s="32">
        <v>21.3</v>
      </c>
      <c r="F32" s="36">
        <v>2</v>
      </c>
      <c r="G32" s="37">
        <f t="shared" si="0"/>
        <v>3.7735849056603772E-2</v>
      </c>
      <c r="H32" s="38">
        <f t="shared" si="1"/>
        <v>3.7735849056603772E-2</v>
      </c>
      <c r="I32" s="36">
        <f>SUM($F$4:F32)</f>
        <v>47</v>
      </c>
      <c r="J32" s="37">
        <f t="shared" si="2"/>
        <v>0.8867924528301887</v>
      </c>
      <c r="K32" s="38">
        <f t="shared" si="3"/>
        <v>0.8867924528301887</v>
      </c>
      <c r="L32" s="36">
        <f>M20-3*L26</f>
        <v>13.699999999999989</v>
      </c>
    </row>
    <row r="33" spans="2:12" x14ac:dyDescent="0.25">
      <c r="B33" s="4">
        <v>30</v>
      </c>
      <c r="C33" s="65">
        <v>20.2</v>
      </c>
      <c r="E33" s="32">
        <v>21.4</v>
      </c>
      <c r="F33" s="36">
        <v>1</v>
      </c>
      <c r="G33" s="37">
        <f t="shared" si="0"/>
        <v>1.8867924528301886E-2</v>
      </c>
      <c r="H33" s="38">
        <f t="shared" si="1"/>
        <v>1.8867924528301886E-2</v>
      </c>
      <c r="I33" s="36">
        <f>SUM($F$4:F33)</f>
        <v>48</v>
      </c>
      <c r="J33" s="37">
        <f t="shared" si="2"/>
        <v>0.90566037735849059</v>
      </c>
      <c r="K33" s="38">
        <f t="shared" si="3"/>
        <v>0.90566037735849059</v>
      </c>
      <c r="L33" s="43" t="s">
        <v>62</v>
      </c>
    </row>
    <row r="34" spans="2:12" x14ac:dyDescent="0.25">
      <c r="B34" s="4">
        <v>31</v>
      </c>
      <c r="C34" s="65">
        <v>20.2</v>
      </c>
      <c r="E34" s="32">
        <v>21.6</v>
      </c>
      <c r="F34" s="36">
        <v>1</v>
      </c>
      <c r="G34" s="37">
        <f t="shared" si="0"/>
        <v>1.8867924528301886E-2</v>
      </c>
      <c r="H34" s="38">
        <f t="shared" si="1"/>
        <v>1.8867924528301886E-2</v>
      </c>
      <c r="I34" s="36">
        <f>SUM($F$4:F34)</f>
        <v>49</v>
      </c>
      <c r="J34" s="37">
        <f t="shared" si="2"/>
        <v>0.92452830188679247</v>
      </c>
      <c r="K34" s="38">
        <f t="shared" si="3"/>
        <v>0.92452830188679247</v>
      </c>
      <c r="L34" s="36">
        <f>M20-1.5*L26</f>
        <v>16.324999999999996</v>
      </c>
    </row>
    <row r="35" spans="2:12" x14ac:dyDescent="0.25">
      <c r="B35" s="4">
        <v>32</v>
      </c>
      <c r="C35" s="65">
        <v>20.3</v>
      </c>
      <c r="E35" s="32">
        <v>21.9</v>
      </c>
      <c r="F35" s="36">
        <v>1</v>
      </c>
      <c r="G35" s="37">
        <f t="shared" si="0"/>
        <v>1.8867924528301886E-2</v>
      </c>
      <c r="H35" s="38">
        <f t="shared" si="1"/>
        <v>1.8867924528301886E-2</v>
      </c>
      <c r="I35" s="36">
        <f>SUM($F$4:F35)</f>
        <v>50</v>
      </c>
      <c r="J35" s="37">
        <f t="shared" si="2"/>
        <v>0.94339622641509435</v>
      </c>
      <c r="K35" s="38">
        <f t="shared" si="3"/>
        <v>0.94339622641509435</v>
      </c>
      <c r="L35" s="43" t="s">
        <v>63</v>
      </c>
    </row>
    <row r="36" spans="2:12" x14ac:dyDescent="0.25">
      <c r="B36" s="4">
        <v>33</v>
      </c>
      <c r="C36" s="65">
        <v>20.399999999999999</v>
      </c>
      <c r="E36" s="32">
        <v>22</v>
      </c>
      <c r="F36" s="36">
        <v>1</v>
      </c>
      <c r="G36" s="37">
        <f t="shared" si="0"/>
        <v>1.8867924528301886E-2</v>
      </c>
      <c r="H36" s="38">
        <f t="shared" si="1"/>
        <v>1.8867924528301886E-2</v>
      </c>
      <c r="I36" s="36">
        <f>SUM($F$4:F36)</f>
        <v>51</v>
      </c>
      <c r="J36" s="37">
        <f t="shared" si="2"/>
        <v>0.96226415094339623</v>
      </c>
      <c r="K36" s="38">
        <f t="shared" si="3"/>
        <v>0.96226415094339623</v>
      </c>
      <c r="L36" s="36">
        <f>M24+1.5*L26</f>
        <v>23.32500000000001</v>
      </c>
    </row>
    <row r="37" spans="2:12" x14ac:dyDescent="0.25">
      <c r="B37" s="4">
        <v>34</v>
      </c>
      <c r="C37" s="65">
        <v>20.399999999999999</v>
      </c>
      <c r="E37" s="32">
        <v>22.4</v>
      </c>
      <c r="F37" s="36">
        <v>1</v>
      </c>
      <c r="G37" s="37">
        <f t="shared" si="0"/>
        <v>1.8867924528301886E-2</v>
      </c>
      <c r="H37" s="38">
        <f t="shared" si="1"/>
        <v>1.8867924528301886E-2</v>
      </c>
      <c r="I37" s="36">
        <f>SUM($F$4:F37)</f>
        <v>52</v>
      </c>
      <c r="J37" s="37">
        <f t="shared" si="2"/>
        <v>0.98113207547169812</v>
      </c>
      <c r="K37" s="38">
        <f t="shared" si="3"/>
        <v>0.98113207547169812</v>
      </c>
      <c r="L37" s="43" t="s">
        <v>64</v>
      </c>
    </row>
    <row r="38" spans="2:12" x14ac:dyDescent="0.25">
      <c r="B38" s="4">
        <v>35</v>
      </c>
      <c r="C38" s="65">
        <v>20.399999999999999</v>
      </c>
      <c r="E38" s="32">
        <v>23.5</v>
      </c>
      <c r="F38" s="36">
        <v>1</v>
      </c>
      <c r="G38" s="37">
        <f t="shared" si="0"/>
        <v>1.8867924528301886E-2</v>
      </c>
      <c r="H38" s="38">
        <f t="shared" si="1"/>
        <v>1.8867924528301886E-2</v>
      </c>
      <c r="I38" s="36">
        <f>SUM($F$4:F38)</f>
        <v>53</v>
      </c>
      <c r="J38" s="37">
        <f t="shared" si="2"/>
        <v>1</v>
      </c>
      <c r="K38" s="38">
        <f t="shared" si="3"/>
        <v>1</v>
      </c>
      <c r="L38" s="36">
        <f>M24+3*L26</f>
        <v>25.950000000000014</v>
      </c>
    </row>
    <row r="39" spans="2:12" x14ac:dyDescent="0.25">
      <c r="B39" s="4">
        <v>36</v>
      </c>
      <c r="C39" s="65">
        <v>20.399999999999999</v>
      </c>
      <c r="E39" s="36" t="s">
        <v>23</v>
      </c>
      <c r="F39" s="36">
        <f>SUM(F4:F38)</f>
        <v>53</v>
      </c>
      <c r="G39" s="39"/>
      <c r="H39" s="39"/>
      <c r="I39" s="39"/>
      <c r="J39" s="39"/>
      <c r="K39" s="39"/>
    </row>
    <row r="40" spans="2:12" x14ac:dyDescent="0.25">
      <c r="B40" s="4">
        <v>37</v>
      </c>
      <c r="C40" s="65">
        <v>20.399999999999999</v>
      </c>
      <c r="D40" s="31"/>
      <c r="E40" s="33"/>
      <c r="F40" s="33"/>
      <c r="G40" s="33"/>
      <c r="H40" s="31"/>
    </row>
    <row r="41" spans="2:12" x14ac:dyDescent="0.25">
      <c r="B41" s="4">
        <v>38</v>
      </c>
      <c r="C41" s="65">
        <v>20.399999999999999</v>
      </c>
      <c r="D41" s="33"/>
      <c r="E41" s="33"/>
      <c r="F41" s="33"/>
      <c r="G41" s="33"/>
      <c r="H41" s="31"/>
    </row>
    <row r="42" spans="2:12" x14ac:dyDescent="0.25">
      <c r="B42" s="4">
        <v>39</v>
      </c>
      <c r="C42" s="65">
        <v>20.399999999999999</v>
      </c>
      <c r="D42" s="33"/>
      <c r="E42" s="33"/>
      <c r="H42" s="31"/>
    </row>
    <row r="43" spans="2:12" x14ac:dyDescent="0.25">
      <c r="B43" s="4">
        <v>40</v>
      </c>
      <c r="C43" s="65">
        <v>20.6</v>
      </c>
      <c r="D43" s="31"/>
      <c r="E43" s="33"/>
      <c r="H43" s="31"/>
    </row>
    <row r="44" spans="2:12" x14ac:dyDescent="0.25">
      <c r="B44" s="4">
        <v>41</v>
      </c>
      <c r="C44" s="65">
        <v>20.8</v>
      </c>
      <c r="D44" s="33"/>
      <c r="E44" s="33"/>
      <c r="H44" s="31"/>
      <c r="I44" s="33"/>
    </row>
    <row r="45" spans="2:12" x14ac:dyDescent="0.25">
      <c r="B45" s="4">
        <v>42</v>
      </c>
      <c r="C45" s="65">
        <v>20.8</v>
      </c>
      <c r="D45" s="33"/>
      <c r="E45" s="33"/>
      <c r="H45" s="31"/>
      <c r="I45" s="33"/>
    </row>
    <row r="46" spans="2:12" x14ac:dyDescent="0.25">
      <c r="B46" s="4">
        <v>43</v>
      </c>
      <c r="C46" s="65">
        <v>20.9</v>
      </c>
      <c r="D46" s="33"/>
      <c r="E46" s="33"/>
      <c r="H46" s="31"/>
      <c r="I46" s="33"/>
    </row>
    <row r="47" spans="2:12" x14ac:dyDescent="0.25">
      <c r="B47" s="4">
        <v>44</v>
      </c>
      <c r="C47" s="65">
        <v>21</v>
      </c>
      <c r="D47" s="33"/>
      <c r="E47" s="33"/>
      <c r="H47" s="31"/>
      <c r="I47" s="33"/>
    </row>
    <row r="48" spans="2:12" x14ac:dyDescent="0.25">
      <c r="B48" s="4">
        <v>45</v>
      </c>
      <c r="C48" s="65">
        <v>21.2</v>
      </c>
      <c r="D48" s="31"/>
      <c r="E48" s="34"/>
      <c r="H48" s="31"/>
      <c r="I48" s="33"/>
    </row>
    <row r="49" spans="2:9" x14ac:dyDescent="0.25">
      <c r="B49" s="4">
        <v>46</v>
      </c>
      <c r="C49" s="65">
        <v>21.3</v>
      </c>
      <c r="D49" s="33"/>
      <c r="E49" s="33"/>
      <c r="H49" s="31"/>
      <c r="I49" s="33"/>
    </row>
    <row r="50" spans="2:9" x14ac:dyDescent="0.25">
      <c r="B50" s="4">
        <v>47</v>
      </c>
      <c r="C50" s="65">
        <v>21.3</v>
      </c>
      <c r="D50" s="33"/>
      <c r="E50" s="33"/>
      <c r="H50" s="31"/>
      <c r="I50" s="33"/>
    </row>
    <row r="51" spans="2:9" x14ac:dyDescent="0.25">
      <c r="B51" s="4">
        <v>48</v>
      </c>
      <c r="C51" s="65">
        <v>21.4</v>
      </c>
      <c r="D51" s="31"/>
      <c r="E51" s="34"/>
      <c r="H51" s="31"/>
      <c r="I51" s="33"/>
    </row>
    <row r="52" spans="2:9" x14ac:dyDescent="0.25">
      <c r="B52" s="4">
        <v>49</v>
      </c>
      <c r="C52" s="65">
        <v>21.6</v>
      </c>
      <c r="H52" s="31"/>
      <c r="I52" s="33"/>
    </row>
    <row r="53" spans="2:9" x14ac:dyDescent="0.25">
      <c r="B53" s="4">
        <v>50</v>
      </c>
      <c r="C53" s="65">
        <v>21.9</v>
      </c>
      <c r="H53" s="31"/>
      <c r="I53" s="33"/>
    </row>
    <row r="54" spans="2:9" x14ac:dyDescent="0.25">
      <c r="B54" s="4">
        <v>51</v>
      </c>
      <c r="C54" s="65">
        <v>22</v>
      </c>
      <c r="H54" s="31"/>
      <c r="I54" s="33"/>
    </row>
    <row r="55" spans="2:9" x14ac:dyDescent="0.25">
      <c r="B55" s="4">
        <v>52</v>
      </c>
      <c r="C55" s="65">
        <v>22.4</v>
      </c>
      <c r="H55" s="31"/>
      <c r="I55" s="33"/>
    </row>
    <row r="56" spans="2:9" ht="15.75" thickBot="1" x14ac:dyDescent="0.3">
      <c r="B56" s="66">
        <v>53</v>
      </c>
      <c r="C56" s="67">
        <v>23.5</v>
      </c>
      <c r="H56" s="31"/>
      <c r="I56" s="33"/>
    </row>
    <row r="57" spans="2:9" x14ac:dyDescent="0.25">
      <c r="H57" s="31"/>
      <c r="I57" s="33"/>
    </row>
    <row r="58" spans="2:9" x14ac:dyDescent="0.25">
      <c r="H58" s="31"/>
      <c r="I58" s="33"/>
    </row>
    <row r="59" spans="2:9" x14ac:dyDescent="0.25">
      <c r="H59" s="31"/>
      <c r="I59" s="33"/>
    </row>
    <row r="60" spans="2:9" x14ac:dyDescent="0.25">
      <c r="H60" s="31"/>
      <c r="I60" s="33"/>
    </row>
    <row r="61" spans="2:9" x14ac:dyDescent="0.25">
      <c r="H61" s="31"/>
      <c r="I61" s="33"/>
    </row>
  </sheetData>
  <sortState ref="C4:C56">
    <sortCondition ref="C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56"/>
  <sheetViews>
    <sheetView topLeftCell="K1" workbookViewId="0">
      <selection activeCell="Q18" sqref="Q18"/>
    </sheetView>
  </sheetViews>
  <sheetFormatPr baseColWidth="10" defaultRowHeight="15" x14ac:dyDescent="0.25"/>
  <cols>
    <col min="4" max="4" width="15.42578125" customWidth="1"/>
    <col min="6" max="6" width="15.28515625" customWidth="1"/>
    <col min="9" max="9" width="13.5703125" customWidth="1"/>
  </cols>
  <sheetData>
    <row r="2" spans="3:20" ht="15.75" thickBot="1" x14ac:dyDescent="0.3">
      <c r="F2" s="1"/>
      <c r="G2" s="1"/>
      <c r="H2" s="1"/>
      <c r="I2" s="1"/>
      <c r="J2" s="1"/>
      <c r="K2" s="1"/>
      <c r="L2" s="1"/>
      <c r="M2" s="1"/>
      <c r="N2" s="1"/>
    </row>
    <row r="3" spans="3:20" ht="60" x14ac:dyDescent="0.25">
      <c r="C3" s="63" t="s">
        <v>36</v>
      </c>
      <c r="D3" s="64" t="s">
        <v>19</v>
      </c>
      <c r="F3" s="41" t="s">
        <v>66</v>
      </c>
      <c r="G3" s="41" t="s">
        <v>67</v>
      </c>
      <c r="H3" s="41" t="s">
        <v>69</v>
      </c>
      <c r="I3" s="41" t="s">
        <v>68</v>
      </c>
      <c r="J3" s="1"/>
      <c r="K3" s="41" t="s">
        <v>65</v>
      </c>
      <c r="L3" s="41" t="s">
        <v>79</v>
      </c>
      <c r="M3" s="41" t="s">
        <v>78</v>
      </c>
      <c r="N3" s="41" t="s">
        <v>70</v>
      </c>
      <c r="O3" s="41" t="s">
        <v>16</v>
      </c>
      <c r="P3" s="41" t="s">
        <v>17</v>
      </c>
      <c r="Q3" s="41" t="s">
        <v>18</v>
      </c>
      <c r="R3" s="41" t="s">
        <v>20</v>
      </c>
      <c r="S3" s="41" t="s">
        <v>21</v>
      </c>
      <c r="T3" s="41" t="s">
        <v>22</v>
      </c>
    </row>
    <row r="4" spans="3:20" x14ac:dyDescent="0.25">
      <c r="C4" s="4">
        <v>1</v>
      </c>
      <c r="D4" s="65">
        <v>16.899999999999999</v>
      </c>
      <c r="F4" s="2">
        <f>1+3.3*LOG(C56)</f>
        <v>6.6901103696826034</v>
      </c>
      <c r="G4" s="54">
        <f>D56-D4</f>
        <v>6.6000000000000014</v>
      </c>
      <c r="H4" s="2">
        <f>ROUNDUP(F4,0)</f>
        <v>7</v>
      </c>
      <c r="I4" s="55">
        <f>G4/H4</f>
        <v>0.94285714285714306</v>
      </c>
      <c r="J4" s="1"/>
      <c r="K4" s="2"/>
      <c r="L4" s="2">
        <v>15.5</v>
      </c>
      <c r="M4" s="2"/>
      <c r="N4" s="2">
        <v>16</v>
      </c>
      <c r="O4" s="2">
        <v>0</v>
      </c>
      <c r="P4" s="2"/>
      <c r="Q4" s="2"/>
      <c r="R4" s="2"/>
      <c r="S4" s="2"/>
      <c r="T4" s="87">
        <v>0</v>
      </c>
    </row>
    <row r="5" spans="3:20" x14ac:dyDescent="0.25">
      <c r="C5" s="4">
        <v>2</v>
      </c>
      <c r="D5" s="65">
        <v>17.399999999999999</v>
      </c>
      <c r="F5" s="1"/>
      <c r="G5" s="1"/>
      <c r="H5" s="1"/>
      <c r="I5" s="1"/>
      <c r="J5" s="1"/>
      <c r="K5" s="2">
        <v>1</v>
      </c>
      <c r="L5" s="2">
        <v>16.5</v>
      </c>
      <c r="M5" s="2" t="s">
        <v>71</v>
      </c>
      <c r="N5" s="2">
        <v>17</v>
      </c>
      <c r="O5" s="2">
        <v>2</v>
      </c>
      <c r="P5" s="84">
        <f>O5/$O$13</f>
        <v>3.7735849056603772E-2</v>
      </c>
      <c r="Q5" s="85">
        <f>O5/$O$13</f>
        <v>3.7735849056603772E-2</v>
      </c>
      <c r="R5" s="2">
        <f>SUM($O$5:O5)</f>
        <v>2</v>
      </c>
      <c r="S5" s="84">
        <f>R5/$O$13</f>
        <v>3.7735849056603772E-2</v>
      </c>
      <c r="T5" s="85">
        <f>R5/$O$13</f>
        <v>3.7735849056603772E-2</v>
      </c>
    </row>
    <row r="6" spans="3:20" x14ac:dyDescent="0.25">
      <c r="C6" s="4">
        <v>3</v>
      </c>
      <c r="D6" s="65">
        <v>17.7</v>
      </c>
      <c r="F6" s="1"/>
      <c r="G6" s="1"/>
      <c r="H6" s="1"/>
      <c r="I6" s="1"/>
      <c r="J6" s="1"/>
      <c r="K6" s="2">
        <v>2</v>
      </c>
      <c r="L6" s="2">
        <v>17.5</v>
      </c>
      <c r="M6" s="2" t="s">
        <v>72</v>
      </c>
      <c r="N6" s="2">
        <v>18</v>
      </c>
      <c r="O6" s="2">
        <v>6</v>
      </c>
      <c r="P6" s="84">
        <f t="shared" ref="P6:P11" si="0">O6/$O$13</f>
        <v>0.11320754716981132</v>
      </c>
      <c r="Q6" s="85">
        <f t="shared" ref="Q6:Q11" si="1">O6/$O$13</f>
        <v>0.11320754716981132</v>
      </c>
      <c r="R6" s="2">
        <f>SUM($O$5:O6)</f>
        <v>8</v>
      </c>
      <c r="S6" s="84">
        <f t="shared" ref="S6:S11" si="2">R6/$O$13</f>
        <v>0.15094339622641509</v>
      </c>
      <c r="T6" s="85">
        <f t="shared" ref="T6:T11" si="3">R6/$O$13</f>
        <v>0.15094339622641509</v>
      </c>
    </row>
    <row r="7" spans="3:20" x14ac:dyDescent="0.25">
      <c r="C7" s="4">
        <v>4</v>
      </c>
      <c r="D7" s="65">
        <v>17.899999999999999</v>
      </c>
      <c r="F7" s="1"/>
      <c r="G7" s="1"/>
      <c r="H7" s="1"/>
      <c r="I7" s="1"/>
      <c r="J7" s="1"/>
      <c r="K7" s="2">
        <v>3</v>
      </c>
      <c r="L7" s="2">
        <v>18.5</v>
      </c>
      <c r="M7" s="2" t="s">
        <v>73</v>
      </c>
      <c r="N7" s="2">
        <v>19</v>
      </c>
      <c r="O7" s="2">
        <v>12</v>
      </c>
      <c r="P7" s="84">
        <f t="shared" si="0"/>
        <v>0.22641509433962265</v>
      </c>
      <c r="Q7" s="85">
        <f t="shared" si="1"/>
        <v>0.22641509433962265</v>
      </c>
      <c r="R7" s="2">
        <f>SUM($O$5:O7)</f>
        <v>20</v>
      </c>
      <c r="S7" s="84">
        <f t="shared" si="2"/>
        <v>0.37735849056603776</v>
      </c>
      <c r="T7" s="85">
        <f t="shared" si="3"/>
        <v>0.37735849056603776</v>
      </c>
    </row>
    <row r="8" spans="3:20" x14ac:dyDescent="0.25">
      <c r="C8" s="4">
        <v>5</v>
      </c>
      <c r="D8" s="65">
        <v>18</v>
      </c>
      <c r="F8" s="1"/>
      <c r="G8" s="1"/>
      <c r="H8" s="1"/>
      <c r="I8" s="1"/>
      <c r="J8" s="1"/>
      <c r="K8" s="2">
        <v>4</v>
      </c>
      <c r="L8" s="2">
        <v>19.5</v>
      </c>
      <c r="M8" s="2" t="s">
        <v>74</v>
      </c>
      <c r="N8" s="2">
        <v>20</v>
      </c>
      <c r="O8" s="2">
        <v>19</v>
      </c>
      <c r="P8" s="84">
        <f t="shared" si="0"/>
        <v>0.35849056603773582</v>
      </c>
      <c r="Q8" s="85">
        <f t="shared" si="1"/>
        <v>0.35849056603773582</v>
      </c>
      <c r="R8" s="2">
        <f>SUM($O$5:O8)</f>
        <v>39</v>
      </c>
      <c r="S8" s="84">
        <f t="shared" si="2"/>
        <v>0.73584905660377353</v>
      </c>
      <c r="T8" s="85">
        <f t="shared" si="3"/>
        <v>0.73584905660377353</v>
      </c>
    </row>
    <row r="9" spans="3:20" x14ac:dyDescent="0.25">
      <c r="C9" s="4">
        <v>6</v>
      </c>
      <c r="D9" s="65">
        <v>18.2</v>
      </c>
      <c r="F9" s="1"/>
      <c r="G9" s="1"/>
      <c r="H9" s="1"/>
      <c r="I9" s="1"/>
      <c r="J9" s="1"/>
      <c r="K9" s="2">
        <v>5</v>
      </c>
      <c r="L9" s="2">
        <v>20.5</v>
      </c>
      <c r="M9" s="2" t="s">
        <v>75</v>
      </c>
      <c r="N9" s="2">
        <v>21</v>
      </c>
      <c r="O9" s="2">
        <v>9</v>
      </c>
      <c r="P9" s="84">
        <f t="shared" si="0"/>
        <v>0.16981132075471697</v>
      </c>
      <c r="Q9" s="85">
        <f t="shared" si="1"/>
        <v>0.16981132075471697</v>
      </c>
      <c r="R9" s="2">
        <f>SUM($O$5:O9)</f>
        <v>48</v>
      </c>
      <c r="S9" s="84">
        <f t="shared" si="2"/>
        <v>0.90566037735849059</v>
      </c>
      <c r="T9" s="85">
        <f t="shared" si="3"/>
        <v>0.90566037735849059</v>
      </c>
    </row>
    <row r="10" spans="3:20" x14ac:dyDescent="0.25">
      <c r="C10" s="4">
        <v>7</v>
      </c>
      <c r="D10" s="65">
        <v>18.2</v>
      </c>
      <c r="F10" s="1"/>
      <c r="G10" s="1"/>
      <c r="H10" s="1"/>
      <c r="I10" s="1"/>
      <c r="J10" s="1"/>
      <c r="K10" s="2">
        <v>6</v>
      </c>
      <c r="L10" s="2">
        <v>21.5</v>
      </c>
      <c r="M10" s="2" t="s">
        <v>76</v>
      </c>
      <c r="N10" s="2">
        <v>22</v>
      </c>
      <c r="O10" s="2">
        <v>4</v>
      </c>
      <c r="P10" s="84">
        <f t="shared" si="0"/>
        <v>7.5471698113207544E-2</v>
      </c>
      <c r="Q10" s="85">
        <f t="shared" si="1"/>
        <v>7.5471698113207544E-2</v>
      </c>
      <c r="R10" s="2">
        <f>SUM($O$5:O10)</f>
        <v>52</v>
      </c>
      <c r="S10" s="84">
        <f t="shared" si="2"/>
        <v>0.98113207547169812</v>
      </c>
      <c r="T10" s="85">
        <f t="shared" si="3"/>
        <v>0.98113207547169812</v>
      </c>
    </row>
    <row r="11" spans="3:20" x14ac:dyDescent="0.25">
      <c r="C11" s="4">
        <v>8</v>
      </c>
      <c r="D11" s="65">
        <v>18.2</v>
      </c>
      <c r="F11" s="1"/>
      <c r="G11" s="1"/>
      <c r="H11" s="1"/>
      <c r="I11" s="1"/>
      <c r="J11" s="1"/>
      <c r="K11" s="2">
        <v>7</v>
      </c>
      <c r="L11" s="2">
        <v>22.5</v>
      </c>
      <c r="M11" s="2" t="s">
        <v>77</v>
      </c>
      <c r="N11" s="2">
        <v>23</v>
      </c>
      <c r="O11" s="2">
        <v>1</v>
      </c>
      <c r="P11" s="84">
        <f t="shared" si="0"/>
        <v>1.8867924528301886E-2</v>
      </c>
      <c r="Q11" s="85">
        <f t="shared" si="1"/>
        <v>1.8867924528301886E-2</v>
      </c>
      <c r="R11" s="2">
        <f>SUM($O$5:O11)</f>
        <v>53</v>
      </c>
      <c r="S11" s="84">
        <f t="shared" si="2"/>
        <v>1</v>
      </c>
      <c r="T11" s="85">
        <f t="shared" si="3"/>
        <v>1</v>
      </c>
    </row>
    <row r="12" spans="3:20" x14ac:dyDescent="0.25">
      <c r="C12" s="4">
        <v>9</v>
      </c>
      <c r="D12" s="65">
        <v>18.7</v>
      </c>
      <c r="F12" s="1"/>
      <c r="G12" s="1"/>
      <c r="H12" s="1"/>
      <c r="I12" s="1"/>
      <c r="J12" s="1"/>
      <c r="K12" s="2"/>
      <c r="L12" s="2">
        <v>23.5</v>
      </c>
      <c r="M12" s="2"/>
      <c r="N12" s="2">
        <v>24</v>
      </c>
      <c r="O12" s="2">
        <v>0</v>
      </c>
      <c r="P12" s="39"/>
      <c r="Q12" s="39"/>
      <c r="R12" s="39"/>
      <c r="S12" s="39"/>
      <c r="T12" s="85">
        <f>T11</f>
        <v>1</v>
      </c>
    </row>
    <row r="13" spans="3:20" x14ac:dyDescent="0.25">
      <c r="C13" s="4">
        <v>10</v>
      </c>
      <c r="D13" s="65">
        <v>18.7</v>
      </c>
      <c r="F13" s="1"/>
      <c r="G13" s="1"/>
      <c r="H13" s="1"/>
      <c r="I13" s="1"/>
      <c r="J13" s="1"/>
      <c r="K13" s="1"/>
      <c r="L13" s="1"/>
      <c r="M13" s="1"/>
      <c r="N13" s="86"/>
      <c r="O13" s="83">
        <f>SUM(O5:O11)</f>
        <v>53</v>
      </c>
    </row>
    <row r="14" spans="3:20" x14ac:dyDescent="0.25">
      <c r="C14" s="4">
        <v>11</v>
      </c>
      <c r="D14" s="65">
        <v>18.8</v>
      </c>
      <c r="F14" s="1"/>
      <c r="G14" s="1"/>
      <c r="H14" s="1"/>
      <c r="I14" s="1"/>
      <c r="J14" s="1"/>
      <c r="K14" s="1"/>
      <c r="L14" s="1"/>
      <c r="M14" s="1"/>
      <c r="N14" s="1"/>
    </row>
    <row r="15" spans="3:20" x14ac:dyDescent="0.25">
      <c r="C15" s="4">
        <v>12</v>
      </c>
      <c r="D15" s="65">
        <v>18.8</v>
      </c>
      <c r="F15" s="1"/>
      <c r="G15" s="1"/>
      <c r="H15" s="1"/>
      <c r="I15" s="1"/>
      <c r="J15" s="1"/>
      <c r="K15" s="1"/>
      <c r="L15" s="1"/>
      <c r="M15" s="1"/>
      <c r="N15" s="1"/>
    </row>
    <row r="16" spans="3:20" x14ac:dyDescent="0.25">
      <c r="C16" s="4">
        <v>13</v>
      </c>
      <c r="D16" s="65">
        <v>18.899999999999999</v>
      </c>
      <c r="F16" s="1"/>
      <c r="G16" s="1"/>
      <c r="H16" s="1"/>
      <c r="I16" s="1"/>
      <c r="J16" s="1"/>
      <c r="K16" s="1"/>
      <c r="L16" s="1"/>
      <c r="M16" s="1"/>
      <c r="N16" s="1"/>
    </row>
    <row r="17" spans="3:4" x14ac:dyDescent="0.25">
      <c r="C17" s="4">
        <v>14</v>
      </c>
      <c r="D17" s="65">
        <v>19</v>
      </c>
    </row>
    <row r="18" spans="3:4" x14ac:dyDescent="0.25">
      <c r="C18" s="4">
        <v>15</v>
      </c>
      <c r="D18" s="65">
        <v>19</v>
      </c>
    </row>
    <row r="19" spans="3:4" x14ac:dyDescent="0.25">
      <c r="C19" s="4">
        <v>16</v>
      </c>
      <c r="D19" s="65">
        <v>19.100000000000001</v>
      </c>
    </row>
    <row r="20" spans="3:4" x14ac:dyDescent="0.25">
      <c r="C20" s="4">
        <v>17</v>
      </c>
      <c r="D20" s="65">
        <v>19.100000000000001</v>
      </c>
    </row>
    <row r="21" spans="3:4" x14ac:dyDescent="0.25">
      <c r="C21" s="4">
        <v>18</v>
      </c>
      <c r="D21" s="65">
        <v>19.100000000000001</v>
      </c>
    </row>
    <row r="22" spans="3:4" x14ac:dyDescent="0.25">
      <c r="C22" s="4">
        <v>19</v>
      </c>
      <c r="D22" s="65">
        <v>19.2</v>
      </c>
    </row>
    <row r="23" spans="3:4" x14ac:dyDescent="0.25">
      <c r="C23" s="4">
        <v>20</v>
      </c>
      <c r="D23" s="65">
        <v>19.399999999999999</v>
      </c>
    </row>
    <row r="24" spans="3:4" x14ac:dyDescent="0.25">
      <c r="C24" s="4">
        <v>21</v>
      </c>
      <c r="D24" s="65">
        <v>19.5</v>
      </c>
    </row>
    <row r="25" spans="3:4" x14ac:dyDescent="0.25">
      <c r="C25" s="4">
        <v>22</v>
      </c>
      <c r="D25" s="65">
        <v>19.600000000000001</v>
      </c>
    </row>
    <row r="26" spans="3:4" x14ac:dyDescent="0.25">
      <c r="C26" s="4">
        <v>23</v>
      </c>
      <c r="D26" s="65">
        <v>19.7</v>
      </c>
    </row>
    <row r="27" spans="3:4" x14ac:dyDescent="0.25">
      <c r="C27" s="4">
        <v>24</v>
      </c>
      <c r="D27" s="65">
        <v>19.8</v>
      </c>
    </row>
    <row r="28" spans="3:4" x14ac:dyDescent="0.25">
      <c r="C28" s="4">
        <v>25</v>
      </c>
      <c r="D28" s="65">
        <v>19.899999999999999</v>
      </c>
    </row>
    <row r="29" spans="3:4" x14ac:dyDescent="0.25">
      <c r="C29" s="4">
        <v>26</v>
      </c>
      <c r="D29" s="65">
        <v>19.899999999999999</v>
      </c>
    </row>
    <row r="30" spans="3:4" x14ac:dyDescent="0.25">
      <c r="C30" s="4">
        <v>27</v>
      </c>
      <c r="D30" s="65">
        <v>20</v>
      </c>
    </row>
    <row r="31" spans="3:4" x14ac:dyDescent="0.25">
      <c r="C31" s="4">
        <v>28</v>
      </c>
      <c r="D31" s="65">
        <v>20.100000000000001</v>
      </c>
    </row>
    <row r="32" spans="3:4" x14ac:dyDescent="0.25">
      <c r="C32" s="4">
        <v>29</v>
      </c>
      <c r="D32" s="65">
        <v>20.2</v>
      </c>
    </row>
    <row r="33" spans="3:4" x14ac:dyDescent="0.25">
      <c r="C33" s="4">
        <v>30</v>
      </c>
      <c r="D33" s="65">
        <v>20.2</v>
      </c>
    </row>
    <row r="34" spans="3:4" x14ac:dyDescent="0.25">
      <c r="C34" s="4">
        <v>31</v>
      </c>
      <c r="D34" s="65">
        <v>20.2</v>
      </c>
    </row>
    <row r="35" spans="3:4" x14ac:dyDescent="0.25">
      <c r="C35" s="4">
        <v>32</v>
      </c>
      <c r="D35" s="65">
        <v>20.3</v>
      </c>
    </row>
    <row r="36" spans="3:4" x14ac:dyDescent="0.25">
      <c r="C36" s="4">
        <v>33</v>
      </c>
      <c r="D36" s="65">
        <v>20.399999999999999</v>
      </c>
    </row>
    <row r="37" spans="3:4" x14ac:dyDescent="0.25">
      <c r="C37" s="4">
        <v>34</v>
      </c>
      <c r="D37" s="65">
        <v>20.399999999999999</v>
      </c>
    </row>
    <row r="38" spans="3:4" x14ac:dyDescent="0.25">
      <c r="C38" s="4">
        <v>35</v>
      </c>
      <c r="D38" s="65">
        <v>20.399999999999999</v>
      </c>
    </row>
    <row r="39" spans="3:4" x14ac:dyDescent="0.25">
      <c r="C39" s="4">
        <v>36</v>
      </c>
      <c r="D39" s="65">
        <v>20.399999999999999</v>
      </c>
    </row>
    <row r="40" spans="3:4" x14ac:dyDescent="0.25">
      <c r="C40" s="4">
        <v>37</v>
      </c>
      <c r="D40" s="65">
        <v>20.399999999999999</v>
      </c>
    </row>
    <row r="41" spans="3:4" x14ac:dyDescent="0.25">
      <c r="C41" s="4">
        <v>38</v>
      </c>
      <c r="D41" s="65">
        <v>20.399999999999999</v>
      </c>
    </row>
    <row r="42" spans="3:4" x14ac:dyDescent="0.25">
      <c r="C42" s="4">
        <v>39</v>
      </c>
      <c r="D42" s="65">
        <v>20.399999999999999</v>
      </c>
    </row>
    <row r="43" spans="3:4" x14ac:dyDescent="0.25">
      <c r="C43" s="4">
        <v>40</v>
      </c>
      <c r="D43" s="65">
        <v>20.6</v>
      </c>
    </row>
    <row r="44" spans="3:4" x14ac:dyDescent="0.25">
      <c r="C44" s="4">
        <v>41</v>
      </c>
      <c r="D44" s="65">
        <v>20.8</v>
      </c>
    </row>
    <row r="45" spans="3:4" x14ac:dyDescent="0.25">
      <c r="C45" s="4">
        <v>42</v>
      </c>
      <c r="D45" s="65">
        <v>20.8</v>
      </c>
    </row>
    <row r="46" spans="3:4" x14ac:dyDescent="0.25">
      <c r="C46" s="4">
        <v>43</v>
      </c>
      <c r="D46" s="65">
        <v>20.9</v>
      </c>
    </row>
    <row r="47" spans="3:4" x14ac:dyDescent="0.25">
      <c r="C47" s="4">
        <v>44</v>
      </c>
      <c r="D47" s="65">
        <v>21</v>
      </c>
    </row>
    <row r="48" spans="3:4" x14ac:dyDescent="0.25">
      <c r="C48" s="4">
        <v>45</v>
      </c>
      <c r="D48" s="65">
        <v>21.2</v>
      </c>
    </row>
    <row r="49" spans="3:4" x14ac:dyDescent="0.25">
      <c r="C49" s="4">
        <v>46</v>
      </c>
      <c r="D49" s="65">
        <v>21.3</v>
      </c>
    </row>
    <row r="50" spans="3:4" x14ac:dyDescent="0.25">
      <c r="C50" s="4">
        <v>47</v>
      </c>
      <c r="D50" s="65">
        <v>21.3</v>
      </c>
    </row>
    <row r="51" spans="3:4" x14ac:dyDescent="0.25">
      <c r="C51" s="4">
        <v>48</v>
      </c>
      <c r="D51" s="65">
        <v>21.4</v>
      </c>
    </row>
    <row r="52" spans="3:4" x14ac:dyDescent="0.25">
      <c r="C52" s="4">
        <v>49</v>
      </c>
      <c r="D52" s="65">
        <v>21.6</v>
      </c>
    </row>
    <row r="53" spans="3:4" x14ac:dyDescent="0.25">
      <c r="C53" s="4">
        <v>50</v>
      </c>
      <c r="D53" s="65">
        <v>21.9</v>
      </c>
    </row>
    <row r="54" spans="3:4" x14ac:dyDescent="0.25">
      <c r="C54" s="4">
        <v>51</v>
      </c>
      <c r="D54" s="65">
        <v>22</v>
      </c>
    </row>
    <row r="55" spans="3:4" x14ac:dyDescent="0.25">
      <c r="C55" s="4">
        <v>52</v>
      </c>
      <c r="D55" s="65">
        <v>22.4</v>
      </c>
    </row>
    <row r="56" spans="3:4" ht="15.75" thickBot="1" x14ac:dyDescent="0.3">
      <c r="C56" s="66">
        <v>53</v>
      </c>
      <c r="D56" s="67">
        <v>23.5</v>
      </c>
    </row>
  </sheetData>
  <pageMargins left="0.7" right="0.7" top="0.75" bottom="0.75" header="0.3" footer="0.3"/>
  <ignoredErrors>
    <ignoredError sqref="O13 R6:R1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zoomScale="98" zoomScaleNormal="98" workbookViewId="0">
      <selection activeCell="M7" sqref="M7"/>
    </sheetView>
  </sheetViews>
  <sheetFormatPr baseColWidth="10" defaultRowHeight="15" x14ac:dyDescent="0.25"/>
  <cols>
    <col min="6" max="6" width="12" bestFit="1" customWidth="1"/>
    <col min="9" max="9" width="15.28515625" customWidth="1"/>
  </cols>
  <sheetData>
    <row r="2" spans="2:12" ht="30" x14ac:dyDescent="0.25">
      <c r="C2" s="89" t="s">
        <v>89</v>
      </c>
      <c r="D2" s="89" t="s">
        <v>90</v>
      </c>
    </row>
    <row r="3" spans="2:12" ht="60" x14ac:dyDescent="0.25">
      <c r="B3" s="89" t="s">
        <v>80</v>
      </c>
      <c r="C3" s="89" t="s">
        <v>87</v>
      </c>
      <c r="D3" s="89" t="s">
        <v>88</v>
      </c>
      <c r="E3" s="89" t="s">
        <v>117</v>
      </c>
      <c r="F3" s="89" t="s">
        <v>92</v>
      </c>
      <c r="G3" s="89" t="s">
        <v>114</v>
      </c>
      <c r="H3" s="89" t="s">
        <v>115</v>
      </c>
      <c r="I3" s="89" t="s">
        <v>116</v>
      </c>
      <c r="J3" s="89" t="s">
        <v>118</v>
      </c>
      <c r="K3" s="89" t="s">
        <v>119</v>
      </c>
      <c r="L3" s="89" t="s">
        <v>120</v>
      </c>
    </row>
    <row r="4" spans="2:12" x14ac:dyDescent="0.25">
      <c r="B4" s="2" t="s">
        <v>81</v>
      </c>
      <c r="C4" s="2">
        <v>28.63</v>
      </c>
      <c r="D4" s="2">
        <v>1.2789999999999999</v>
      </c>
      <c r="E4" s="39">
        <f>_xlfn.COVARIANCE.P(C4:C9,D4:D9)</f>
        <v>1.0642477777777779</v>
      </c>
      <c r="F4" s="147">
        <f>CORREL(C4:C9,D4:D9)</f>
        <v>0.93400856859987469</v>
      </c>
      <c r="G4" s="39">
        <f>AVERAGE(C4:C9)</f>
        <v>28.258333333333329</v>
      </c>
      <c r="H4" s="39">
        <f>AVERAGE(D4:D9)</f>
        <v>1.2646666666666666</v>
      </c>
      <c r="I4" s="39">
        <f>SUMPRODUCT(C4:C9-G4,D4:D9-H4)</f>
        <v>6.3854866666666679</v>
      </c>
      <c r="J4" s="39">
        <f>E4*6</f>
        <v>6.385486666666667</v>
      </c>
      <c r="K4" s="39">
        <f>E6*6</f>
        <v>7.6625840000000007</v>
      </c>
      <c r="L4" s="39">
        <f>E6*5</f>
        <v>6.3854866666666679</v>
      </c>
    </row>
    <row r="5" spans="2:12" x14ac:dyDescent="0.25">
      <c r="B5" s="2" t="s">
        <v>82</v>
      </c>
      <c r="C5" s="2">
        <v>39.31</v>
      </c>
      <c r="D5" s="2">
        <v>1.6639999999999999</v>
      </c>
      <c r="E5" s="148" t="s">
        <v>91</v>
      </c>
    </row>
    <row r="6" spans="2:12" x14ac:dyDescent="0.25">
      <c r="B6" s="2" t="s">
        <v>83</v>
      </c>
      <c r="C6" s="2">
        <v>23.41</v>
      </c>
      <c r="D6" s="2">
        <v>1.218</v>
      </c>
      <c r="E6" s="39">
        <f>_xlfn.COVARIANCE.S(C4:C9,D4:D9)</f>
        <v>1.2770973333333335</v>
      </c>
    </row>
    <row r="7" spans="2:12" x14ac:dyDescent="0.25">
      <c r="B7" s="2" t="s">
        <v>84</v>
      </c>
      <c r="C7" s="2">
        <v>30.74</v>
      </c>
      <c r="D7" s="2">
        <v>1.232</v>
      </c>
    </row>
    <row r="8" spans="2:12" x14ac:dyDescent="0.25">
      <c r="B8" s="2" t="s">
        <v>85</v>
      </c>
      <c r="C8" s="2">
        <v>25.43</v>
      </c>
      <c r="D8" s="2">
        <v>1.1879999999999999</v>
      </c>
    </row>
    <row r="9" spans="2:12" x14ac:dyDescent="0.25">
      <c r="B9" s="2" t="s">
        <v>86</v>
      </c>
      <c r="C9" s="2">
        <v>22.03</v>
      </c>
      <c r="D9" s="2">
        <v>1.0069999999999999</v>
      </c>
    </row>
    <row r="12" spans="2:12" x14ac:dyDescent="0.25">
      <c r="C12" s="39">
        <f>_xlfn.STDEV.S(C4:C9)</f>
        <v>6.3045076466498893</v>
      </c>
      <c r="D12" s="39">
        <f>_xlfn.STDEV.S(D4:D9)</f>
        <v>0.21688122709600102</v>
      </c>
      <c r="E12" s="39">
        <f>E6/(C12*D12)</f>
        <v>0.93400856859986681</v>
      </c>
      <c r="F12" s="146" t="s">
        <v>113</v>
      </c>
      <c r="G12" s="146"/>
      <c r="H12" s="146"/>
      <c r="I12" s="146"/>
      <c r="J12" s="146"/>
      <c r="K12" s="146"/>
      <c r="L12" s="146"/>
    </row>
    <row r="13" spans="2:12" x14ac:dyDescent="0.25">
      <c r="C13" s="39">
        <f>_xlfn.STDEV.P(C4:C9)</f>
        <v>5.7552017533899225</v>
      </c>
      <c r="D13" s="39">
        <f>_xlfn.STDEV.P(D4:D9)</f>
        <v>0.19798456729980068</v>
      </c>
      <c r="E13" s="39">
        <f>E4/(C13*D13)</f>
        <v>0.93400856859986692</v>
      </c>
      <c r="F13" s="146"/>
      <c r="G13" s="146"/>
      <c r="H13" s="146"/>
      <c r="I13" s="146"/>
      <c r="J13" s="146"/>
      <c r="K13" s="146"/>
      <c r="L13" s="146"/>
    </row>
  </sheetData>
  <mergeCells count="1">
    <mergeCell ref="F12:L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8"/>
  <sheetViews>
    <sheetView topLeftCell="A13" zoomScale="90" zoomScaleNormal="90" workbookViewId="0">
      <selection activeCell="O4" sqref="O4"/>
    </sheetView>
  </sheetViews>
  <sheetFormatPr baseColWidth="10" defaultRowHeight="15" x14ac:dyDescent="0.25"/>
  <cols>
    <col min="3" max="3" width="14" customWidth="1"/>
    <col min="5" max="5" width="11.85546875" bestFit="1" customWidth="1"/>
  </cols>
  <sheetData>
    <row r="1" spans="3:14" x14ac:dyDescent="0.25">
      <c r="E1" s="142" t="s">
        <v>95</v>
      </c>
      <c r="F1" s="142"/>
      <c r="G1" s="142"/>
      <c r="H1" s="142"/>
      <c r="I1" s="142"/>
    </row>
    <row r="2" spans="3:14" ht="15.75" thickBot="1" x14ac:dyDescent="0.3"/>
    <row r="3" spans="3:14" x14ac:dyDescent="0.25">
      <c r="C3" s="128"/>
      <c r="D3" s="129"/>
      <c r="E3" s="132" t="s">
        <v>94</v>
      </c>
      <c r="F3" s="133"/>
      <c r="G3" s="133"/>
      <c r="H3" s="133"/>
      <c r="I3" s="134"/>
      <c r="J3" s="135"/>
    </row>
    <row r="4" spans="3:14" ht="15.75" thickBot="1" x14ac:dyDescent="0.3">
      <c r="C4" s="130"/>
      <c r="D4" s="131"/>
      <c r="E4" s="96">
        <v>0</v>
      </c>
      <c r="F4" s="97">
        <v>1</v>
      </c>
      <c r="G4" s="97">
        <v>2</v>
      </c>
      <c r="H4" s="97">
        <v>3</v>
      </c>
      <c r="I4" s="98">
        <v>4</v>
      </c>
      <c r="J4" s="136"/>
      <c r="M4" s="1"/>
      <c r="N4" s="30"/>
    </row>
    <row r="5" spans="3:14" x14ac:dyDescent="0.25">
      <c r="C5" s="132" t="s">
        <v>93</v>
      </c>
      <c r="D5" s="99">
        <v>0</v>
      </c>
      <c r="E5" s="95">
        <v>300</v>
      </c>
      <c r="F5" s="90">
        <v>0</v>
      </c>
      <c r="G5" s="90">
        <v>0</v>
      </c>
      <c r="H5" s="90">
        <v>0</v>
      </c>
      <c r="I5" s="92">
        <v>0</v>
      </c>
      <c r="J5" s="101">
        <f>SUM(E5:I5)</f>
        <v>300</v>
      </c>
      <c r="M5" s="1"/>
      <c r="N5" s="30"/>
    </row>
    <row r="6" spans="3:14" x14ac:dyDescent="0.25">
      <c r="C6" s="137"/>
      <c r="D6" s="100">
        <v>1</v>
      </c>
      <c r="E6" s="4">
        <v>48</v>
      </c>
      <c r="F6" s="2">
        <v>432</v>
      </c>
      <c r="G6" s="2">
        <v>0</v>
      </c>
      <c r="H6" s="2">
        <v>0</v>
      </c>
      <c r="I6" s="93">
        <v>0</v>
      </c>
      <c r="J6" s="102">
        <f t="shared" ref="J6:J9" si="0">SUM(E6:I6)</f>
        <v>480</v>
      </c>
      <c r="M6" s="1"/>
      <c r="N6" s="30"/>
    </row>
    <row r="7" spans="3:14" x14ac:dyDescent="0.25">
      <c r="C7" s="137"/>
      <c r="D7" s="100">
        <v>2</v>
      </c>
      <c r="E7" s="4">
        <v>12</v>
      </c>
      <c r="F7" s="2">
        <v>36</v>
      </c>
      <c r="G7" s="2">
        <v>192</v>
      </c>
      <c r="H7" s="2">
        <v>0</v>
      </c>
      <c r="I7" s="93">
        <v>0</v>
      </c>
      <c r="J7" s="103">
        <f t="shared" si="0"/>
        <v>240</v>
      </c>
      <c r="M7" s="1"/>
      <c r="N7" s="30"/>
    </row>
    <row r="8" spans="3:14" x14ac:dyDescent="0.25">
      <c r="C8" s="137"/>
      <c r="D8" s="100">
        <v>3</v>
      </c>
      <c r="E8" s="4">
        <v>0</v>
      </c>
      <c r="F8" s="2">
        <v>12</v>
      </c>
      <c r="G8" s="2">
        <v>24</v>
      </c>
      <c r="H8" s="2">
        <v>84</v>
      </c>
      <c r="I8" s="93">
        <v>0</v>
      </c>
      <c r="J8" s="102">
        <f t="shared" si="0"/>
        <v>120</v>
      </c>
      <c r="M8" s="1"/>
      <c r="N8" s="30"/>
    </row>
    <row r="9" spans="3:14" ht="15.75" thickBot="1" x14ac:dyDescent="0.3">
      <c r="C9" s="138"/>
      <c r="D9" s="98">
        <v>4</v>
      </c>
      <c r="E9" s="66">
        <v>0</v>
      </c>
      <c r="F9" s="91">
        <v>0</v>
      </c>
      <c r="G9" s="91">
        <v>3</v>
      </c>
      <c r="H9" s="91">
        <v>18</v>
      </c>
      <c r="I9" s="94">
        <v>39</v>
      </c>
      <c r="J9" s="104">
        <f t="shared" si="0"/>
        <v>60</v>
      </c>
      <c r="M9" s="1"/>
      <c r="N9" s="30"/>
    </row>
    <row r="10" spans="3:14" ht="15.75" thickBot="1" x14ac:dyDescent="0.3">
      <c r="C10" s="139"/>
      <c r="D10" s="140"/>
      <c r="E10" s="105">
        <f>SUM(E5:E9)</f>
        <v>360</v>
      </c>
      <c r="F10" s="106">
        <f t="shared" ref="F10:I10" si="1">SUM(F5:F9)</f>
        <v>480</v>
      </c>
      <c r="G10" s="106">
        <f t="shared" si="1"/>
        <v>219</v>
      </c>
      <c r="H10" s="107">
        <f t="shared" si="1"/>
        <v>102</v>
      </c>
      <c r="I10" s="108">
        <f t="shared" si="1"/>
        <v>39</v>
      </c>
      <c r="J10" s="109">
        <f>SUM(J5:J9)</f>
        <v>1200</v>
      </c>
      <c r="M10" s="1"/>
      <c r="N10" s="30"/>
    </row>
    <row r="11" spans="3:14" x14ac:dyDescent="0.25">
      <c r="E11" s="1"/>
      <c r="F11" s="1"/>
      <c r="G11" s="1"/>
      <c r="H11" s="1"/>
      <c r="I11" s="1"/>
      <c r="M11" s="1"/>
      <c r="N11" s="30"/>
    </row>
    <row r="12" spans="3:14" ht="31.5" customHeight="1" x14ac:dyDescent="0.25">
      <c r="E12" s="141" t="s">
        <v>96</v>
      </c>
      <c r="F12" s="141"/>
      <c r="G12" s="141"/>
      <c r="H12" s="141"/>
      <c r="I12" s="141"/>
      <c r="M12" s="1"/>
      <c r="N12" s="30"/>
    </row>
    <row r="13" spans="3:14" ht="15.75" thickBot="1" x14ac:dyDescent="0.3">
      <c r="E13" s="1"/>
      <c r="F13" s="1"/>
      <c r="G13" s="1"/>
      <c r="H13" s="1"/>
      <c r="I13" s="1"/>
      <c r="M13" s="1"/>
      <c r="N13" s="30"/>
    </row>
    <row r="14" spans="3:14" x14ac:dyDescent="0.25">
      <c r="C14" s="128"/>
      <c r="D14" s="129"/>
      <c r="E14" s="132" t="s">
        <v>94</v>
      </c>
      <c r="F14" s="133"/>
      <c r="G14" s="133"/>
      <c r="H14" s="133"/>
      <c r="I14" s="134"/>
      <c r="J14" s="135"/>
      <c r="M14" s="1"/>
      <c r="N14" s="30"/>
    </row>
    <row r="15" spans="3:14" ht="15.75" thickBot="1" x14ac:dyDescent="0.3">
      <c r="C15" s="130"/>
      <c r="D15" s="131"/>
      <c r="E15" s="96">
        <v>0</v>
      </c>
      <c r="F15" s="97">
        <v>1</v>
      </c>
      <c r="G15" s="97">
        <v>2</v>
      </c>
      <c r="H15" s="97">
        <v>3</v>
      </c>
      <c r="I15" s="98">
        <v>4</v>
      </c>
      <c r="J15" s="136"/>
      <c r="M15" s="1"/>
      <c r="N15" s="30"/>
    </row>
    <row r="16" spans="3:14" x14ac:dyDescent="0.25">
      <c r="C16" s="132" t="s">
        <v>93</v>
      </c>
      <c r="D16" s="99">
        <v>0</v>
      </c>
      <c r="E16" s="95">
        <f t="array" ref="E16:I20">(E5:I9)/J10</f>
        <v>0.25</v>
      </c>
      <c r="F16" s="90">
        <v>0</v>
      </c>
      <c r="G16" s="90">
        <v>0</v>
      </c>
      <c r="H16" s="90">
        <v>0</v>
      </c>
      <c r="I16" s="92">
        <v>0</v>
      </c>
      <c r="J16" s="101">
        <f>SUM(E16:I16)</f>
        <v>0.25</v>
      </c>
      <c r="M16" s="1"/>
      <c r="N16" s="30"/>
    </row>
    <row r="17" spans="2:26" x14ac:dyDescent="0.25">
      <c r="C17" s="137"/>
      <c r="D17" s="100">
        <v>1</v>
      </c>
      <c r="E17" s="4">
        <v>0.04</v>
      </c>
      <c r="F17" s="2">
        <v>0.36</v>
      </c>
      <c r="G17" s="2">
        <v>0</v>
      </c>
      <c r="H17" s="2">
        <v>0</v>
      </c>
      <c r="I17" s="93">
        <v>0</v>
      </c>
      <c r="J17" s="102">
        <f t="shared" ref="J17:J20" si="2">SUM(E17:I17)</f>
        <v>0.39999999999999997</v>
      </c>
      <c r="M17" s="1"/>
      <c r="N17" s="30"/>
    </row>
    <row r="18" spans="2:26" x14ac:dyDescent="0.25">
      <c r="C18" s="137"/>
      <c r="D18" s="100">
        <v>2</v>
      </c>
      <c r="E18" s="4">
        <v>0.01</v>
      </c>
      <c r="F18" s="2">
        <v>0.03</v>
      </c>
      <c r="G18" s="2">
        <v>0.16</v>
      </c>
      <c r="H18" s="2">
        <v>0</v>
      </c>
      <c r="I18" s="93">
        <v>0</v>
      </c>
      <c r="J18" s="103">
        <f t="shared" si="2"/>
        <v>0.2</v>
      </c>
      <c r="M18" s="1"/>
      <c r="N18" s="30"/>
    </row>
    <row r="19" spans="2:26" x14ac:dyDescent="0.25">
      <c r="C19" s="137"/>
      <c r="D19" s="100">
        <v>3</v>
      </c>
      <c r="E19" s="4">
        <v>0</v>
      </c>
      <c r="F19" s="2">
        <v>0.01</v>
      </c>
      <c r="G19" s="2">
        <v>0.02</v>
      </c>
      <c r="H19" s="2">
        <v>7.0000000000000007E-2</v>
      </c>
      <c r="I19" s="93">
        <v>0</v>
      </c>
      <c r="J19" s="102">
        <f t="shared" si="2"/>
        <v>0.1</v>
      </c>
      <c r="M19" s="1"/>
      <c r="N19" s="30"/>
    </row>
    <row r="20" spans="2:26" ht="15.75" thickBot="1" x14ac:dyDescent="0.3">
      <c r="C20" s="138"/>
      <c r="D20" s="98">
        <v>4</v>
      </c>
      <c r="E20" s="66">
        <v>0</v>
      </c>
      <c r="F20" s="91">
        <v>0</v>
      </c>
      <c r="G20" s="91">
        <v>2.5000000000000001E-3</v>
      </c>
      <c r="H20" s="91">
        <v>1.4999999999999999E-2</v>
      </c>
      <c r="I20" s="94">
        <v>3.2500000000000001E-2</v>
      </c>
      <c r="J20" s="104">
        <f t="shared" si="2"/>
        <v>0.05</v>
      </c>
      <c r="M20" s="1"/>
      <c r="N20" s="30"/>
    </row>
    <row r="21" spans="2:26" ht="15.75" thickBot="1" x14ac:dyDescent="0.3">
      <c r="C21" s="139"/>
      <c r="D21" s="140"/>
      <c r="E21" s="105">
        <f>SUM(E16:E20)</f>
        <v>0.3</v>
      </c>
      <c r="F21" s="106">
        <f t="shared" ref="F21" si="3">SUM(F16:F20)</f>
        <v>0.4</v>
      </c>
      <c r="G21" s="106">
        <f t="shared" ref="G21" si="4">SUM(G16:G20)</f>
        <v>0.1825</v>
      </c>
      <c r="H21" s="107">
        <f t="shared" ref="H21" si="5">SUM(H16:H20)</f>
        <v>8.5000000000000006E-2</v>
      </c>
      <c r="I21" s="108">
        <f t="shared" ref="I21" si="6">SUM(I16:I20)</f>
        <v>3.2500000000000001E-2</v>
      </c>
      <c r="J21" s="109">
        <f>SUM(J16:J20)</f>
        <v>0.99999999999999989</v>
      </c>
      <c r="M21" s="1"/>
      <c r="N21" s="30"/>
    </row>
    <row r="22" spans="2:26" x14ac:dyDescent="0.25">
      <c r="M22" s="1"/>
      <c r="N22" s="30"/>
    </row>
    <row r="23" spans="2:26" x14ac:dyDescent="0.25">
      <c r="M23" s="1"/>
      <c r="N23" s="30"/>
    </row>
    <row r="24" spans="2:26" x14ac:dyDescent="0.25">
      <c r="M24" s="1"/>
      <c r="N24" s="30"/>
    </row>
    <row r="25" spans="2:26" x14ac:dyDescent="0.25">
      <c r="M25" s="1"/>
      <c r="N25" s="30"/>
    </row>
    <row r="26" spans="2:26" x14ac:dyDescent="0.25"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1"/>
      <c r="N26" s="30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spans="2:26" x14ac:dyDescent="0.25">
      <c r="B27" s="86"/>
      <c r="C27" s="86"/>
      <c r="D27" s="86"/>
      <c r="E27" s="86"/>
      <c r="F27" s="86"/>
      <c r="G27" s="33"/>
      <c r="H27" s="33"/>
      <c r="I27" s="33"/>
      <c r="J27" s="33"/>
      <c r="K27" s="33"/>
      <c r="L27" s="33"/>
      <c r="M27" s="1"/>
      <c r="N27" s="30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2:26" x14ac:dyDescent="0.25">
      <c r="M28" s="1"/>
      <c r="N28" s="30"/>
    </row>
  </sheetData>
  <mergeCells count="12">
    <mergeCell ref="E1:I1"/>
    <mergeCell ref="E12:I12"/>
    <mergeCell ref="E3:I3"/>
    <mergeCell ref="C5:C9"/>
    <mergeCell ref="C3:D4"/>
    <mergeCell ref="J3:J4"/>
    <mergeCell ref="C10:D10"/>
    <mergeCell ref="C14:D15"/>
    <mergeCell ref="E14:I14"/>
    <mergeCell ref="J14:J15"/>
    <mergeCell ref="C16:C20"/>
    <mergeCell ref="C21:D21"/>
  </mergeCells>
  <pageMargins left="0.7" right="0.7" top="0.75" bottom="0.75" header="0.3" footer="0.3"/>
  <ignoredErrors>
    <ignoredError sqref="J5:J9 E10:I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8"/>
  <sheetViews>
    <sheetView zoomScale="86" zoomScaleNormal="86" workbookViewId="0">
      <selection activeCell="K18" sqref="K18"/>
    </sheetView>
  </sheetViews>
  <sheetFormatPr baseColWidth="10" defaultRowHeight="15" x14ac:dyDescent="0.25"/>
  <cols>
    <col min="1" max="1" width="13.7109375" customWidth="1"/>
    <col min="10" max="10" width="11.5703125" bestFit="1" customWidth="1"/>
    <col min="11" max="11" width="14.28515625" bestFit="1" customWidth="1"/>
  </cols>
  <sheetData>
    <row r="2" spans="1:18" x14ac:dyDescent="0.25">
      <c r="D2" s="144" t="s">
        <v>103</v>
      </c>
      <c r="E2" s="144"/>
      <c r="F2" s="144"/>
      <c r="G2" s="144"/>
      <c r="H2" s="144"/>
      <c r="I2" s="144"/>
      <c r="J2" s="144"/>
      <c r="K2" s="144"/>
      <c r="L2" s="144"/>
    </row>
    <row r="3" spans="1:18" x14ac:dyDescent="0.25"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</row>
    <row r="4" spans="1:18" x14ac:dyDescent="0.25">
      <c r="A4" s="2"/>
      <c r="B4" s="110">
        <v>1</v>
      </c>
      <c r="C4" s="110">
        <v>2</v>
      </c>
      <c r="D4" s="110">
        <v>3</v>
      </c>
      <c r="E4" s="110">
        <v>4</v>
      </c>
      <c r="F4" s="110">
        <v>5</v>
      </c>
      <c r="G4" s="110">
        <v>6</v>
      </c>
      <c r="H4" s="110">
        <v>7</v>
      </c>
      <c r="I4" s="110">
        <v>8</v>
      </c>
      <c r="J4" s="110">
        <v>9</v>
      </c>
      <c r="K4" s="110">
        <v>10</v>
      </c>
      <c r="L4" s="110">
        <v>11</v>
      </c>
      <c r="M4" s="110">
        <v>12</v>
      </c>
      <c r="N4" s="110">
        <v>13</v>
      </c>
      <c r="O4" s="110">
        <v>14</v>
      </c>
      <c r="P4" s="110">
        <v>15</v>
      </c>
      <c r="Q4" s="110" t="s">
        <v>104</v>
      </c>
      <c r="R4" s="110" t="s">
        <v>105</v>
      </c>
    </row>
    <row r="5" spans="1:18" x14ac:dyDescent="0.25">
      <c r="A5" s="2" t="s">
        <v>97</v>
      </c>
      <c r="B5" s="2">
        <v>1750</v>
      </c>
      <c r="C5" s="2">
        <v>1700</v>
      </c>
      <c r="D5" s="2">
        <v>1550</v>
      </c>
      <c r="E5" s="2">
        <v>1350</v>
      </c>
      <c r="F5" s="2">
        <v>1450</v>
      </c>
      <c r="G5" s="2">
        <v>1700</v>
      </c>
      <c r="H5" s="2">
        <v>1350</v>
      </c>
      <c r="I5" s="2">
        <v>1550</v>
      </c>
      <c r="J5" s="2">
        <v>1550</v>
      </c>
      <c r="K5" s="2">
        <v>1140</v>
      </c>
      <c r="L5" s="2">
        <v>1250</v>
      </c>
      <c r="M5" s="2">
        <v>1600</v>
      </c>
      <c r="N5" s="2">
        <v>1300</v>
      </c>
      <c r="O5" s="2">
        <v>1700</v>
      </c>
      <c r="P5" s="2">
        <v>1600</v>
      </c>
      <c r="Q5" s="2">
        <f>MIN(B5:P5)</f>
        <v>1140</v>
      </c>
      <c r="R5" s="2">
        <f>MAX(C5:P5)</f>
        <v>1700</v>
      </c>
    </row>
    <row r="6" spans="1:18" x14ac:dyDescent="0.25">
      <c r="A6" s="2" t="s">
        <v>98</v>
      </c>
      <c r="B6" s="2">
        <v>1950</v>
      </c>
      <c r="C6" s="2">
        <v>1750</v>
      </c>
      <c r="D6" s="2">
        <v>1800</v>
      </c>
      <c r="E6" s="2">
        <v>1750</v>
      </c>
      <c r="F6" s="2">
        <v>1840</v>
      </c>
      <c r="G6" s="2">
        <v>2125</v>
      </c>
      <c r="H6" s="2">
        <v>1725</v>
      </c>
      <c r="I6" s="2">
        <v>1850</v>
      </c>
      <c r="J6" s="2">
        <v>2050</v>
      </c>
      <c r="K6" s="2">
        <v>1600</v>
      </c>
      <c r="L6" s="2">
        <v>1650</v>
      </c>
      <c r="M6" s="2">
        <v>2000</v>
      </c>
      <c r="N6" s="2">
        <v>1700</v>
      </c>
      <c r="O6" s="2">
        <v>1925</v>
      </c>
      <c r="P6" s="2">
        <v>2100</v>
      </c>
      <c r="Q6" s="2">
        <f>MIN(B6:P6)</f>
        <v>1600</v>
      </c>
      <c r="R6" s="2">
        <f t="shared" ref="R6:R7" si="0">MAX(C6:P6)</f>
        <v>2125</v>
      </c>
    </row>
    <row r="7" spans="1:18" x14ac:dyDescent="0.25">
      <c r="A7" s="2" t="s">
        <v>99</v>
      </c>
      <c r="B7" s="2">
        <v>2125</v>
      </c>
      <c r="C7" s="2">
        <v>1950</v>
      </c>
      <c r="D7" s="2">
        <v>2050</v>
      </c>
      <c r="E7" s="2">
        <v>2000</v>
      </c>
      <c r="F7" s="2">
        <v>2050</v>
      </c>
      <c r="G7" s="2">
        <v>2250</v>
      </c>
      <c r="H7" s="2">
        <v>2000</v>
      </c>
      <c r="I7" s="2">
        <v>2100</v>
      </c>
      <c r="J7" s="2">
        <v>2200</v>
      </c>
      <c r="K7" s="2">
        <v>1850</v>
      </c>
      <c r="L7" s="2">
        <v>1925</v>
      </c>
      <c r="M7" s="2">
        <v>2200</v>
      </c>
      <c r="N7" s="2">
        <v>1950</v>
      </c>
      <c r="O7" s="2">
        <v>2100</v>
      </c>
      <c r="P7" s="2">
        <v>2250</v>
      </c>
      <c r="Q7" s="2">
        <f>MIN(B7:P7)</f>
        <v>1850</v>
      </c>
      <c r="R7" s="2">
        <f t="shared" si="0"/>
        <v>2250</v>
      </c>
    </row>
    <row r="9" spans="1:18" x14ac:dyDescent="0.25">
      <c r="A9" s="117" t="s">
        <v>100</v>
      </c>
      <c r="B9" s="117"/>
      <c r="C9" s="117"/>
      <c r="D9" s="117"/>
      <c r="E9" s="117"/>
      <c r="F9" s="117"/>
      <c r="G9" s="117"/>
    </row>
    <row r="10" spans="1:18" x14ac:dyDescent="0.25">
      <c r="A10" s="117" t="s">
        <v>101</v>
      </c>
      <c r="B10" s="117"/>
      <c r="C10" s="117"/>
      <c r="D10" s="117"/>
      <c r="E10" s="117"/>
      <c r="F10" s="117"/>
      <c r="G10" s="117"/>
    </row>
    <row r="11" spans="1:18" x14ac:dyDescent="0.25">
      <c r="A11" s="143" t="s">
        <v>102</v>
      </c>
      <c r="B11" s="143"/>
      <c r="C11" s="143"/>
      <c r="D11" s="143"/>
      <c r="E11" s="143"/>
      <c r="F11" s="143"/>
      <c r="G11" s="143"/>
    </row>
    <row r="13" spans="1:18" x14ac:dyDescent="0.25">
      <c r="A13" s="2">
        <f>CORREL(B6:R6,B7:R7)</f>
        <v>0.98639418099104048</v>
      </c>
      <c r="B13" s="88" t="s">
        <v>106</v>
      </c>
    </row>
    <row r="14" spans="1:18" x14ac:dyDescent="0.25">
      <c r="A14" s="2">
        <f>CORREL(B5:P5,B7:P7)</f>
        <v>0.71797869072609533</v>
      </c>
      <c r="B14" s="88" t="s">
        <v>107</v>
      </c>
    </row>
    <row r="15" spans="1:18" x14ac:dyDescent="0.25">
      <c r="A15" s="114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33"/>
    </row>
    <row r="16" spans="1:18" x14ac:dyDescent="0.25">
      <c r="A16" s="114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86"/>
    </row>
    <row r="17" spans="1:17" x14ac:dyDescent="0.25">
      <c r="A17" s="113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</row>
    <row r="18" spans="1:17" x14ac:dyDescent="0.25">
      <c r="A18" s="112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86"/>
    </row>
  </sheetData>
  <mergeCells count="4">
    <mergeCell ref="A9:G9"/>
    <mergeCell ref="A10:G10"/>
    <mergeCell ref="A11:G11"/>
    <mergeCell ref="D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opLeftCell="C1" workbookViewId="0">
      <selection activeCell="L19" sqref="L19"/>
    </sheetView>
  </sheetViews>
  <sheetFormatPr baseColWidth="10" defaultRowHeight="15" x14ac:dyDescent="0.25"/>
  <cols>
    <col min="9" max="9" width="11.5703125" customWidth="1"/>
  </cols>
  <sheetData>
    <row r="2" spans="2:10" x14ac:dyDescent="0.25">
      <c r="B2" s="145" t="s">
        <v>108</v>
      </c>
      <c r="C2" s="145" t="s">
        <v>109</v>
      </c>
      <c r="D2" s="145"/>
      <c r="E2" s="144" t="s">
        <v>112</v>
      </c>
      <c r="F2" s="144" t="s">
        <v>16</v>
      </c>
      <c r="G2" s="144" t="s">
        <v>17</v>
      </c>
      <c r="H2" s="144" t="s">
        <v>20</v>
      </c>
      <c r="I2" s="144" t="s">
        <v>21</v>
      </c>
      <c r="J2" s="145" t="s">
        <v>22</v>
      </c>
    </row>
    <row r="3" spans="2:10" x14ac:dyDescent="0.25">
      <c r="B3" s="145"/>
      <c r="C3" s="115" t="s">
        <v>110</v>
      </c>
      <c r="D3" s="115" t="s">
        <v>111</v>
      </c>
      <c r="E3" s="144"/>
      <c r="F3" s="144"/>
      <c r="G3" s="144"/>
      <c r="H3" s="144"/>
      <c r="I3" s="144"/>
      <c r="J3" s="145"/>
    </row>
    <row r="4" spans="2:10" x14ac:dyDescent="0.25">
      <c r="B4" s="36">
        <v>1</v>
      </c>
      <c r="C4" s="36">
        <v>16.5</v>
      </c>
      <c r="D4" s="36">
        <v>17.5</v>
      </c>
      <c r="E4" s="36">
        <v>17</v>
      </c>
      <c r="F4" s="2">
        <v>2</v>
      </c>
      <c r="G4" s="37">
        <f>F4/$F$11</f>
        <v>3.7735849056603772E-2</v>
      </c>
      <c r="H4" s="2">
        <f>SUM($F$4:F4)</f>
        <v>2</v>
      </c>
      <c r="I4" s="84">
        <f>H4/$F$11</f>
        <v>3.7735849056603772E-2</v>
      </c>
      <c r="J4" s="85">
        <f>I4</f>
        <v>3.7735849056603772E-2</v>
      </c>
    </row>
    <row r="5" spans="2:10" x14ac:dyDescent="0.25">
      <c r="B5" s="36">
        <v>2</v>
      </c>
      <c r="C5" s="36">
        <v>17.5</v>
      </c>
      <c r="D5" s="36">
        <v>18.5</v>
      </c>
      <c r="E5" s="36">
        <v>18</v>
      </c>
      <c r="F5" s="2">
        <v>6</v>
      </c>
      <c r="G5" s="37">
        <f t="shared" ref="G5:G10" si="0">F5/$F$11</f>
        <v>0.11320754716981132</v>
      </c>
      <c r="H5" s="2">
        <f>SUM($F$4:F5)</f>
        <v>8</v>
      </c>
      <c r="I5" s="84">
        <f t="shared" ref="I5:I10" si="1">H5/$F$11</f>
        <v>0.15094339622641509</v>
      </c>
      <c r="J5" s="85">
        <f t="shared" ref="J5:J10" si="2">I5</f>
        <v>0.15094339622641509</v>
      </c>
    </row>
    <row r="6" spans="2:10" x14ac:dyDescent="0.25">
      <c r="B6" s="36">
        <v>3</v>
      </c>
      <c r="C6" s="36">
        <v>18.5</v>
      </c>
      <c r="D6" s="36">
        <v>19.5</v>
      </c>
      <c r="E6" s="36">
        <v>19</v>
      </c>
      <c r="F6" s="2">
        <v>12</v>
      </c>
      <c r="G6" s="37">
        <f t="shared" si="0"/>
        <v>0.22641509433962265</v>
      </c>
      <c r="H6" s="2">
        <f>SUM($F$4:F6)</f>
        <v>20</v>
      </c>
      <c r="I6" s="84">
        <f t="shared" si="1"/>
        <v>0.37735849056603776</v>
      </c>
      <c r="J6" s="85">
        <f t="shared" si="2"/>
        <v>0.37735849056603776</v>
      </c>
    </row>
    <row r="7" spans="2:10" x14ac:dyDescent="0.25">
      <c r="B7" s="36">
        <v>4</v>
      </c>
      <c r="C7" s="36">
        <v>19.5</v>
      </c>
      <c r="D7" s="36">
        <v>20.5</v>
      </c>
      <c r="E7" s="36">
        <v>20</v>
      </c>
      <c r="F7" s="2">
        <v>19</v>
      </c>
      <c r="G7" s="37">
        <f t="shared" si="0"/>
        <v>0.35849056603773582</v>
      </c>
      <c r="H7" s="2">
        <f>SUM($F$4:F7)</f>
        <v>39</v>
      </c>
      <c r="I7" s="84">
        <f t="shared" si="1"/>
        <v>0.73584905660377353</v>
      </c>
      <c r="J7" s="85">
        <f t="shared" si="2"/>
        <v>0.73584905660377353</v>
      </c>
    </row>
    <row r="8" spans="2:10" x14ac:dyDescent="0.25">
      <c r="B8" s="36">
        <v>5</v>
      </c>
      <c r="C8" s="36">
        <v>20.5</v>
      </c>
      <c r="D8" s="36">
        <v>21.5</v>
      </c>
      <c r="E8" s="36">
        <v>21</v>
      </c>
      <c r="F8" s="2">
        <v>9</v>
      </c>
      <c r="G8" s="37">
        <f t="shared" si="0"/>
        <v>0.16981132075471697</v>
      </c>
      <c r="H8" s="2">
        <f>SUM($F$4:F8)</f>
        <v>48</v>
      </c>
      <c r="I8" s="84">
        <f t="shared" si="1"/>
        <v>0.90566037735849059</v>
      </c>
      <c r="J8" s="85">
        <f t="shared" si="2"/>
        <v>0.90566037735849059</v>
      </c>
    </row>
    <row r="9" spans="2:10" x14ac:dyDescent="0.25">
      <c r="B9" s="36">
        <v>6</v>
      </c>
      <c r="C9" s="36">
        <v>21.5</v>
      </c>
      <c r="D9" s="36">
        <v>22.5</v>
      </c>
      <c r="E9" s="36">
        <v>22</v>
      </c>
      <c r="F9" s="2">
        <v>4</v>
      </c>
      <c r="G9" s="37">
        <f t="shared" si="0"/>
        <v>7.5471698113207544E-2</v>
      </c>
      <c r="H9" s="2">
        <f>SUM($F$4:F9)</f>
        <v>52</v>
      </c>
      <c r="I9" s="84">
        <f t="shared" si="1"/>
        <v>0.98113207547169812</v>
      </c>
      <c r="J9" s="85">
        <f t="shared" si="2"/>
        <v>0.98113207547169812</v>
      </c>
    </row>
    <row r="10" spans="2:10" x14ac:dyDescent="0.25">
      <c r="B10" s="36">
        <v>7</v>
      </c>
      <c r="C10" s="36">
        <v>22.5</v>
      </c>
      <c r="D10" s="36">
        <v>23.5</v>
      </c>
      <c r="E10" s="36">
        <v>23</v>
      </c>
      <c r="F10" s="2">
        <v>1</v>
      </c>
      <c r="G10" s="37">
        <f t="shared" si="0"/>
        <v>1.8867924528301886E-2</v>
      </c>
      <c r="H10" s="2">
        <f>SUM($F$4:F10)</f>
        <v>53</v>
      </c>
      <c r="I10" s="84">
        <f t="shared" si="1"/>
        <v>1</v>
      </c>
      <c r="J10" s="85">
        <f t="shared" si="2"/>
        <v>1</v>
      </c>
    </row>
    <row r="11" spans="2:10" x14ac:dyDescent="0.25">
      <c r="F11" s="36">
        <f>SUM(F4:F10)</f>
        <v>53</v>
      </c>
    </row>
  </sheetData>
  <mergeCells count="8">
    <mergeCell ref="I2:I3"/>
    <mergeCell ref="J2:J3"/>
    <mergeCell ref="B2:B3"/>
    <mergeCell ref="C2:D2"/>
    <mergeCell ref="E2:E3"/>
    <mergeCell ref="F2:F3"/>
    <mergeCell ref="G2:G3"/>
    <mergeCell ref="H2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Gráficos</vt:lpstr>
      </vt:variant>
      <vt:variant>
        <vt:i4>11</vt:i4>
      </vt:variant>
    </vt:vector>
  </HeadingPairs>
  <TitlesOfParts>
    <vt:vector size="20" baseType="lpstr">
      <vt:lpstr>Ejercicio 1.1</vt:lpstr>
      <vt:lpstr>Gráfico 1.2-1</vt:lpstr>
      <vt:lpstr>Ej 1.2-datos individuales</vt:lpstr>
      <vt:lpstr>Ej1.2-Datos agrupados</vt:lpstr>
      <vt:lpstr>Ej 1.3</vt:lpstr>
      <vt:lpstr>Ej. 1.4</vt:lpstr>
      <vt:lpstr>Ej.1.5</vt:lpstr>
      <vt:lpstr>Ej1.8</vt:lpstr>
      <vt:lpstr>Hoja6</vt:lpstr>
      <vt:lpstr>Gráfico 1.1-1</vt:lpstr>
      <vt:lpstr>Gráfico1.1-2</vt:lpstr>
      <vt:lpstr>Ej1.2-Histograma</vt:lpstr>
      <vt:lpstr>Ej1.2-Ojiva</vt:lpstr>
      <vt:lpstr>ej1.3-diagrama de dispersión</vt:lpstr>
      <vt:lpstr>Ej1.4-dmr-obser</vt:lpstr>
      <vt:lpstr>Ej1.4-dmr-cont</vt:lpstr>
      <vt:lpstr>Ej1.4-dc</vt:lpstr>
      <vt:lpstr>ej1.5-Z-Y</vt:lpstr>
      <vt:lpstr>ej1.5-Z-X</vt:lpstr>
      <vt:lpstr>ej1.8-ojiva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2021-08-14T16:36:12Z</dcterms:created>
  <dcterms:modified xsi:type="dcterms:W3CDTF">2021-09-15T23:21:28Z</dcterms:modified>
</cp:coreProperties>
</file>