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baca\sciebo\literature review\multivariate_analysis\root_hydraulics_database\Data\"/>
    </mc:Choice>
  </mc:AlternateContent>
  <xr:revisionPtr revIDLastSave="0" documentId="13_ncr:1_{E7F84A08-1BDA-4F4A-934C-0D72D8EDD49D}" xr6:coauthVersionLast="47" xr6:coauthVersionMax="47" xr10:uidLastSave="{00000000-0000-0000-0000-000000000000}"/>
  <bookViews>
    <workbookView xWindow="-120" yWindow="-120" windowWidth="29040" windowHeight="17640" xr2:uid="{DEE2E340-745D-4F66-A0BD-3ECCCD70ADA3}"/>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s>
  <definedNames>
    <definedName name="_xlnm._FilterDatabase" localSheetId="0" hidden="1">Sheet1!$A$1:$AJ$1068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0" i="1" l="1"/>
  <c r="W59" i="1"/>
  <c r="W58" i="1"/>
  <c r="W57" i="1"/>
  <c r="W770" i="1"/>
  <c r="W769" i="1"/>
  <c r="N989" i="1"/>
  <c r="N988" i="1"/>
  <c r="N987" i="1"/>
  <c r="N986" i="1"/>
  <c r="N985" i="1"/>
  <c r="N984" i="1"/>
  <c r="N913" i="1"/>
  <c r="N912" i="1"/>
  <c r="N911" i="1"/>
  <c r="N910" i="1"/>
  <c r="N909" i="1"/>
  <c r="N908" i="1"/>
  <c r="N907" i="1"/>
  <c r="N906" i="1"/>
  <c r="N905" i="1"/>
  <c r="N904" i="1"/>
  <c r="N903" i="1"/>
  <c r="N902" i="1"/>
  <c r="N610" i="1"/>
  <c r="N609" i="1"/>
  <c r="N608" i="1"/>
  <c r="N607" i="1"/>
  <c r="N538" i="1"/>
  <c r="N537" i="1"/>
  <c r="N536" i="1"/>
  <c r="N535" i="1"/>
  <c r="N534" i="1"/>
  <c r="N533" i="1"/>
  <c r="N500" i="1"/>
  <c r="N499" i="1"/>
  <c r="N498" i="1"/>
  <c r="N497" i="1"/>
  <c r="N496" i="1"/>
  <c r="N495" i="1"/>
  <c r="N485" i="1"/>
  <c r="N484" i="1"/>
  <c r="N483" i="1"/>
  <c r="N482" i="1"/>
  <c r="N481" i="1"/>
  <c r="N480" i="1"/>
  <c r="N479" i="1"/>
  <c r="N478" i="1"/>
  <c r="N477" i="1"/>
  <c r="N476" i="1"/>
  <c r="N475" i="1"/>
  <c r="N474" i="1"/>
  <c r="N467" i="1"/>
  <c r="N466" i="1"/>
  <c r="N465" i="1"/>
  <c r="N464" i="1"/>
  <c r="N463" i="1"/>
  <c r="N462" i="1"/>
  <c r="N461" i="1"/>
  <c r="N460" i="1"/>
  <c r="N459" i="1"/>
  <c r="N458" i="1"/>
  <c r="N457" i="1"/>
  <c r="N456" i="1"/>
  <c r="N455" i="1"/>
  <c r="N454" i="1"/>
  <c r="N453" i="1"/>
  <c r="N452" i="1"/>
  <c r="N412" i="1"/>
  <c r="N411" i="1"/>
  <c r="N410" i="1"/>
  <c r="N409" i="1"/>
  <c r="N408" i="1"/>
  <c r="N407" i="1"/>
  <c r="N406" i="1"/>
  <c r="N405" i="1"/>
  <c r="N404" i="1"/>
  <c r="N403" i="1"/>
  <c r="N402" i="1"/>
  <c r="N401" i="1"/>
  <c r="N400" i="1"/>
  <c r="N399" i="1"/>
  <c r="N398" i="1"/>
  <c r="N397" i="1"/>
  <c r="N396" i="1"/>
  <c r="N395" i="1"/>
  <c r="N394" i="1"/>
  <c r="N393" i="1"/>
  <c r="N269" i="1"/>
  <c r="N268" i="1"/>
  <c r="N267" i="1"/>
  <c r="N266" i="1"/>
  <c r="N265" i="1"/>
  <c r="N264" i="1"/>
  <c r="N263" i="1"/>
  <c r="N262" i="1"/>
  <c r="N261" i="1"/>
  <c r="N260" i="1"/>
  <c r="N259" i="1"/>
  <c r="N258" i="1"/>
  <c r="N257" i="1"/>
  <c r="N256" i="1"/>
  <c r="N255" i="1"/>
  <c r="N254" i="1"/>
  <c r="N208" i="1"/>
  <c r="N207" i="1"/>
  <c r="N206" i="1"/>
  <c r="N205" i="1"/>
  <c r="N204" i="1"/>
  <c r="N203" i="1"/>
  <c r="N202" i="1"/>
  <c r="N201" i="1"/>
  <c r="N200" i="1"/>
  <c r="N199" i="1"/>
  <c r="N198" i="1"/>
  <c r="N197" i="1"/>
  <c r="N196" i="1"/>
  <c r="N195" i="1"/>
  <c r="N194" i="1"/>
  <c r="N193" i="1"/>
  <c r="N192" i="1"/>
  <c r="N191" i="1"/>
  <c r="N190" i="1"/>
  <c r="N189" i="1"/>
  <c r="N188" i="1"/>
  <c r="N187" i="1"/>
  <c r="N186" i="1"/>
  <c r="N185" i="1"/>
  <c r="N131" i="1"/>
  <c r="N130" i="1"/>
  <c r="N129" i="1"/>
  <c r="N128" i="1"/>
  <c r="N127" i="1"/>
  <c r="N126" i="1"/>
  <c r="N125" i="1"/>
  <c r="N124" i="1"/>
  <c r="N123" i="1"/>
  <c r="N122" i="1"/>
  <c r="N121" i="1"/>
  <c r="N120" i="1"/>
  <c r="N56" i="1"/>
  <c r="N55" i="1"/>
  <c r="N54" i="1"/>
  <c r="N53" i="1"/>
  <c r="N52" i="1"/>
  <c r="N51" i="1"/>
  <c r="N24" i="1"/>
  <c r="N23" i="1"/>
  <c r="N22" i="1"/>
  <c r="N21" i="1"/>
  <c r="L3" i="1" l="1"/>
  <c r="L4" i="1"/>
  <c r="L5" i="1"/>
  <c r="L6" i="1"/>
  <c r="L7" i="1"/>
  <c r="L8" i="1"/>
  <c r="L9" i="1"/>
  <c r="L10" i="1"/>
  <c r="L11" i="1"/>
  <c r="L12" i="1"/>
  <c r="L13" i="1"/>
  <c r="L14" i="1"/>
  <c r="L15" i="1"/>
  <c r="L16" i="1"/>
  <c r="L17" i="1"/>
  <c r="L18" i="1"/>
  <c r="L19" i="1"/>
  <c r="L20" i="1"/>
  <c r="L21" i="1"/>
  <c r="L22" i="1"/>
  <c r="L23" i="1"/>
  <c r="L24" i="1"/>
  <c r="L25" i="1"/>
  <c r="L26" i="1"/>
  <c r="L27" i="1"/>
  <c r="L28"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20" i="1"/>
  <c r="L121" i="1"/>
  <c r="L122" i="1"/>
  <c r="L123" i="1"/>
  <c r="L124" i="1"/>
  <c r="L125" i="1"/>
  <c r="L126" i="1"/>
  <c r="L127" i="1"/>
  <c r="L128" i="1"/>
  <c r="L129" i="1"/>
  <c r="L130" i="1"/>
  <c r="L131" i="1"/>
  <c r="L134" i="1"/>
  <c r="L135" i="1"/>
  <c r="L136" i="1"/>
  <c r="L137" i="1"/>
  <c r="L138" i="1"/>
  <c r="L139" i="1"/>
  <c r="L140" i="1"/>
  <c r="L141" i="1"/>
  <c r="L142" i="1"/>
  <c r="L143" i="1"/>
  <c r="L144" i="1"/>
  <c r="L145" i="1"/>
  <c r="L146" i="1"/>
  <c r="L147" i="1"/>
  <c r="L148" i="1"/>
  <c r="L149"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61" i="1"/>
  <c r="L362" i="1"/>
  <c r="L363" i="1"/>
  <c r="L364" i="1"/>
  <c r="L365" i="1"/>
  <c r="L366" i="1"/>
  <c r="L368" i="1"/>
  <c r="L369" i="1"/>
  <c r="L370" i="1"/>
  <c r="L371" i="1"/>
  <c r="L372" i="1"/>
  <c r="L373" i="1"/>
  <c r="L374" i="1"/>
  <c r="L375" i="1"/>
  <c r="L376" i="1"/>
  <c r="L377" i="1"/>
  <c r="L378" i="1"/>
  <c r="L379" i="1"/>
  <c r="L380" i="1"/>
  <c r="L381" i="1"/>
  <c r="L382"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31" i="1"/>
  <c r="L432" i="1"/>
  <c r="L433" i="1"/>
  <c r="L434" i="1"/>
  <c r="L435" i="1"/>
  <c r="L436" i="1"/>
  <c r="L437" i="1"/>
  <c r="L438" i="1"/>
  <c r="L439" i="1"/>
  <c r="L440" i="1"/>
  <c r="L441" i="1"/>
  <c r="L442"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27" i="1"/>
  <c r="L528" i="1"/>
  <c r="L529" i="1"/>
  <c r="L530" i="1"/>
  <c r="L531" i="1"/>
  <c r="L532" i="1"/>
  <c r="L533" i="1"/>
  <c r="L534" i="1"/>
  <c r="L535" i="1"/>
  <c r="L536" i="1"/>
  <c r="L537" i="1"/>
  <c r="L538" i="1"/>
  <c r="L539"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42" i="1"/>
  <c r="L643" i="1"/>
  <c r="L644" i="1"/>
  <c r="L645" i="1"/>
  <c r="L646" i="1"/>
  <c r="L647" i="1"/>
  <c r="L648" i="1"/>
  <c r="L649" i="1"/>
  <c r="L650"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701" i="1"/>
  <c r="L702" i="1"/>
  <c r="L703" i="1"/>
  <c r="L704" i="1"/>
  <c r="L705" i="1"/>
  <c r="L706" i="1"/>
  <c r="L718" i="1"/>
  <c r="L719" i="1"/>
  <c r="L720" i="1"/>
  <c r="L721" i="1"/>
  <c r="L722" i="1"/>
  <c r="L723" i="1"/>
  <c r="L724" i="1"/>
  <c r="L725" i="1"/>
  <c r="L726" i="1"/>
  <c r="L727" i="1"/>
  <c r="L755" i="1"/>
  <c r="L756" i="1"/>
  <c r="L757" i="1"/>
  <c r="L758" i="1"/>
  <c r="L760" i="1"/>
  <c r="L761" i="1"/>
  <c r="L764" i="1"/>
  <c r="L765" i="1"/>
  <c r="L767" i="1"/>
  <c r="L768" i="1"/>
  <c r="L769" i="1"/>
  <c r="L770" i="1"/>
  <c r="L782" i="1"/>
  <c r="L783" i="1"/>
  <c r="L784" i="1"/>
  <c r="L785" i="1"/>
  <c r="L786" i="1"/>
  <c r="L787" i="1"/>
  <c r="L788" i="1"/>
  <c r="L789" i="1"/>
  <c r="L790" i="1"/>
  <c r="L791" i="1"/>
  <c r="L792" i="1"/>
  <c r="L793" i="1"/>
  <c r="L794" i="1"/>
  <c r="L795" i="1"/>
  <c r="L796" i="1"/>
  <c r="L797" i="1"/>
  <c r="L798" i="1"/>
  <c r="L799" i="1"/>
  <c r="L800" i="1"/>
  <c r="L801" i="1"/>
  <c r="L851" i="1"/>
  <c r="L852" i="1"/>
  <c r="L853" i="1"/>
  <c r="L854" i="1"/>
  <c r="L855" i="1"/>
  <c r="L856" i="1"/>
  <c r="L857" i="1"/>
  <c r="L858" i="1"/>
  <c r="L869" i="1"/>
  <c r="L870" i="1"/>
  <c r="L871" i="1"/>
  <c r="L872" i="1"/>
  <c r="L873" i="1"/>
  <c r="L874" i="1"/>
  <c r="L875" i="1"/>
  <c r="L876" i="1"/>
  <c r="L877" i="1"/>
  <c r="L878" i="1"/>
  <c r="L879" i="1"/>
  <c r="L880" i="1"/>
  <c r="L881" i="1"/>
  <c r="L882" i="1"/>
  <c r="L883" i="1"/>
  <c r="L884" i="1"/>
  <c r="L885" i="1"/>
  <c r="L886" i="1"/>
  <c r="L887" i="1"/>
  <c r="L888" i="1"/>
  <c r="L892" i="1"/>
  <c r="L893" i="1"/>
  <c r="L896" i="1"/>
  <c r="L897" i="1"/>
  <c r="L898" i="1"/>
  <c r="L899" i="1"/>
  <c r="L900" i="1"/>
  <c r="L901" i="1"/>
  <c r="L902" i="1"/>
  <c r="L903" i="1"/>
  <c r="L904" i="1"/>
  <c r="L905" i="1"/>
  <c r="L906" i="1"/>
  <c r="L907" i="1"/>
  <c r="L908" i="1"/>
  <c r="L909" i="1"/>
  <c r="L910" i="1"/>
  <c r="L911" i="1"/>
  <c r="L912" i="1"/>
  <c r="L913" i="1"/>
  <c r="L914" i="1"/>
  <c r="L915" i="1"/>
  <c r="L916" i="1"/>
  <c r="L917" i="1"/>
  <c r="L918" i="1"/>
  <c r="L925" i="1"/>
  <c r="L926" i="1"/>
  <c r="L927" i="1"/>
  <c r="L928" i="1"/>
  <c r="L929" i="1"/>
  <c r="L930" i="1"/>
  <c r="L941" i="1"/>
  <c r="L942" i="1"/>
  <c r="L943" i="1"/>
  <c r="L944" i="1"/>
  <c r="L945" i="1"/>
  <c r="L946" i="1"/>
  <c r="L947" i="1"/>
  <c r="L948" i="1"/>
  <c r="L949" i="1"/>
  <c r="L950" i="1"/>
  <c r="L951" i="1"/>
  <c r="L952" i="1"/>
  <c r="L953" i="1"/>
  <c r="L954" i="1"/>
  <c r="L955" i="1"/>
  <c r="L956" i="1"/>
  <c r="L965" i="1"/>
  <c r="L966" i="1"/>
  <c r="L967" i="1"/>
  <c r="L968" i="1"/>
  <c r="L969" i="1"/>
  <c r="L970" i="1"/>
  <c r="L971" i="1"/>
  <c r="L972" i="1"/>
  <c r="L973" i="1"/>
  <c r="L974" i="1"/>
  <c r="L984" i="1"/>
  <c r="L985" i="1"/>
  <c r="L986" i="1"/>
  <c r="L987" i="1"/>
  <c r="L988" i="1"/>
  <c r="L989" i="1"/>
  <c r="L990" i="1"/>
  <c r="L991" i="1"/>
  <c r="L992" i="1"/>
  <c r="L993" i="1"/>
  <c r="L994" i="1"/>
  <c r="L995" i="1"/>
  <c r="L1002" i="1"/>
  <c r="L1003" i="1"/>
  <c r="L1004" i="1"/>
  <c r="L1005" i="1"/>
  <c r="L1006" i="1"/>
  <c r="L1007" i="1"/>
  <c r="L1008" i="1"/>
  <c r="L1009" i="1"/>
  <c r="L1044" i="1"/>
  <c r="L1045" i="1"/>
  <c r="L1046" i="1"/>
  <c r="L1047" i="1"/>
  <c r="L1048" i="1"/>
  <c r="L2" i="1"/>
  <c r="V852" i="1" l="1"/>
  <c r="V851" i="1"/>
  <c r="V785" i="1"/>
  <c r="V784" i="1"/>
  <c r="V783" i="1"/>
  <c r="V782" i="1"/>
  <c r="V780" i="1"/>
  <c r="V779" i="1"/>
  <c r="V778" i="1"/>
  <c r="V777" i="1"/>
  <c r="V774" i="1"/>
  <c r="V1039" i="1"/>
  <c r="V1038" i="1"/>
  <c r="V1037" i="1"/>
  <c r="V1036" i="1"/>
  <c r="V1035" i="1"/>
  <c r="V1034" i="1"/>
  <c r="V384" i="1"/>
  <c r="V383" i="1"/>
  <c r="V1033" i="1"/>
  <c r="V936" i="1"/>
  <c r="V935" i="1"/>
  <c r="V934" i="1"/>
  <c r="V933" i="1"/>
  <c r="V932" i="1"/>
  <c r="V931" i="1"/>
  <c r="V924" i="1"/>
  <c r="V922" i="1"/>
  <c r="V921" i="1"/>
  <c r="V919" i="1"/>
  <c r="V815" i="1"/>
  <c r="V814" i="1"/>
  <c r="V813" i="1"/>
  <c r="V812" i="1"/>
  <c r="V811" i="1"/>
  <c r="V810" i="1"/>
  <c r="V809" i="1"/>
  <c r="V808" i="1"/>
  <c r="V807" i="1"/>
  <c r="V806" i="1"/>
  <c r="V805" i="1"/>
  <c r="V804" i="1"/>
  <c r="V803" i="1"/>
  <c r="V802" i="1"/>
  <c r="V714" i="1"/>
  <c r="V713" i="1"/>
  <c r="V712" i="1"/>
  <c r="V711" i="1"/>
  <c r="V710" i="1"/>
  <c r="V709" i="1"/>
  <c r="V708" i="1"/>
  <c r="V707" i="1"/>
  <c r="V545" i="1"/>
  <c r="V544" i="1"/>
  <c r="V543" i="1"/>
  <c r="V542" i="1"/>
  <c r="V541" i="1"/>
  <c r="V540" i="1"/>
  <c r="V508" i="1"/>
  <c r="V507" i="1"/>
  <c r="V506" i="1"/>
  <c r="V505" i="1"/>
  <c r="V504" i="1"/>
  <c r="V503" i="1"/>
  <c r="V502" i="1"/>
  <c r="V501" i="1"/>
  <c r="V208" i="1"/>
  <c r="V207" i="1"/>
  <c r="V206" i="1"/>
  <c r="V205" i="1"/>
  <c r="V204" i="1"/>
  <c r="V203" i="1"/>
  <c r="V202" i="1"/>
  <c r="V201" i="1"/>
  <c r="V200" i="1"/>
  <c r="V199" i="1"/>
  <c r="V198" i="1"/>
  <c r="V197" i="1"/>
  <c r="V196" i="1"/>
  <c r="V195" i="1"/>
  <c r="V194" i="1"/>
  <c r="V193" i="1"/>
  <c r="V192" i="1"/>
  <c r="V191" i="1"/>
  <c r="V190" i="1"/>
  <c r="V189" i="1"/>
  <c r="V188" i="1"/>
  <c r="V187" i="1"/>
  <c r="V186" i="1"/>
  <c r="V185" i="1"/>
  <c r="I1051" i="1" l="1"/>
  <c r="I1052" i="1"/>
  <c r="I1053" i="1"/>
  <c r="I1054" i="1"/>
  <c r="I1055" i="1"/>
  <c r="I1056" i="1"/>
  <c r="I1057" i="1"/>
  <c r="I1058" i="1"/>
  <c r="I1059" i="1"/>
  <c r="I1060" i="1"/>
  <c r="I1061" i="1"/>
  <c r="I1062" i="1"/>
  <c r="I1050" i="1"/>
  <c r="I1049" i="1"/>
  <c r="I1043" i="1"/>
  <c r="AA1043" i="1"/>
  <c r="I1042" i="1"/>
  <c r="I1041" i="1"/>
  <c r="I1040" i="1"/>
  <c r="AA938" i="1"/>
  <c r="AA937" i="1"/>
  <c r="I937" i="1"/>
  <c r="I938" i="1"/>
  <c r="V928" i="1"/>
  <c r="V929" i="1"/>
  <c r="V930" i="1"/>
  <c r="V925" i="1"/>
  <c r="V926" i="1"/>
  <c r="V927" i="1"/>
  <c r="AA771" i="1" l="1"/>
  <c r="V771" i="1" s="1"/>
  <c r="AA772" i="1"/>
  <c r="V772" i="1" s="1"/>
  <c r="AA773" i="1"/>
  <c r="V773" i="1" s="1"/>
  <c r="AA775" i="1"/>
  <c r="V775" i="1" s="1"/>
  <c r="AA776" i="1"/>
  <c r="V776" i="1" s="1"/>
  <c r="Z697" i="1" l="1"/>
  <c r="Z698" i="1"/>
  <c r="I698" i="1"/>
  <c r="I697" i="1"/>
  <c r="V679" i="1" l="1"/>
  <c r="V680" i="1"/>
  <c r="V681" i="1"/>
  <c r="V682" i="1"/>
  <c r="I682" i="1"/>
  <c r="I681" i="1"/>
  <c r="I680" i="1"/>
  <c r="I679" i="1"/>
  <c r="V652" i="1"/>
  <c r="V651" i="1"/>
  <c r="W576" i="1"/>
  <c r="W575" i="1"/>
  <c r="X492" i="1" l="1"/>
  <c r="X493" i="1"/>
  <c r="X494" i="1"/>
  <c r="X491" i="1"/>
  <c r="Y491" i="1"/>
  <c r="AA482" i="1"/>
  <c r="AA483" i="1"/>
  <c r="AA484" i="1"/>
  <c r="AA485" i="1"/>
  <c r="I482" i="1"/>
  <c r="I483" i="1"/>
  <c r="I484" i="1"/>
  <c r="I485" i="1"/>
  <c r="AA474" i="1"/>
  <c r="AA475" i="1"/>
  <c r="AA476" i="1"/>
  <c r="AA477" i="1"/>
  <c r="AA478" i="1"/>
  <c r="AA479" i="1"/>
  <c r="AA480" i="1"/>
  <c r="AA481" i="1"/>
  <c r="I474" i="1"/>
  <c r="I475" i="1"/>
  <c r="I476" i="1"/>
  <c r="I477" i="1"/>
  <c r="I478" i="1"/>
  <c r="I479" i="1"/>
  <c r="I480" i="1"/>
  <c r="I481" i="1"/>
  <c r="AC480" i="1"/>
  <c r="AC481" i="1" s="1"/>
  <c r="V481" i="1" s="1"/>
  <c r="AC478" i="1"/>
  <c r="AC479" i="1" s="1"/>
  <c r="V479" i="1" s="1"/>
  <c r="AC476" i="1"/>
  <c r="AC477" i="1" s="1"/>
  <c r="AC474" i="1"/>
  <c r="AC475" i="1" s="1"/>
  <c r="V477" i="1" l="1"/>
  <c r="V474" i="1"/>
  <c r="V480" i="1"/>
  <c r="V476" i="1"/>
  <c r="V478" i="1"/>
  <c r="V475" i="1"/>
  <c r="I262" i="1"/>
  <c r="W124" i="1"/>
  <c r="V124" i="1" s="1"/>
  <c r="I60" i="1" l="1"/>
  <c r="I59" i="1"/>
  <c r="I58" i="1"/>
  <c r="I57" i="1"/>
  <c r="X18" i="1" l="1"/>
  <c r="I20" i="1" l="1"/>
  <c r="I1010" i="1"/>
  <c r="AA319" i="1"/>
  <c r="AA320" i="1"/>
  <c r="AA321" i="1"/>
  <c r="AA322" i="1"/>
  <c r="AA323" i="1"/>
  <c r="AA324" i="1"/>
  <c r="AA325" i="1"/>
  <c r="AA326" i="1"/>
  <c r="AA327" i="1"/>
  <c r="AA328" i="1"/>
  <c r="AA329" i="1"/>
  <c r="AA330" i="1"/>
  <c r="I956" i="1"/>
  <c r="I955" i="1"/>
  <c r="I954" i="1"/>
  <c r="I953" i="1"/>
  <c r="I952" i="1"/>
  <c r="I951" i="1"/>
  <c r="I950" i="1"/>
  <c r="I949" i="1"/>
  <c r="I149" i="1"/>
  <c r="I148" i="1"/>
  <c r="I147" i="1"/>
  <c r="I146" i="1"/>
  <c r="I145" i="1"/>
  <c r="I144" i="1"/>
  <c r="I143" i="1"/>
  <c r="I142" i="1"/>
  <c r="I141" i="1"/>
  <c r="I140" i="1"/>
  <c r="I139" i="1"/>
  <c r="I138" i="1"/>
  <c r="I137" i="1"/>
  <c r="I136" i="1"/>
  <c r="I135" i="1"/>
  <c r="I134" i="1"/>
  <c r="I727" i="1"/>
  <c r="I726" i="1"/>
  <c r="I725" i="1"/>
  <c r="I724" i="1"/>
  <c r="I723" i="1"/>
  <c r="I722" i="1"/>
  <c r="I530" i="1"/>
  <c r="I529" i="1"/>
  <c r="I451" i="1"/>
  <c r="I450" i="1"/>
  <c r="I265" i="1"/>
  <c r="I264" i="1"/>
  <c r="I263" i="1"/>
  <c r="I261" i="1"/>
  <c r="I260" i="1"/>
  <c r="I259" i="1"/>
  <c r="I258" i="1"/>
  <c r="I257" i="1"/>
  <c r="I256" i="1"/>
  <c r="I255" i="1"/>
  <c r="I254" i="1"/>
  <c r="I253" i="1"/>
  <c r="I252" i="1"/>
  <c r="I251" i="1"/>
  <c r="I250" i="1"/>
  <c r="I249" i="1"/>
  <c r="I248" i="1"/>
  <c r="I247" i="1"/>
  <c r="I246" i="1"/>
  <c r="I245" i="1"/>
  <c r="V46" i="1"/>
  <c r="V47" i="1"/>
  <c r="V44" i="1"/>
  <c r="V45" i="1"/>
  <c r="V42" i="1"/>
  <c r="V43" i="1"/>
  <c r="I47" i="1"/>
  <c r="I46" i="1"/>
  <c r="I45" i="1"/>
  <c r="I44" i="1"/>
  <c r="I43" i="1"/>
  <c r="I42" i="1"/>
  <c r="AC10" i="1"/>
  <c r="AC14" i="1" s="1"/>
  <c r="V14" i="1" s="1"/>
  <c r="AC11" i="1"/>
  <c r="V11" i="1" s="1"/>
  <c r="AC12" i="1"/>
  <c r="V12" i="1" s="1"/>
  <c r="AC13" i="1"/>
  <c r="V13" i="1" s="1"/>
  <c r="AD10" i="1"/>
  <c r="AD14" i="1" s="1"/>
  <c r="AD11" i="1"/>
  <c r="AD15" i="1" s="1"/>
  <c r="AD12" i="1"/>
  <c r="AD16" i="1" s="1"/>
  <c r="AD13" i="1"/>
  <c r="AD17" i="1" s="1"/>
  <c r="I17" i="1"/>
  <c r="I16" i="1"/>
  <c r="I15" i="1"/>
  <c r="I14" i="1"/>
  <c r="I13" i="1"/>
  <c r="I12" i="1"/>
  <c r="I11" i="1"/>
  <c r="I10" i="1"/>
  <c r="AG13" i="1" l="1"/>
  <c r="AG12" i="1"/>
  <c r="AG14" i="1"/>
  <c r="AG10" i="1"/>
  <c r="V10" i="1"/>
  <c r="AC17" i="1"/>
  <c r="V17" i="1" s="1"/>
  <c r="AC16" i="1"/>
  <c r="V16" i="1" s="1"/>
  <c r="AC15" i="1"/>
  <c r="V15" i="1" s="1"/>
  <c r="AG11" i="1"/>
  <c r="X19" i="1"/>
  <c r="V19" i="1" s="1"/>
  <c r="Z19" i="1"/>
  <c r="Z18" i="1"/>
  <c r="I19" i="1"/>
  <c r="I18" i="1"/>
  <c r="X20" i="1" l="1"/>
  <c r="V20" i="1" s="1"/>
  <c r="AG15" i="1"/>
  <c r="AG16" i="1"/>
  <c r="AG17" i="1"/>
  <c r="V18" i="1"/>
  <c r="I30" i="1"/>
  <c r="I29" i="1"/>
  <c r="I858" i="1"/>
  <c r="I857" i="1"/>
  <c r="AB859" i="1"/>
  <c r="I989" i="1"/>
  <c r="I988" i="1"/>
  <c r="I987" i="1"/>
  <c r="I986" i="1"/>
  <c r="I985" i="1"/>
  <c r="I984" i="1"/>
  <c r="I884" i="1"/>
  <c r="I883" i="1"/>
  <c r="I882" i="1"/>
  <c r="I881" i="1"/>
  <c r="I880" i="1"/>
  <c r="I879" i="1"/>
  <c r="I878" i="1"/>
  <c r="I877" i="1"/>
  <c r="I876" i="1"/>
  <c r="I875" i="1"/>
  <c r="I874" i="1"/>
  <c r="I873" i="1"/>
  <c r="I872" i="1"/>
  <c r="I871" i="1"/>
  <c r="I870" i="1"/>
  <c r="I869" i="1"/>
  <c r="X720" i="1" l="1"/>
  <c r="X721" i="1"/>
  <c r="X722" i="1"/>
  <c r="X723" i="1"/>
  <c r="X724" i="1"/>
  <c r="X725" i="1"/>
  <c r="X726" i="1"/>
  <c r="X727" i="1"/>
  <c r="I721" i="1"/>
  <c r="I720" i="1"/>
  <c r="I56" i="1"/>
  <c r="I55" i="1"/>
  <c r="I54" i="1"/>
  <c r="I53" i="1"/>
  <c r="I52" i="1"/>
  <c r="I51" i="1"/>
  <c r="I50" i="1"/>
  <c r="I49" i="1"/>
  <c r="AC48" i="1"/>
  <c r="AC52" i="1" s="1"/>
  <c r="AC49" i="1"/>
  <c r="AC53" i="1" s="1"/>
  <c r="AC50" i="1"/>
  <c r="AC56" i="1" s="1"/>
  <c r="AA48" i="1"/>
  <c r="V48" i="1" s="1"/>
  <c r="AA49" i="1"/>
  <c r="AA50" i="1"/>
  <c r="V50" i="1" s="1"/>
  <c r="AA51" i="1"/>
  <c r="AA52" i="1"/>
  <c r="AA53" i="1"/>
  <c r="AA54" i="1"/>
  <c r="AA55" i="1"/>
  <c r="AA56" i="1"/>
  <c r="I48" i="1"/>
  <c r="AH222" i="1"/>
  <c r="AH221" i="1"/>
  <c r="I222" i="1"/>
  <c r="I221" i="1"/>
  <c r="V52" i="1" l="1"/>
  <c r="V53" i="1"/>
  <c r="V49" i="1"/>
  <c r="V56" i="1"/>
  <c r="AC54" i="1"/>
  <c r="V54" i="1" s="1"/>
  <c r="AC51" i="1"/>
  <c r="V51" i="1" s="1"/>
  <c r="AC55" i="1"/>
  <c r="V55" i="1" s="1"/>
  <c r="Z577" i="1"/>
  <c r="Z578" i="1"/>
  <c r="Z579" i="1"/>
  <c r="Z580" i="1"/>
  <c r="Z581" i="1"/>
  <c r="Z582" i="1"/>
  <c r="I582" i="1"/>
  <c r="I581" i="1"/>
  <c r="I580" i="1"/>
  <c r="I579" i="1"/>
  <c r="I578" i="1"/>
  <c r="I577" i="1"/>
  <c r="AA209" i="1"/>
  <c r="AA210" i="1"/>
  <c r="AA211" i="1"/>
  <c r="AA212" i="1"/>
  <c r="W589" i="1"/>
  <c r="W590" i="1"/>
  <c r="W591" i="1"/>
  <c r="W592" i="1"/>
  <c r="W593" i="1"/>
  <c r="W594" i="1"/>
  <c r="I594" i="1"/>
  <c r="I593" i="1"/>
  <c r="I592" i="1"/>
  <c r="I591" i="1"/>
  <c r="I590" i="1"/>
  <c r="I589" i="1"/>
  <c r="X333" i="1"/>
  <c r="X334" i="1"/>
  <c r="X335" i="1"/>
  <c r="X336" i="1"/>
  <c r="X337" i="1"/>
  <c r="X338" i="1"/>
  <c r="X339" i="1"/>
  <c r="X340" i="1"/>
  <c r="I340" i="1"/>
  <c r="I339" i="1"/>
  <c r="I338" i="1"/>
  <c r="I337" i="1"/>
  <c r="I336" i="1"/>
  <c r="I335" i="1"/>
  <c r="I334" i="1"/>
  <c r="I333" i="1"/>
  <c r="I131" i="1"/>
  <c r="I130" i="1"/>
  <c r="I129" i="1"/>
  <c r="I128" i="1"/>
  <c r="I127" i="1"/>
  <c r="I126" i="1"/>
  <c r="I125" i="1"/>
  <c r="W131" i="1"/>
  <c r="V131" i="1" s="1"/>
  <c r="W130" i="1"/>
  <c r="V130" i="1" s="1"/>
  <c r="W129" i="1"/>
  <c r="V129" i="1" s="1"/>
  <c r="W128" i="1"/>
  <c r="V128" i="1" s="1"/>
  <c r="W127" i="1"/>
  <c r="V127" i="1" s="1"/>
  <c r="W126" i="1"/>
  <c r="V126" i="1" s="1"/>
  <c r="W125" i="1"/>
  <c r="V125" i="1" s="1"/>
  <c r="I124" i="1"/>
  <c r="I610" i="1"/>
  <c r="I609" i="1"/>
  <c r="I608" i="1"/>
  <c r="V607" i="1"/>
  <c r="V608" i="1"/>
  <c r="V609" i="1"/>
  <c r="V610" i="1"/>
  <c r="I607" i="1"/>
  <c r="V270" i="1"/>
  <c r="V271" i="1"/>
  <c r="V272" i="1"/>
  <c r="I272" i="1"/>
  <c r="I271" i="1"/>
  <c r="I270" i="1"/>
  <c r="AA307" i="1"/>
  <c r="AA308" i="1"/>
  <c r="AA309" i="1"/>
  <c r="AA310" i="1"/>
  <c r="AA311" i="1"/>
  <c r="AA312" i="1"/>
  <c r="AA313" i="1"/>
  <c r="AA314" i="1"/>
  <c r="AA315" i="1"/>
  <c r="AA316" i="1"/>
  <c r="AA317" i="1"/>
  <c r="AA318" i="1"/>
  <c r="AC169" i="1"/>
  <c r="AC170" i="1"/>
  <c r="AC171" i="1"/>
  <c r="AC172" i="1"/>
  <c r="AC173" i="1"/>
  <c r="AC174" i="1"/>
  <c r="AC175" i="1"/>
  <c r="AC176" i="1"/>
  <c r="AC177" i="1"/>
  <c r="AC178" i="1"/>
  <c r="AC179" i="1"/>
  <c r="AC180" i="1"/>
  <c r="AC181" i="1"/>
  <c r="AC182" i="1"/>
  <c r="AC183" i="1"/>
  <c r="AC184" i="1"/>
  <c r="AC153" i="1"/>
  <c r="AC154" i="1"/>
  <c r="AC155" i="1"/>
  <c r="AC156" i="1"/>
  <c r="AC157" i="1"/>
  <c r="AC158" i="1"/>
  <c r="AC159" i="1"/>
  <c r="AC160" i="1"/>
  <c r="AC161" i="1"/>
  <c r="AC162" i="1"/>
  <c r="AC163" i="1"/>
  <c r="AC164" i="1"/>
  <c r="AC165" i="1"/>
  <c r="AC166" i="1"/>
  <c r="AC167" i="1"/>
  <c r="AC168" i="1"/>
  <c r="AA153" i="1"/>
  <c r="V153" i="1" s="1"/>
  <c r="AA154" i="1"/>
  <c r="V154" i="1" s="1"/>
  <c r="AA155" i="1"/>
  <c r="AA156" i="1"/>
  <c r="V156" i="1" s="1"/>
  <c r="AA157" i="1"/>
  <c r="V157" i="1" s="1"/>
  <c r="AA158" i="1"/>
  <c r="V158" i="1" s="1"/>
  <c r="AA159" i="1"/>
  <c r="V159" i="1" s="1"/>
  <c r="AA160" i="1"/>
  <c r="V160" i="1" s="1"/>
  <c r="AA161" i="1"/>
  <c r="V161" i="1" s="1"/>
  <c r="AA162" i="1"/>
  <c r="AA163" i="1"/>
  <c r="V163" i="1" s="1"/>
  <c r="AA164" i="1"/>
  <c r="AA165" i="1"/>
  <c r="V165" i="1" s="1"/>
  <c r="AA166" i="1"/>
  <c r="V166" i="1" s="1"/>
  <c r="AA167" i="1"/>
  <c r="V167" i="1" s="1"/>
  <c r="AA168" i="1"/>
  <c r="V168" i="1" s="1"/>
  <c r="AA169" i="1"/>
  <c r="V169" i="1" s="1"/>
  <c r="AA170" i="1"/>
  <c r="V170" i="1" s="1"/>
  <c r="AA171" i="1"/>
  <c r="V171" i="1" s="1"/>
  <c r="AA172" i="1"/>
  <c r="V172" i="1" s="1"/>
  <c r="AA173" i="1"/>
  <c r="V173" i="1" s="1"/>
  <c r="AA174" i="1"/>
  <c r="V174" i="1" s="1"/>
  <c r="AA175" i="1"/>
  <c r="V175" i="1" s="1"/>
  <c r="AA176" i="1"/>
  <c r="V176" i="1" s="1"/>
  <c r="AA177" i="1"/>
  <c r="V177" i="1" s="1"/>
  <c r="AA178" i="1"/>
  <c r="V178" i="1" s="1"/>
  <c r="AA179" i="1"/>
  <c r="V179" i="1" s="1"/>
  <c r="AA180" i="1"/>
  <c r="V180" i="1" s="1"/>
  <c r="AA181" i="1"/>
  <c r="V181" i="1" s="1"/>
  <c r="AA182" i="1"/>
  <c r="V182" i="1" s="1"/>
  <c r="AA183" i="1"/>
  <c r="V183" i="1" s="1"/>
  <c r="AA184" i="1"/>
  <c r="V184" i="1" s="1"/>
  <c r="I891" i="1"/>
  <c r="I890" i="1"/>
  <c r="AE890" i="1"/>
  <c r="V890" i="1"/>
  <c r="I889" i="1"/>
  <c r="I856" i="1"/>
  <c r="I855" i="1"/>
  <c r="I854" i="1"/>
  <c r="I853" i="1"/>
  <c r="I508" i="1"/>
  <c r="I507" i="1"/>
  <c r="I506" i="1"/>
  <c r="I505" i="1"/>
  <c r="I504" i="1"/>
  <c r="I503" i="1"/>
  <c r="I502" i="1"/>
  <c r="I501" i="1"/>
  <c r="I777" i="1"/>
  <c r="I776" i="1"/>
  <c r="I775" i="1"/>
  <c r="I774" i="1"/>
  <c r="I773" i="1"/>
  <c r="I772" i="1"/>
  <c r="I771" i="1"/>
  <c r="AH676" i="1"/>
  <c r="AH675" i="1"/>
  <c r="AH674" i="1"/>
  <c r="AH673" i="1"/>
  <c r="AB673" i="1"/>
  <c r="AB674" i="1"/>
  <c r="AB675" i="1"/>
  <c r="AB676" i="1"/>
  <c r="I676" i="1"/>
  <c r="I675" i="1"/>
  <c r="I674" i="1"/>
  <c r="I673" i="1"/>
  <c r="X888" i="1"/>
  <c r="V888" i="1" s="1"/>
  <c r="X887" i="1"/>
  <c r="V887" i="1" s="1"/>
  <c r="X886" i="1"/>
  <c r="V886" i="1" s="1"/>
  <c r="X885" i="1"/>
  <c r="V885" i="1" s="1"/>
  <c r="I526" i="1"/>
  <c r="I525" i="1"/>
  <c r="I524" i="1"/>
  <c r="I523" i="1"/>
  <c r="I522" i="1"/>
  <c r="I521" i="1"/>
  <c r="I520" i="1"/>
  <c r="I519" i="1"/>
  <c r="I518" i="1"/>
  <c r="I517" i="1"/>
  <c r="I516" i="1"/>
  <c r="I515" i="1"/>
  <c r="I514" i="1"/>
  <c r="I513" i="1"/>
  <c r="I512" i="1"/>
  <c r="I511" i="1"/>
  <c r="I510" i="1"/>
  <c r="I509" i="1"/>
  <c r="V164" i="1" l="1"/>
  <c r="V162" i="1"/>
  <c r="V676" i="1"/>
  <c r="V673" i="1"/>
  <c r="V675" i="1"/>
  <c r="V674" i="1"/>
  <c r="V155" i="1"/>
  <c r="AH715" i="1"/>
  <c r="AH716" i="1"/>
  <c r="AH717" i="1"/>
  <c r="AF715" i="1"/>
  <c r="AF716" i="1"/>
  <c r="AF717" i="1"/>
  <c r="V715" i="1"/>
  <c r="V716" i="1"/>
  <c r="V717" i="1"/>
  <c r="AH866" i="1"/>
  <c r="AH867" i="1"/>
  <c r="AH868" i="1"/>
  <c r="AH863" i="1"/>
  <c r="AH864" i="1"/>
  <c r="AH865" i="1"/>
  <c r="AH860" i="1"/>
  <c r="AH861" i="1"/>
  <c r="AH862" i="1"/>
  <c r="V866" i="1"/>
  <c r="V867" i="1"/>
  <c r="V868" i="1"/>
  <c r="V863" i="1"/>
  <c r="V864" i="1"/>
  <c r="V865" i="1"/>
  <c r="V860" i="1"/>
  <c r="V861" i="1"/>
  <c r="V862" i="1"/>
  <c r="AC920" i="1"/>
  <c r="AC923" i="1"/>
  <c r="AA923" i="1"/>
  <c r="AA920" i="1"/>
  <c r="V920" i="1" l="1"/>
  <c r="V923" i="1"/>
  <c r="AC1049" i="1"/>
  <c r="AC1050" i="1"/>
  <c r="AC1051" i="1"/>
  <c r="AC1052" i="1"/>
  <c r="AC1053" i="1"/>
  <c r="AC1054" i="1"/>
  <c r="AC1055" i="1"/>
  <c r="AC1056" i="1"/>
  <c r="AC1057" i="1"/>
  <c r="AC1058" i="1"/>
  <c r="AC1059" i="1"/>
  <c r="AC1060" i="1"/>
  <c r="AC1061" i="1"/>
  <c r="AC1062" i="1"/>
  <c r="Z1001" i="1"/>
  <c r="Z1000" i="1"/>
  <c r="Z999" i="1"/>
  <c r="Z998" i="1"/>
  <c r="Z997" i="1"/>
  <c r="Z996" i="1"/>
  <c r="W949" i="1"/>
  <c r="W950" i="1"/>
  <c r="W951" i="1"/>
  <c r="W952" i="1"/>
  <c r="W953" i="1"/>
  <c r="W954" i="1"/>
  <c r="W955" i="1"/>
  <c r="W956" i="1"/>
  <c r="I916" i="1"/>
  <c r="I915" i="1"/>
  <c r="AH728" i="1" l="1"/>
  <c r="AH740" i="1"/>
  <c r="AH739" i="1"/>
  <c r="AH738" i="1"/>
  <c r="AH737" i="1"/>
  <c r="AH736" i="1"/>
  <c r="AH735" i="1"/>
  <c r="AH734" i="1"/>
  <c r="AH733" i="1"/>
  <c r="AH732" i="1"/>
  <c r="AH731" i="1"/>
  <c r="AH730" i="1"/>
  <c r="AH729" i="1"/>
  <c r="I714" i="1"/>
  <c r="I713" i="1"/>
  <c r="I712" i="1"/>
  <c r="I711" i="1"/>
  <c r="V686" i="1"/>
  <c r="V685" i="1"/>
  <c r="V684" i="1"/>
  <c r="V683" i="1"/>
  <c r="AE653" i="1"/>
  <c r="AE654" i="1"/>
  <c r="AE655" i="1"/>
  <c r="AE656" i="1"/>
  <c r="AE657" i="1"/>
  <c r="AE658" i="1"/>
  <c r="AE659" i="1"/>
  <c r="AE660" i="1"/>
  <c r="AE661" i="1"/>
  <c r="AE662" i="1"/>
  <c r="AE663" i="1"/>
  <c r="AE664" i="1"/>
  <c r="AE665" i="1"/>
  <c r="AE666" i="1"/>
  <c r="AE667" i="1"/>
  <c r="AE668" i="1"/>
  <c r="AE669" i="1"/>
  <c r="AE670" i="1"/>
  <c r="AE671" i="1"/>
  <c r="AE672" i="1"/>
  <c r="AC653" i="1"/>
  <c r="AC654" i="1"/>
  <c r="AC655" i="1"/>
  <c r="AC656" i="1"/>
  <c r="AC657" i="1"/>
  <c r="AC658" i="1"/>
  <c r="AC659" i="1"/>
  <c r="AC660" i="1"/>
  <c r="AC661" i="1"/>
  <c r="AC662" i="1"/>
  <c r="AC663" i="1"/>
  <c r="AC664" i="1"/>
  <c r="AC665" i="1"/>
  <c r="AC666" i="1"/>
  <c r="AC667" i="1"/>
  <c r="AC668" i="1"/>
  <c r="AC669" i="1"/>
  <c r="AC670" i="1"/>
  <c r="AC671" i="1"/>
  <c r="AC672" i="1"/>
  <c r="I602" i="1"/>
  <c r="I601" i="1"/>
  <c r="I600" i="1"/>
  <c r="I599" i="1"/>
  <c r="AE467" i="1" l="1"/>
  <c r="AE466" i="1"/>
  <c r="AE465" i="1"/>
  <c r="AE464" i="1"/>
  <c r="AE463" i="1"/>
  <c r="AE462" i="1"/>
  <c r="AE461" i="1"/>
  <c r="AE460" i="1"/>
  <c r="AE459" i="1"/>
  <c r="AE458" i="1"/>
  <c r="AE457" i="1"/>
  <c r="AE456" i="1"/>
  <c r="AE455" i="1"/>
  <c r="AE454" i="1"/>
  <c r="AE453" i="1"/>
  <c r="AE452" i="1"/>
  <c r="AI443" i="1" l="1"/>
  <c r="AI444" i="1"/>
  <c r="AI445" i="1"/>
  <c r="Z443" i="1"/>
  <c r="Z444" i="1"/>
  <c r="V444" i="1" s="1"/>
  <c r="Z445" i="1"/>
  <c r="V445" i="1" s="1"/>
  <c r="I445" i="1"/>
  <c r="I444" i="1"/>
  <c r="I443" i="1"/>
  <c r="V443" i="1" l="1"/>
  <c r="W413" i="1"/>
  <c r="V413" i="1" s="1"/>
  <c r="X393" i="1" l="1"/>
  <c r="V393" i="1" s="1"/>
  <c r="X394" i="1"/>
  <c r="V394" i="1" s="1"/>
  <c r="X395" i="1"/>
  <c r="V395" i="1" s="1"/>
  <c r="X396" i="1"/>
  <c r="V396" i="1" s="1"/>
  <c r="X397" i="1"/>
  <c r="V397" i="1" s="1"/>
  <c r="X398" i="1"/>
  <c r="V398" i="1" s="1"/>
  <c r="X399" i="1"/>
  <c r="V399" i="1" s="1"/>
  <c r="X400" i="1"/>
  <c r="V400" i="1" s="1"/>
  <c r="W379" i="1" l="1"/>
  <c r="V379" i="1" s="1"/>
  <c r="I365" i="1"/>
  <c r="AA288" i="1"/>
  <c r="AA289" i="1"/>
  <c r="AA290" i="1"/>
  <c r="AA291" i="1"/>
  <c r="Z278" i="1"/>
  <c r="Z277" i="1"/>
  <c r="Z276" i="1"/>
  <c r="Z275" i="1"/>
  <c r="Z255" i="1"/>
  <c r="Z256" i="1"/>
  <c r="Z257" i="1"/>
  <c r="Z258" i="1"/>
  <c r="Z259" i="1"/>
  <c r="Z260" i="1"/>
  <c r="Z261" i="1"/>
  <c r="Z262" i="1"/>
  <c r="Z263" i="1"/>
  <c r="Z264" i="1"/>
  <c r="Z265" i="1"/>
  <c r="Z254" i="1"/>
  <c r="Z250" i="1"/>
  <c r="Z251" i="1"/>
  <c r="Z252" i="1"/>
  <c r="Z253" i="1"/>
  <c r="Z249" i="1"/>
  <c r="Z248" i="1"/>
  <c r="Z247" i="1"/>
  <c r="Z246" i="1"/>
  <c r="Z245" i="1"/>
  <c r="I269" i="1"/>
  <c r="I268" i="1"/>
  <c r="I267" i="1"/>
  <c r="Y957" i="1" l="1"/>
  <c r="V957" i="1" s="1"/>
  <c r="Y958" i="1"/>
  <c r="V958" i="1" s="1"/>
  <c r="Y959" i="1"/>
  <c r="V959" i="1" s="1"/>
  <c r="Y960" i="1"/>
  <c r="V960" i="1" s="1"/>
  <c r="Y961" i="1"/>
  <c r="V961" i="1" s="1"/>
  <c r="Y962" i="1"/>
  <c r="V962" i="1" s="1"/>
  <c r="Y963" i="1"/>
  <c r="V963" i="1" s="1"/>
  <c r="Y964" i="1"/>
  <c r="V964" i="1" s="1"/>
  <c r="I936" i="1" l="1"/>
  <c r="I935" i="1"/>
  <c r="I934" i="1"/>
  <c r="I933" i="1"/>
  <c r="I932" i="1"/>
  <c r="I931" i="1"/>
  <c r="I754" i="1" l="1"/>
  <c r="I753" i="1"/>
  <c r="I752" i="1"/>
  <c r="I751" i="1"/>
  <c r="I750" i="1"/>
  <c r="I749" i="1"/>
  <c r="I748" i="1"/>
  <c r="I747" i="1"/>
  <c r="I746" i="1"/>
  <c r="I745" i="1"/>
  <c r="I744" i="1"/>
  <c r="I743" i="1"/>
  <c r="AC754" i="1"/>
  <c r="V754" i="1" s="1"/>
  <c r="AC753" i="1"/>
  <c r="V753" i="1" s="1"/>
  <c r="AC752" i="1"/>
  <c r="V752" i="1" s="1"/>
  <c r="AC751" i="1"/>
  <c r="V751" i="1" s="1"/>
  <c r="AC750" i="1"/>
  <c r="V750" i="1" s="1"/>
  <c r="AC749" i="1"/>
  <c r="V749" i="1" s="1"/>
  <c r="AC748" i="1"/>
  <c r="V748" i="1" s="1"/>
  <c r="AC747" i="1"/>
  <c r="V747" i="1" s="1"/>
  <c r="AC746" i="1"/>
  <c r="V746" i="1" s="1"/>
  <c r="AC745" i="1"/>
  <c r="V745" i="1" s="1"/>
  <c r="AC744" i="1"/>
  <c r="V744" i="1" s="1"/>
  <c r="AC743" i="1"/>
  <c r="V743" i="1" s="1"/>
  <c r="I758" i="1"/>
  <c r="I757" i="1"/>
  <c r="I756" i="1"/>
  <c r="I755" i="1"/>
  <c r="I1063" i="1" l="1"/>
  <c r="AA79" i="1"/>
  <c r="V79" i="1" s="1"/>
  <c r="V916" i="1" l="1"/>
  <c r="V915" i="1"/>
  <c r="V914" i="1"/>
  <c r="I914" i="1"/>
  <c r="AA495" i="1"/>
  <c r="V495" i="1" s="1"/>
  <c r="AA496" i="1"/>
  <c r="V496" i="1" s="1"/>
  <c r="AA497" i="1"/>
  <c r="V497" i="1" s="1"/>
  <c r="AA498" i="1"/>
  <c r="V498" i="1" s="1"/>
  <c r="AA499" i="1"/>
  <c r="V499" i="1" s="1"/>
  <c r="AA500" i="1"/>
  <c r="V500" i="1" s="1"/>
  <c r="I412" i="1"/>
  <c r="I411" i="1"/>
  <c r="I410" i="1"/>
  <c r="I409" i="1"/>
  <c r="I408" i="1"/>
  <c r="I407" i="1"/>
  <c r="I406" i="1"/>
  <c r="I405" i="1"/>
  <c r="I404" i="1"/>
  <c r="I403" i="1"/>
  <c r="I402" i="1"/>
  <c r="AA407" i="1"/>
  <c r="V407" i="1" s="1"/>
  <c r="AA408" i="1"/>
  <c r="V408" i="1" s="1"/>
  <c r="AA409" i="1"/>
  <c r="V409" i="1" s="1"/>
  <c r="AA410" i="1"/>
  <c r="V410" i="1" s="1"/>
  <c r="AA411" i="1"/>
  <c r="V411" i="1" s="1"/>
  <c r="AA412" i="1"/>
  <c r="V412" i="1" s="1"/>
  <c r="AA401" i="1"/>
  <c r="V401" i="1" s="1"/>
  <c r="AA402" i="1"/>
  <c r="V402" i="1" s="1"/>
  <c r="AA403" i="1"/>
  <c r="V403" i="1" s="1"/>
  <c r="AA404" i="1"/>
  <c r="V404" i="1" s="1"/>
  <c r="AA405" i="1"/>
  <c r="V405" i="1" s="1"/>
  <c r="AA406" i="1"/>
  <c r="V406" i="1" s="1"/>
  <c r="I401" i="1"/>
  <c r="I366" i="1" l="1"/>
  <c r="AA274" i="1"/>
  <c r="AA273" i="1"/>
  <c r="AC274" i="1"/>
  <c r="AC273" i="1"/>
  <c r="I274" i="1"/>
  <c r="I273" i="1"/>
  <c r="V273" i="1" l="1"/>
  <c r="V274" i="1"/>
  <c r="I868" i="1"/>
  <c r="I867" i="1"/>
  <c r="I866" i="1"/>
  <c r="I865" i="1"/>
  <c r="I1039" i="1"/>
  <c r="I1038" i="1"/>
  <c r="I1037" i="1"/>
  <c r="I1036" i="1"/>
  <c r="I1035" i="1"/>
  <c r="I1034" i="1"/>
  <c r="I1001" i="1"/>
  <c r="I1000" i="1"/>
  <c r="I999" i="1"/>
  <c r="I998" i="1"/>
  <c r="I997" i="1"/>
  <c r="I996" i="1"/>
  <c r="I332" i="1"/>
  <c r="I331" i="1"/>
  <c r="I278" i="1"/>
  <c r="I277" i="1"/>
  <c r="I276" i="1"/>
  <c r="I275" i="1"/>
  <c r="I119" i="1"/>
  <c r="I118" i="1"/>
  <c r="I117" i="1"/>
  <c r="I116" i="1"/>
  <c r="I115" i="1"/>
  <c r="I114" i="1"/>
  <c r="I1068" i="1"/>
  <c r="I1066" i="1"/>
  <c r="I1065" i="1"/>
  <c r="I1067" i="1"/>
  <c r="I1064" i="1"/>
  <c r="AC1068" i="1"/>
  <c r="V1068" i="1" s="1"/>
  <c r="AC1067" i="1"/>
  <c r="V1067" i="1" s="1"/>
  <c r="AC1066" i="1"/>
  <c r="V1066" i="1" s="1"/>
  <c r="AC1065" i="1"/>
  <c r="V1065" i="1" s="1"/>
  <c r="AC1064" i="1"/>
  <c r="V1064" i="1" s="1"/>
  <c r="I1048" i="1"/>
  <c r="I1047" i="1"/>
  <c r="I1046" i="1"/>
  <c r="I1045" i="1"/>
  <c r="I1044" i="1"/>
  <c r="AB940" i="1"/>
  <c r="V940" i="1" s="1"/>
  <c r="AB939" i="1"/>
  <c r="V939" i="1" s="1"/>
  <c r="I939" i="1"/>
  <c r="W913" i="1"/>
  <c r="W912" i="1"/>
  <c r="W911" i="1"/>
  <c r="W910" i="1"/>
  <c r="W909" i="1"/>
  <c r="W908" i="1"/>
  <c r="W907" i="1"/>
  <c r="W906" i="1"/>
  <c r="W905" i="1"/>
  <c r="W904" i="1"/>
  <c r="W903" i="1"/>
  <c r="W902" i="1"/>
  <c r="W901" i="1"/>
  <c r="W900" i="1"/>
  <c r="W899" i="1"/>
  <c r="W898" i="1"/>
  <c r="W897" i="1"/>
  <c r="W896" i="1"/>
  <c r="W800" i="1"/>
  <c r="W801" i="1"/>
  <c r="I800" i="1"/>
  <c r="I801" i="1"/>
  <c r="I799" i="1"/>
  <c r="I798" i="1"/>
  <c r="W796" i="1"/>
  <c r="W797" i="1"/>
  <c r="W798" i="1"/>
  <c r="W799" i="1"/>
  <c r="I797" i="1"/>
  <c r="I796" i="1"/>
  <c r="AC758" i="1"/>
  <c r="V758" i="1" s="1"/>
  <c r="AC757" i="1"/>
  <c r="V757" i="1" s="1"/>
  <c r="AC756" i="1"/>
  <c r="V756" i="1" s="1"/>
  <c r="AC755" i="1"/>
  <c r="V755" i="1" s="1"/>
  <c r="I650" i="1"/>
  <c r="I649" i="1"/>
  <c r="I648" i="1"/>
  <c r="I647" i="1"/>
  <c r="I646" i="1"/>
  <c r="I645" i="1"/>
  <c r="I644" i="1"/>
  <c r="I643" i="1"/>
  <c r="W642" i="1"/>
  <c r="W643" i="1"/>
  <c r="W644" i="1"/>
  <c r="W645" i="1"/>
  <c r="W646" i="1"/>
  <c r="W647" i="1"/>
  <c r="W648" i="1"/>
  <c r="W649" i="1"/>
  <c r="W650" i="1"/>
  <c r="I642" i="1"/>
  <c r="I598" i="1"/>
  <c r="I597" i="1"/>
  <c r="I596" i="1"/>
  <c r="V606" i="1"/>
  <c r="V604" i="1"/>
  <c r="V605" i="1"/>
  <c r="V603" i="1"/>
  <c r="I595" i="1"/>
  <c r="I532" i="1"/>
  <c r="I531" i="1"/>
  <c r="I528" i="1"/>
  <c r="X527" i="1"/>
  <c r="X528" i="1"/>
  <c r="X529" i="1"/>
  <c r="X530" i="1"/>
  <c r="X531" i="1"/>
  <c r="X532" i="1"/>
  <c r="I527" i="1"/>
  <c r="X468" i="1"/>
  <c r="X469" i="1"/>
  <c r="X470" i="1"/>
  <c r="X471" i="1"/>
  <c r="X472" i="1"/>
  <c r="X473" i="1"/>
  <c r="X392" i="1"/>
  <c r="X391" i="1"/>
  <c r="X390" i="1"/>
  <c r="X389" i="1"/>
  <c r="X388" i="1"/>
  <c r="X387" i="1"/>
  <c r="X386" i="1"/>
  <c r="X385" i="1"/>
  <c r="X451" i="1"/>
  <c r="X450" i="1"/>
  <c r="X449" i="1"/>
  <c r="X448" i="1"/>
  <c r="X447" i="1"/>
  <c r="I449" i="1"/>
  <c r="I448" i="1"/>
  <c r="I447" i="1"/>
  <c r="I392" i="1"/>
  <c r="I391" i="1"/>
  <c r="I390" i="1"/>
  <c r="I389" i="1"/>
  <c r="I388" i="1"/>
  <c r="I387" i="1"/>
  <c r="I386" i="1"/>
  <c r="I385" i="1"/>
  <c r="I400" i="1"/>
  <c r="I399" i="1"/>
  <c r="I398" i="1"/>
  <c r="I397" i="1"/>
  <c r="I396" i="1"/>
  <c r="I395" i="1"/>
  <c r="I394" i="1"/>
  <c r="I393" i="1"/>
  <c r="AA366" i="1"/>
  <c r="I384" i="1" l="1"/>
  <c r="I383" i="1"/>
  <c r="W382" i="1"/>
  <c r="V382" i="1" s="1"/>
  <c r="W381" i="1"/>
  <c r="V381" i="1" s="1"/>
  <c r="W380" i="1"/>
  <c r="V380" i="1" s="1"/>
  <c r="I382" i="1"/>
  <c r="I381" i="1"/>
  <c r="I380" i="1"/>
  <c r="I379" i="1"/>
  <c r="AB113" i="1"/>
  <c r="AB112" i="1"/>
  <c r="AB110" i="1"/>
  <c r="AB109" i="1"/>
  <c r="AB107" i="1"/>
  <c r="AB106" i="1"/>
  <c r="I113" i="1"/>
  <c r="I112" i="1"/>
  <c r="I111" i="1"/>
  <c r="I110" i="1"/>
  <c r="I109" i="1"/>
  <c r="I108" i="1"/>
  <c r="I107" i="1"/>
  <c r="I106" i="1"/>
  <c r="I105" i="1"/>
  <c r="I104" i="1"/>
  <c r="I103" i="1"/>
  <c r="AB105" i="1"/>
  <c r="AB104" i="1"/>
  <c r="AB103" i="1"/>
  <c r="AB102" i="1"/>
  <c r="I102" i="1"/>
  <c r="AB817" i="1"/>
  <c r="AB818" i="1"/>
  <c r="AB819" i="1"/>
  <c r="AB820" i="1"/>
  <c r="AB816" i="1"/>
  <c r="X817" i="1"/>
  <c r="X818" i="1"/>
  <c r="X819" i="1"/>
  <c r="X820" i="1"/>
  <c r="X816" i="1"/>
  <c r="AA817" i="1"/>
  <c r="AA818" i="1"/>
  <c r="AA819" i="1"/>
  <c r="AA820" i="1"/>
  <c r="AA816" i="1"/>
  <c r="AB729" i="1"/>
  <c r="V729" i="1" s="1"/>
  <c r="AB730" i="1"/>
  <c r="V730" i="1" s="1"/>
  <c r="AB731" i="1"/>
  <c r="V731" i="1" s="1"/>
  <c r="AB732" i="1"/>
  <c r="V732" i="1" s="1"/>
  <c r="AB733" i="1"/>
  <c r="V733" i="1" s="1"/>
  <c r="AB734" i="1"/>
  <c r="V734" i="1" s="1"/>
  <c r="AB735" i="1"/>
  <c r="V735" i="1" s="1"/>
  <c r="AB736" i="1"/>
  <c r="V736" i="1" s="1"/>
  <c r="AB737" i="1"/>
  <c r="V737" i="1" s="1"/>
  <c r="AB738" i="1"/>
  <c r="V738" i="1" s="1"/>
  <c r="AB739" i="1"/>
  <c r="V739" i="1" s="1"/>
  <c r="AB740" i="1"/>
  <c r="V740" i="1" s="1"/>
  <c r="AB728" i="1"/>
  <c r="V728" i="1" s="1"/>
  <c r="AA688" i="1"/>
  <c r="AA689" i="1"/>
  <c r="AA690" i="1"/>
  <c r="AA691" i="1"/>
  <c r="AA692" i="1"/>
  <c r="AA693" i="1"/>
  <c r="AA694" i="1"/>
  <c r="AA695" i="1"/>
  <c r="AA696" i="1"/>
  <c r="AA687" i="1"/>
  <c r="AA654" i="1"/>
  <c r="V654" i="1" s="1"/>
  <c r="X654" i="1"/>
  <c r="AB654" i="1"/>
  <c r="AA655" i="1"/>
  <c r="V655" i="1" s="1"/>
  <c r="X655" i="1"/>
  <c r="AB655" i="1"/>
  <c r="AA656" i="1"/>
  <c r="V656" i="1" s="1"/>
  <c r="X656" i="1"/>
  <c r="AB656" i="1"/>
  <c r="AA657" i="1"/>
  <c r="V657" i="1" s="1"/>
  <c r="X657" i="1"/>
  <c r="AB657" i="1"/>
  <c r="AA658" i="1"/>
  <c r="V658" i="1" s="1"/>
  <c r="X658" i="1"/>
  <c r="AB658" i="1"/>
  <c r="AA659" i="1"/>
  <c r="V659" i="1" s="1"/>
  <c r="X659" i="1"/>
  <c r="AB659" i="1"/>
  <c r="AA660" i="1"/>
  <c r="V660" i="1" s="1"/>
  <c r="X660" i="1"/>
  <c r="AB660" i="1"/>
  <c r="AA661" i="1"/>
  <c r="V661" i="1" s="1"/>
  <c r="X661" i="1"/>
  <c r="AB661" i="1"/>
  <c r="AA662" i="1"/>
  <c r="V662" i="1" s="1"/>
  <c r="X662" i="1"/>
  <c r="AB662" i="1"/>
  <c r="AA663" i="1"/>
  <c r="V663" i="1" s="1"/>
  <c r="X663" i="1"/>
  <c r="AB663" i="1"/>
  <c r="AA664" i="1"/>
  <c r="V664" i="1" s="1"/>
  <c r="X664" i="1"/>
  <c r="AB664" i="1"/>
  <c r="AA665" i="1"/>
  <c r="V665" i="1" s="1"/>
  <c r="X665" i="1"/>
  <c r="AB665" i="1"/>
  <c r="AA666" i="1"/>
  <c r="V666" i="1" s="1"/>
  <c r="X666" i="1"/>
  <c r="AB666" i="1"/>
  <c r="AA667" i="1"/>
  <c r="V667" i="1" s="1"/>
  <c r="X667" i="1"/>
  <c r="AB667" i="1"/>
  <c r="AA668" i="1"/>
  <c r="V668" i="1" s="1"/>
  <c r="X668" i="1"/>
  <c r="AB668" i="1"/>
  <c r="AA669" i="1"/>
  <c r="V669" i="1" s="1"/>
  <c r="X669" i="1"/>
  <c r="AB669" i="1"/>
  <c r="AA670" i="1"/>
  <c r="V670" i="1" s="1"/>
  <c r="X670" i="1"/>
  <c r="AB670" i="1"/>
  <c r="AA671" i="1"/>
  <c r="V671" i="1" s="1"/>
  <c r="X671" i="1"/>
  <c r="AB671" i="1"/>
  <c r="AA672" i="1"/>
  <c r="V672" i="1" s="1"/>
  <c r="X672" i="1"/>
  <c r="AB672" i="1"/>
  <c r="AB653" i="1"/>
  <c r="X653" i="1"/>
  <c r="AA653" i="1"/>
  <c r="V653" i="1" s="1"/>
  <c r="AB635" i="1"/>
  <c r="V635" i="1" s="1"/>
  <c r="AB634" i="1"/>
  <c r="V634" i="1" s="1"/>
  <c r="AB633" i="1"/>
  <c r="V633" i="1" s="1"/>
  <c r="AB632" i="1"/>
  <c r="V632" i="1" s="1"/>
  <c r="AB621" i="1"/>
  <c r="V621" i="1" s="1"/>
  <c r="AB622" i="1"/>
  <c r="V622" i="1" s="1"/>
  <c r="AB623" i="1"/>
  <c r="V623" i="1" s="1"/>
  <c r="AB624" i="1"/>
  <c r="V624" i="1" s="1"/>
  <c r="AB625" i="1"/>
  <c r="V625" i="1" s="1"/>
  <c r="AB626" i="1"/>
  <c r="V626" i="1" s="1"/>
  <c r="AB627" i="1"/>
  <c r="V627" i="1" s="1"/>
  <c r="AB628" i="1"/>
  <c r="V628" i="1" s="1"/>
  <c r="AB629" i="1"/>
  <c r="V629" i="1" s="1"/>
  <c r="AB630" i="1"/>
  <c r="V630" i="1" s="1"/>
  <c r="AB616" i="1"/>
  <c r="V616" i="1" s="1"/>
  <c r="AB617" i="1"/>
  <c r="V617" i="1" s="1"/>
  <c r="AB618" i="1"/>
  <c r="V618" i="1" s="1"/>
  <c r="AB619" i="1"/>
  <c r="V619" i="1" s="1"/>
  <c r="AB620" i="1"/>
  <c r="V620" i="1" s="1"/>
  <c r="AB612" i="1"/>
  <c r="V612" i="1" s="1"/>
  <c r="AB613" i="1"/>
  <c r="V613" i="1" s="1"/>
  <c r="AB614" i="1"/>
  <c r="V614" i="1" s="1"/>
  <c r="AB615" i="1"/>
  <c r="V615" i="1" s="1"/>
  <c r="AB611" i="1"/>
  <c r="AA574" i="1"/>
  <c r="AA573" i="1"/>
  <c r="V453" i="1"/>
  <c r="V454" i="1"/>
  <c r="V455" i="1"/>
  <c r="V456" i="1"/>
  <c r="V457" i="1"/>
  <c r="V458" i="1"/>
  <c r="V459" i="1"/>
  <c r="V460" i="1"/>
  <c r="V461" i="1"/>
  <c r="V462" i="1"/>
  <c r="V463" i="1"/>
  <c r="V464" i="1"/>
  <c r="V465" i="1"/>
  <c r="V466" i="1"/>
  <c r="V467" i="1"/>
  <c r="V452" i="1"/>
  <c r="V432" i="1"/>
  <c r="V433" i="1"/>
  <c r="V434" i="1"/>
  <c r="V435" i="1"/>
  <c r="V436" i="1"/>
  <c r="V437" i="1"/>
  <c r="V438" i="1"/>
  <c r="V439" i="1"/>
  <c r="V440" i="1"/>
  <c r="V441" i="1"/>
  <c r="V442" i="1"/>
  <c r="V431" i="1"/>
  <c r="AH432" i="1"/>
  <c r="AH433" i="1"/>
  <c r="AH434" i="1"/>
  <c r="AH435" i="1"/>
  <c r="AH436" i="1"/>
  <c r="AH437" i="1"/>
  <c r="AH438" i="1"/>
  <c r="AH439" i="1"/>
  <c r="AH440" i="1"/>
  <c r="AH441" i="1"/>
  <c r="AH442" i="1"/>
  <c r="AH431" i="1"/>
  <c r="AE432" i="1"/>
  <c r="AE433" i="1"/>
  <c r="AE434" i="1"/>
  <c r="AE435" i="1"/>
  <c r="AE436" i="1"/>
  <c r="AE437" i="1"/>
  <c r="AE438" i="1"/>
  <c r="AE439" i="1"/>
  <c r="AE440" i="1"/>
  <c r="AE441" i="1"/>
  <c r="AE442" i="1"/>
  <c r="AE431" i="1"/>
  <c r="AA80" i="1"/>
  <c r="V80" i="1" s="1"/>
  <c r="AA81" i="1"/>
  <c r="V81" i="1" s="1"/>
  <c r="X74" i="1"/>
  <c r="V74" i="1" s="1"/>
  <c r="X75" i="1"/>
  <c r="V75" i="1" s="1"/>
  <c r="X76" i="1"/>
  <c r="V76" i="1" s="1"/>
  <c r="X77" i="1"/>
  <c r="V77" i="1" s="1"/>
  <c r="X78" i="1"/>
  <c r="V78" i="1" s="1"/>
  <c r="X73" i="1"/>
  <c r="V73" i="1" s="1"/>
  <c r="V22" i="1"/>
  <c r="V23" i="1"/>
  <c r="V24" i="1"/>
  <c r="V21" i="1"/>
  <c r="AE89" i="1"/>
  <c r="AE90" i="1"/>
  <c r="AE91" i="1"/>
  <c r="AE92" i="1"/>
  <c r="AE93" i="1"/>
  <c r="AE94" i="1"/>
  <c r="AE95" i="1"/>
  <c r="AE96" i="1"/>
  <c r="AE97" i="1"/>
  <c r="AE98" i="1"/>
  <c r="AE99" i="1"/>
  <c r="AE100" i="1"/>
  <c r="AE101" i="1"/>
  <c r="AE88" i="1"/>
  <c r="AA89" i="1"/>
  <c r="AA90" i="1"/>
  <c r="AA91" i="1"/>
  <c r="AA92" i="1"/>
  <c r="AA93" i="1"/>
  <c r="AA94" i="1"/>
  <c r="AA95" i="1"/>
  <c r="AA96" i="1"/>
  <c r="AA97" i="1"/>
  <c r="AA98" i="1"/>
  <c r="AA99" i="1"/>
  <c r="AA100" i="1"/>
  <c r="AA101" i="1"/>
  <c r="AA88" i="1"/>
  <c r="AA224" i="1"/>
  <c r="V224" i="1" s="1"/>
  <c r="AA225" i="1"/>
  <c r="V225" i="1" s="1"/>
  <c r="AA226" i="1"/>
  <c r="V226" i="1" s="1"/>
  <c r="AA227" i="1"/>
  <c r="V227" i="1" s="1"/>
  <c r="AA228" i="1"/>
  <c r="V228" i="1" s="1"/>
  <c r="AA229" i="1"/>
  <c r="V229" i="1" s="1"/>
  <c r="AA230" i="1"/>
  <c r="V230" i="1" s="1"/>
  <c r="AA223" i="1"/>
  <c r="V223" i="1" s="1"/>
  <c r="AE342" i="1"/>
  <c r="AE343" i="1"/>
  <c r="AE344" i="1"/>
  <c r="AE345" i="1"/>
  <c r="AE346" i="1"/>
  <c r="AE347" i="1"/>
  <c r="AE348" i="1"/>
  <c r="AE349" i="1"/>
  <c r="AE350" i="1"/>
  <c r="AE351" i="1"/>
  <c r="AE352" i="1"/>
  <c r="AE353" i="1"/>
  <c r="AE354" i="1"/>
  <c r="AE355" i="1"/>
  <c r="AE341" i="1"/>
  <c r="AA293" i="1"/>
  <c r="AA294" i="1"/>
  <c r="AA295" i="1"/>
  <c r="AA296" i="1"/>
  <c r="AA297" i="1"/>
  <c r="AA298" i="1"/>
  <c r="AA299" i="1"/>
  <c r="AA292" i="1"/>
  <c r="I820" i="1"/>
  <c r="I819" i="1"/>
  <c r="I818" i="1"/>
  <c r="I817" i="1"/>
  <c r="I816" i="1"/>
  <c r="AC781" i="1"/>
  <c r="V781" i="1" s="1"/>
  <c r="I781" i="1"/>
  <c r="I780" i="1"/>
  <c r="I779" i="1"/>
  <c r="I778" i="1"/>
  <c r="AH742" i="1"/>
  <c r="AA742" i="1"/>
  <c r="V742" i="1" s="1"/>
  <c r="I742" i="1"/>
  <c r="AH741" i="1"/>
  <c r="AA741" i="1"/>
  <c r="V741" i="1" s="1"/>
  <c r="I741" i="1"/>
  <c r="I740" i="1"/>
  <c r="I739" i="1"/>
  <c r="I738" i="1"/>
  <c r="I737" i="1"/>
  <c r="I736" i="1"/>
  <c r="I735" i="1"/>
  <c r="I734" i="1"/>
  <c r="I733" i="1"/>
  <c r="I732" i="1"/>
  <c r="I731" i="1"/>
  <c r="I730" i="1"/>
  <c r="I729" i="1"/>
  <c r="I728" i="1"/>
  <c r="AA700" i="1"/>
  <c r="I700" i="1"/>
  <c r="AA699" i="1"/>
  <c r="V699" i="1"/>
  <c r="I699" i="1"/>
  <c r="I696" i="1"/>
  <c r="I695" i="1"/>
  <c r="I694" i="1"/>
  <c r="I693" i="1"/>
  <c r="I692" i="1"/>
  <c r="I691" i="1"/>
  <c r="I690" i="1"/>
  <c r="I689" i="1"/>
  <c r="I688" i="1"/>
  <c r="I687" i="1"/>
  <c r="I686" i="1"/>
  <c r="I685" i="1"/>
  <c r="I684" i="1"/>
  <c r="I683" i="1"/>
  <c r="AA678" i="1"/>
  <c r="AA677" i="1"/>
  <c r="I672" i="1"/>
  <c r="I671" i="1"/>
  <c r="I670" i="1"/>
  <c r="I669" i="1"/>
  <c r="I668" i="1"/>
  <c r="I667" i="1"/>
  <c r="I666" i="1"/>
  <c r="I665" i="1"/>
  <c r="I664" i="1"/>
  <c r="I663" i="1"/>
  <c r="I662" i="1"/>
  <c r="I661" i="1"/>
  <c r="I660" i="1"/>
  <c r="I659" i="1"/>
  <c r="I658" i="1"/>
  <c r="I657" i="1"/>
  <c r="I656" i="1"/>
  <c r="I655" i="1"/>
  <c r="I654" i="1"/>
  <c r="I653" i="1"/>
  <c r="I635" i="1"/>
  <c r="I634" i="1"/>
  <c r="I633" i="1"/>
  <c r="I632" i="1"/>
  <c r="I631" i="1"/>
  <c r="I630" i="1"/>
  <c r="I629" i="1"/>
  <c r="I628" i="1"/>
  <c r="I627" i="1"/>
  <c r="I626" i="1"/>
  <c r="I625" i="1"/>
  <c r="I624" i="1"/>
  <c r="I623" i="1"/>
  <c r="I622" i="1"/>
  <c r="I621" i="1"/>
  <c r="I620" i="1"/>
  <c r="I619" i="1"/>
  <c r="I618" i="1"/>
  <c r="I617" i="1"/>
  <c r="I616" i="1"/>
  <c r="I615" i="1"/>
  <c r="I614" i="1"/>
  <c r="I613" i="1"/>
  <c r="I612" i="1"/>
  <c r="AH611" i="1"/>
  <c r="I611" i="1"/>
  <c r="I606" i="1"/>
  <c r="I605" i="1"/>
  <c r="I604" i="1"/>
  <c r="I603" i="1"/>
  <c r="AC586" i="1"/>
  <c r="V586" i="1" s="1"/>
  <c r="I586" i="1"/>
  <c r="AC585" i="1"/>
  <c r="V585" i="1" s="1"/>
  <c r="I585" i="1"/>
  <c r="AC584" i="1"/>
  <c r="V584" i="1" s="1"/>
  <c r="I584" i="1"/>
  <c r="AC583" i="1"/>
  <c r="V583" i="1" s="1"/>
  <c r="I583" i="1"/>
  <c r="AC574" i="1"/>
  <c r="I574" i="1"/>
  <c r="AC573" i="1"/>
  <c r="I573" i="1"/>
  <c r="I467" i="1"/>
  <c r="I466" i="1"/>
  <c r="I465" i="1"/>
  <c r="I464" i="1"/>
  <c r="I463" i="1"/>
  <c r="I462" i="1"/>
  <c r="I461" i="1"/>
  <c r="I460" i="1"/>
  <c r="I459" i="1"/>
  <c r="I458" i="1"/>
  <c r="I457" i="1"/>
  <c r="I456" i="1"/>
  <c r="I455" i="1"/>
  <c r="I454" i="1"/>
  <c r="I453" i="1"/>
  <c r="I452" i="1"/>
  <c r="I442" i="1"/>
  <c r="I441" i="1"/>
  <c r="I440" i="1"/>
  <c r="I439" i="1"/>
  <c r="I438" i="1"/>
  <c r="I437" i="1"/>
  <c r="I436" i="1"/>
  <c r="I435" i="1"/>
  <c r="I434" i="1"/>
  <c r="I433" i="1"/>
  <c r="I432" i="1"/>
  <c r="I431" i="1"/>
  <c r="I355" i="1"/>
  <c r="I354" i="1"/>
  <c r="I353" i="1"/>
  <c r="I352" i="1"/>
  <c r="I351" i="1"/>
  <c r="I350" i="1"/>
  <c r="I349" i="1"/>
  <c r="I348" i="1"/>
  <c r="I347" i="1"/>
  <c r="I346" i="1"/>
  <c r="I345" i="1"/>
  <c r="I344" i="1"/>
  <c r="I343" i="1"/>
  <c r="I342" i="1"/>
  <c r="I341" i="1"/>
  <c r="I299" i="1"/>
  <c r="I298" i="1"/>
  <c r="I297" i="1"/>
  <c r="I296" i="1"/>
  <c r="I295" i="1"/>
  <c r="I294" i="1"/>
  <c r="I293" i="1"/>
  <c r="I292" i="1"/>
  <c r="AH287" i="1"/>
  <c r="V287" i="1" s="1"/>
  <c r="AB287" i="1"/>
  <c r="I287" i="1"/>
  <c r="AH286" i="1"/>
  <c r="AB286" i="1"/>
  <c r="I286" i="1"/>
  <c r="AH285" i="1"/>
  <c r="V285" i="1" s="1"/>
  <c r="AB285" i="1"/>
  <c r="I285" i="1"/>
  <c r="AH284" i="1"/>
  <c r="V284" i="1" s="1"/>
  <c r="AB284" i="1"/>
  <c r="I284" i="1"/>
  <c r="AH283" i="1"/>
  <c r="AB283" i="1"/>
  <c r="I283" i="1"/>
  <c r="AH282" i="1"/>
  <c r="AB282" i="1"/>
  <c r="I282" i="1"/>
  <c r="AH281" i="1"/>
  <c r="AB281" i="1"/>
  <c r="I281" i="1"/>
  <c r="AH280" i="1"/>
  <c r="AB280" i="1"/>
  <c r="I280" i="1"/>
  <c r="AH279" i="1"/>
  <c r="AB279" i="1"/>
  <c r="I279" i="1"/>
  <c r="X244" i="1"/>
  <c r="I244" i="1"/>
  <c r="X243" i="1"/>
  <c r="I243" i="1"/>
  <c r="X242" i="1"/>
  <c r="I242" i="1"/>
  <c r="X241" i="1"/>
  <c r="I241" i="1"/>
  <c r="X240" i="1"/>
  <c r="I240" i="1"/>
  <c r="X239" i="1"/>
  <c r="I239" i="1"/>
  <c r="I230" i="1"/>
  <c r="I229" i="1"/>
  <c r="I228" i="1"/>
  <c r="I227" i="1"/>
  <c r="I226" i="1"/>
  <c r="I225" i="1"/>
  <c r="I224" i="1"/>
  <c r="I223" i="1"/>
  <c r="X133" i="1"/>
  <c r="V133" i="1"/>
  <c r="I133" i="1"/>
  <c r="X132" i="1"/>
  <c r="V132" i="1"/>
  <c r="I13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24" i="1"/>
  <c r="I23" i="1"/>
  <c r="I22" i="1"/>
  <c r="I21" i="1"/>
  <c r="V286" i="1" l="1"/>
  <c r="AC699" i="1"/>
  <c r="V283" i="1"/>
  <c r="V281" i="1"/>
  <c r="V280" i="1"/>
  <c r="V573" i="1"/>
  <c r="V574" i="1"/>
  <c r="V282" i="1"/>
  <c r="V611" i="1"/>
  <c r="V279" i="1"/>
  <c r="AA1062" i="1" l="1"/>
  <c r="V1062" i="1" s="1"/>
  <c r="AA1061" i="1"/>
  <c r="V1061" i="1" s="1"/>
  <c r="AA1060" i="1"/>
  <c r="V1060" i="1" s="1"/>
  <c r="AA1059" i="1"/>
  <c r="V1059" i="1" s="1"/>
  <c r="AA1058" i="1"/>
  <c r="V1058" i="1" s="1"/>
  <c r="AA1057" i="1"/>
  <c r="V1057" i="1" s="1"/>
  <c r="AA1056" i="1"/>
  <c r="V1056" i="1" s="1"/>
  <c r="AA1055" i="1"/>
  <c r="V1055" i="1" s="1"/>
  <c r="AA1054" i="1"/>
  <c r="V1054" i="1" s="1"/>
  <c r="AA1053" i="1"/>
  <c r="V1053" i="1" s="1"/>
  <c r="AA1052" i="1"/>
  <c r="V1052" i="1" s="1"/>
  <c r="AA1051" i="1"/>
  <c r="V1051" i="1" s="1"/>
  <c r="AA1050" i="1"/>
  <c r="V1050" i="1" s="1"/>
  <c r="AA1049" i="1"/>
  <c r="V1049" i="1" s="1"/>
  <c r="AA1032" i="1"/>
  <c r="V1032" i="1" s="1"/>
  <c r="AA1031" i="1"/>
  <c r="V1031" i="1" s="1"/>
  <c r="AA1030" i="1"/>
  <c r="V1030" i="1" s="1"/>
  <c r="AA1029" i="1"/>
  <c r="V1029" i="1" s="1"/>
  <c r="AA1028" i="1"/>
  <c r="V1028" i="1" s="1"/>
  <c r="AA1027" i="1"/>
  <c r="V1027" i="1" s="1"/>
  <c r="AA1026" i="1"/>
  <c r="V1026" i="1" s="1"/>
  <c r="AA1025" i="1"/>
  <c r="V1025" i="1" s="1"/>
  <c r="AA1024" i="1"/>
  <c r="V1024" i="1" s="1"/>
  <c r="AA1023" i="1"/>
  <c r="V1023" i="1" s="1"/>
  <c r="AA1022" i="1"/>
  <c r="V1022" i="1" s="1"/>
  <c r="AA1021" i="1"/>
  <c r="V1021" i="1" s="1"/>
  <c r="AA1020" i="1"/>
  <c r="V1020" i="1" s="1"/>
  <c r="AA1019" i="1"/>
  <c r="V1019" i="1" s="1"/>
  <c r="I1018" i="1"/>
  <c r="I1017" i="1"/>
  <c r="I1016" i="1"/>
  <c r="I1015" i="1"/>
  <c r="I1014" i="1"/>
  <c r="I1013" i="1"/>
  <c r="I1012" i="1"/>
  <c r="I1011" i="1"/>
  <c r="AA1009" i="1"/>
  <c r="AA1008" i="1"/>
  <c r="AA1007" i="1"/>
  <c r="AA1006" i="1"/>
  <c r="AA1005" i="1"/>
  <c r="AA1004" i="1"/>
  <c r="AA1003" i="1"/>
  <c r="AA1002" i="1"/>
  <c r="AA995" i="1"/>
  <c r="I995" i="1"/>
  <c r="AA994" i="1"/>
  <c r="I994" i="1"/>
  <c r="AA993" i="1"/>
  <c r="I993" i="1"/>
  <c r="AA992" i="1"/>
  <c r="I992" i="1"/>
  <c r="AA991" i="1"/>
  <c r="I991" i="1"/>
  <c r="AA990" i="1"/>
  <c r="I990" i="1"/>
  <c r="I983" i="1"/>
  <c r="I982" i="1"/>
  <c r="I981" i="1"/>
  <c r="I980" i="1"/>
  <c r="I979" i="1"/>
  <c r="I978" i="1"/>
  <c r="I977" i="1"/>
  <c r="I976" i="1"/>
  <c r="I975" i="1"/>
  <c r="AA974" i="1"/>
  <c r="V974" i="1" s="1"/>
  <c r="I974" i="1"/>
  <c r="AA973" i="1"/>
  <c r="V973" i="1" s="1"/>
  <c r="I973" i="1"/>
  <c r="AA972" i="1"/>
  <c r="V972" i="1" s="1"/>
  <c r="I972" i="1"/>
  <c r="AA971" i="1"/>
  <c r="V971" i="1" s="1"/>
  <c r="I971" i="1"/>
  <c r="AA970" i="1"/>
  <c r="V970" i="1" s="1"/>
  <c r="I970" i="1"/>
  <c r="AA969" i="1"/>
  <c r="V969" i="1" s="1"/>
  <c r="I969" i="1"/>
  <c r="AA968" i="1"/>
  <c r="V968" i="1" s="1"/>
  <c r="I968" i="1"/>
  <c r="AA967" i="1"/>
  <c r="V967" i="1" s="1"/>
  <c r="I967" i="1"/>
  <c r="AA966" i="1"/>
  <c r="V966" i="1" s="1"/>
  <c r="I966" i="1"/>
  <c r="AA965" i="1"/>
  <c r="V965" i="1" s="1"/>
  <c r="I965" i="1"/>
  <c r="AD948" i="1"/>
  <c r="Y948" i="1"/>
  <c r="AD947" i="1"/>
  <c r="Y947" i="1"/>
  <c r="AD946" i="1"/>
  <c r="Y946" i="1"/>
  <c r="AD945" i="1"/>
  <c r="Y945" i="1"/>
  <c r="AD944" i="1"/>
  <c r="Y944" i="1"/>
  <c r="AD943" i="1"/>
  <c r="Y943" i="1"/>
  <c r="AD942" i="1"/>
  <c r="Y942" i="1"/>
  <c r="AD941" i="1"/>
  <c r="Y941" i="1"/>
  <c r="I924" i="1"/>
  <c r="I923" i="1"/>
  <c r="I922" i="1"/>
  <c r="I921" i="1"/>
  <c r="I920" i="1"/>
  <c r="I919" i="1"/>
  <c r="I918" i="1"/>
  <c r="I917" i="1"/>
  <c r="I864" i="1"/>
  <c r="I863" i="1"/>
  <c r="I862" i="1"/>
  <c r="I861" i="1"/>
  <c r="I860" i="1"/>
  <c r="I851" i="1"/>
  <c r="AH850" i="1"/>
  <c r="AB850" i="1"/>
  <c r="I850" i="1"/>
  <c r="AH849" i="1"/>
  <c r="AB849" i="1"/>
  <c r="I849" i="1"/>
  <c r="AH848" i="1"/>
  <c r="AB848" i="1"/>
  <c r="I848" i="1"/>
  <c r="AH847" i="1"/>
  <c r="AB847" i="1"/>
  <c r="I847" i="1"/>
  <c r="AH846" i="1"/>
  <c r="AB846" i="1"/>
  <c r="I846" i="1"/>
  <c r="AH845" i="1"/>
  <c r="AB845" i="1"/>
  <c r="I845" i="1"/>
  <c r="AH844" i="1"/>
  <c r="AB844" i="1"/>
  <c r="I844" i="1"/>
  <c r="AH843" i="1"/>
  <c r="AB843" i="1"/>
  <c r="I843" i="1"/>
  <c r="AH842" i="1"/>
  <c r="AB842" i="1"/>
  <c r="I842" i="1"/>
  <c r="AH841" i="1"/>
  <c r="AB841" i="1"/>
  <c r="I841" i="1"/>
  <c r="AH840" i="1"/>
  <c r="AB840" i="1"/>
  <c r="I840" i="1"/>
  <c r="AH839" i="1"/>
  <c r="AB839" i="1"/>
  <c r="I839" i="1"/>
  <c r="AH838" i="1"/>
  <c r="AB838" i="1"/>
  <c r="I838" i="1"/>
  <c r="AH837" i="1"/>
  <c r="AB837" i="1"/>
  <c r="I837" i="1"/>
  <c r="AH836" i="1"/>
  <c r="AB836" i="1"/>
  <c r="I836" i="1"/>
  <c r="AH835" i="1"/>
  <c r="AB835" i="1"/>
  <c r="I835" i="1"/>
  <c r="AH834" i="1"/>
  <c r="AB834" i="1"/>
  <c r="I834" i="1"/>
  <c r="AH833" i="1"/>
  <c r="AB833" i="1"/>
  <c r="I833" i="1"/>
  <c r="AH832" i="1"/>
  <c r="AB832" i="1"/>
  <c r="I832" i="1"/>
  <c r="AH831" i="1"/>
  <c r="AB831" i="1"/>
  <c r="I831" i="1"/>
  <c r="AH830" i="1"/>
  <c r="AB830" i="1"/>
  <c r="I830" i="1"/>
  <c r="AH829" i="1"/>
  <c r="AB829" i="1"/>
  <c r="I829" i="1"/>
  <c r="AH828" i="1"/>
  <c r="AB828" i="1"/>
  <c r="I828" i="1"/>
  <c r="AH827" i="1"/>
  <c r="AB827" i="1"/>
  <c r="I827" i="1"/>
  <c r="AH826" i="1"/>
  <c r="AB826" i="1"/>
  <c r="I826" i="1"/>
  <c r="AH825" i="1"/>
  <c r="AB825" i="1"/>
  <c r="I825" i="1"/>
  <c r="AH824" i="1"/>
  <c r="AB824" i="1"/>
  <c r="I824" i="1"/>
  <c r="AH823" i="1"/>
  <c r="AB823" i="1"/>
  <c r="I823" i="1"/>
  <c r="AH822" i="1"/>
  <c r="AB822" i="1"/>
  <c r="I822" i="1"/>
  <c r="AH821" i="1"/>
  <c r="AB821" i="1"/>
  <c r="I821" i="1"/>
  <c r="AC795" i="1"/>
  <c r="V795" i="1" s="1"/>
  <c r="AC794" i="1"/>
  <c r="V794" i="1" s="1"/>
  <c r="AC793" i="1"/>
  <c r="V793" i="1" s="1"/>
  <c r="AC792" i="1"/>
  <c r="V792" i="1" s="1"/>
  <c r="AC791" i="1"/>
  <c r="V791" i="1" s="1"/>
  <c r="AC790" i="1"/>
  <c r="V790" i="1" s="1"/>
  <c r="AC789" i="1"/>
  <c r="V789" i="1" s="1"/>
  <c r="AC788" i="1"/>
  <c r="V788" i="1" s="1"/>
  <c r="AC787" i="1"/>
  <c r="V787" i="1" s="1"/>
  <c r="AC786" i="1"/>
  <c r="V786" i="1" s="1"/>
  <c r="I783" i="1"/>
  <c r="I782" i="1"/>
  <c r="I768" i="1"/>
  <c r="I767" i="1"/>
  <c r="I766" i="1"/>
  <c r="I765" i="1"/>
  <c r="I764" i="1"/>
  <c r="I763" i="1"/>
  <c r="I762" i="1"/>
  <c r="I761" i="1"/>
  <c r="I760" i="1"/>
  <c r="V759" i="1"/>
  <c r="I759" i="1"/>
  <c r="V719" i="1"/>
  <c r="V718" i="1"/>
  <c r="I710" i="1"/>
  <c r="I709" i="1"/>
  <c r="I708" i="1"/>
  <c r="I707" i="1"/>
  <c r="I706" i="1"/>
  <c r="I705" i="1"/>
  <c r="I704" i="1"/>
  <c r="I703" i="1"/>
  <c r="I702" i="1"/>
  <c r="I701" i="1"/>
  <c r="AC641" i="1"/>
  <c r="V641" i="1" s="1"/>
  <c r="I641" i="1"/>
  <c r="AC640" i="1"/>
  <c r="V640" i="1" s="1"/>
  <c r="I640" i="1"/>
  <c r="AC639" i="1"/>
  <c r="V639" i="1" s="1"/>
  <c r="I639" i="1"/>
  <c r="AC638" i="1"/>
  <c r="V638" i="1" s="1"/>
  <c r="I638" i="1"/>
  <c r="AA588" i="1"/>
  <c r="V588" i="1" s="1"/>
  <c r="I588" i="1"/>
  <c r="AA587" i="1"/>
  <c r="V587" i="1" s="1"/>
  <c r="I587" i="1"/>
  <c r="I572" i="1"/>
  <c r="I571" i="1"/>
  <c r="I570" i="1"/>
  <c r="I569" i="1"/>
  <c r="I568" i="1"/>
  <c r="I567" i="1"/>
  <c r="I566" i="1"/>
  <c r="I565" i="1"/>
  <c r="I564" i="1"/>
  <c r="I563" i="1"/>
  <c r="I562" i="1"/>
  <c r="I561" i="1"/>
  <c r="AA560" i="1"/>
  <c r="AA572" i="1" s="1"/>
  <c r="I560" i="1"/>
  <c r="AA559" i="1"/>
  <c r="AA571" i="1" s="1"/>
  <c r="I559" i="1"/>
  <c r="AA558" i="1"/>
  <c r="AA570" i="1" s="1"/>
  <c r="I558" i="1"/>
  <c r="AA557" i="1"/>
  <c r="AA569" i="1" s="1"/>
  <c r="I557" i="1"/>
  <c r="AA556" i="1"/>
  <c r="AA568" i="1" s="1"/>
  <c r="I556" i="1"/>
  <c r="AA555" i="1"/>
  <c r="AA567" i="1" s="1"/>
  <c r="I555" i="1"/>
  <c r="AA554" i="1"/>
  <c r="AA566" i="1" s="1"/>
  <c r="I554" i="1"/>
  <c r="AA553" i="1"/>
  <c r="AA565" i="1" s="1"/>
  <c r="I553" i="1"/>
  <c r="AA552" i="1"/>
  <c r="AA564" i="1" s="1"/>
  <c r="I552" i="1"/>
  <c r="AA551" i="1"/>
  <c r="AA563" i="1" s="1"/>
  <c r="I551" i="1"/>
  <c r="AA550" i="1"/>
  <c r="AA562" i="1" s="1"/>
  <c r="I550" i="1"/>
  <c r="AA549" i="1"/>
  <c r="AA561" i="1" s="1"/>
  <c r="I549" i="1"/>
  <c r="AH548" i="1"/>
  <c r="I548" i="1"/>
  <c r="AH547" i="1"/>
  <c r="I547" i="1"/>
  <c r="AH546" i="1"/>
  <c r="I546" i="1"/>
  <c r="X490" i="1"/>
  <c r="X489" i="1"/>
  <c r="X488" i="1"/>
  <c r="X487" i="1"/>
  <c r="W486" i="1"/>
  <c r="I486" i="1"/>
  <c r="I446" i="1"/>
  <c r="I427" i="1"/>
  <c r="I426" i="1"/>
  <c r="W416" i="1"/>
  <c r="V416" i="1" s="1"/>
  <c r="W415" i="1"/>
  <c r="V415" i="1" s="1"/>
  <c r="W414" i="1"/>
  <c r="V414" i="1" s="1"/>
  <c r="I367" i="1"/>
  <c r="AA378" i="1"/>
  <c r="AA377" i="1"/>
  <c r="AA376" i="1"/>
  <c r="AA375" i="1"/>
  <c r="AA374" i="1"/>
  <c r="AC373" i="1"/>
  <c r="V373" i="1"/>
  <c r="I373" i="1"/>
  <c r="AC372" i="1"/>
  <c r="V372" i="1"/>
  <c r="I372" i="1"/>
  <c r="AC371" i="1"/>
  <c r="V371" i="1"/>
  <c r="I371" i="1"/>
  <c r="AC370" i="1"/>
  <c r="V370" i="1"/>
  <c r="I370" i="1"/>
  <c r="AC369" i="1"/>
  <c r="V369" i="1"/>
  <c r="I369" i="1"/>
  <c r="AC368" i="1"/>
  <c r="V368" i="1"/>
  <c r="I368" i="1"/>
  <c r="W364" i="1"/>
  <c r="W363" i="1"/>
  <c r="W362" i="1"/>
  <c r="W361" i="1"/>
  <c r="AE306" i="1"/>
  <c r="AA306" i="1"/>
  <c r="V306" i="1"/>
  <c r="AE305" i="1"/>
  <c r="AA305" i="1"/>
  <c r="V305" i="1"/>
  <c r="AE304" i="1"/>
  <c r="AA304" i="1"/>
  <c r="V304" i="1"/>
  <c r="AE303" i="1"/>
  <c r="AA303" i="1"/>
  <c r="V303" i="1"/>
  <c r="AE302" i="1"/>
  <c r="AA302" i="1"/>
  <c r="V302" i="1"/>
  <c r="AE301" i="1"/>
  <c r="AA301" i="1"/>
  <c r="V301" i="1"/>
  <c r="AE300" i="1"/>
  <c r="AA300" i="1"/>
  <c r="V300" i="1"/>
  <c r="AH291" i="1"/>
  <c r="AC291" i="1"/>
  <c r="V291" i="1" s="1"/>
  <c r="I291" i="1"/>
  <c r="AH290" i="1"/>
  <c r="AC290" i="1"/>
  <c r="V290" i="1" s="1"/>
  <c r="I290" i="1"/>
  <c r="AH289" i="1"/>
  <c r="AC289" i="1"/>
  <c r="V289" i="1" s="1"/>
  <c r="I289" i="1"/>
  <c r="AH288" i="1"/>
  <c r="AC288" i="1"/>
  <c r="V288" i="1" s="1"/>
  <c r="I288" i="1"/>
  <c r="AG9" i="1"/>
  <c r="AA9" i="1"/>
  <c r="V9" i="1"/>
  <c r="I9" i="1"/>
  <c r="AG8" i="1"/>
  <c r="AA8" i="1"/>
  <c r="V8" i="1"/>
  <c r="I8" i="1"/>
  <c r="AG7" i="1"/>
  <c r="AA7" i="1"/>
  <c r="V7" i="1"/>
  <c r="I7" i="1"/>
  <c r="AG6" i="1"/>
  <c r="AA6" i="1"/>
  <c r="V6" i="1"/>
  <c r="I6" i="1"/>
  <c r="AG5" i="1"/>
  <c r="AA5" i="1"/>
  <c r="V5" i="1"/>
  <c r="I5" i="1"/>
  <c r="AG4" i="1"/>
  <c r="AA4" i="1"/>
  <c r="V4" i="1"/>
  <c r="I4" i="1"/>
  <c r="AG3" i="1"/>
  <c r="AA3" i="1"/>
  <c r="V3" i="1"/>
  <c r="I3" i="1"/>
  <c r="AG2" i="1"/>
  <c r="AA2" i="1"/>
  <c r="V2" i="1"/>
  <c r="I2" i="1"/>
  <c r="AC269" i="1"/>
  <c r="AA269" i="1"/>
  <c r="AC268" i="1"/>
  <c r="AA268" i="1"/>
  <c r="AC267" i="1"/>
  <c r="AA267" i="1"/>
  <c r="AC266" i="1"/>
  <c r="AA266" i="1"/>
  <c r="I266" i="1"/>
  <c r="W238" i="1"/>
  <c r="V238" i="1" s="1"/>
  <c r="W237" i="1"/>
  <c r="V237" i="1" s="1"/>
  <c r="W236" i="1"/>
  <c r="V236" i="1" s="1"/>
  <c r="W235" i="1"/>
  <c r="V235" i="1" s="1"/>
  <c r="W234" i="1"/>
  <c r="V234" i="1" s="1"/>
  <c r="W233" i="1"/>
  <c r="V233" i="1" s="1"/>
  <c r="W232" i="1"/>
  <c r="V232" i="1" s="1"/>
  <c r="W231" i="1"/>
  <c r="V231" i="1" s="1"/>
  <c r="AA220" i="1"/>
  <c r="AA219" i="1"/>
  <c r="AA218" i="1"/>
  <c r="AA217" i="1"/>
  <c r="AA216" i="1"/>
  <c r="AA215" i="1"/>
  <c r="AA214" i="1"/>
  <c r="AA213" i="1"/>
  <c r="AE208" i="1"/>
  <c r="AD208" i="1"/>
  <c r="AE207" i="1"/>
  <c r="AD207" i="1"/>
  <c r="AE204" i="1"/>
  <c r="AD204" i="1"/>
  <c r="AE203" i="1"/>
  <c r="AD203" i="1"/>
  <c r="AE200" i="1"/>
  <c r="AD200" i="1"/>
  <c r="AE199" i="1"/>
  <c r="AD199" i="1"/>
  <c r="AE196" i="1"/>
  <c r="AD196" i="1"/>
  <c r="AE195" i="1"/>
  <c r="AD195" i="1"/>
  <c r="AE192" i="1"/>
  <c r="AD192" i="1"/>
  <c r="AE191" i="1"/>
  <c r="AD191" i="1"/>
  <c r="AE188" i="1"/>
  <c r="AD188" i="1"/>
  <c r="AE187" i="1"/>
  <c r="AD187" i="1"/>
  <c r="AA149" i="1"/>
  <c r="V149" i="1"/>
  <c r="AA148" i="1"/>
  <c r="V148" i="1"/>
  <c r="AA147" i="1"/>
  <c r="V147" i="1"/>
  <c r="AA146" i="1"/>
  <c r="V146" i="1"/>
  <c r="AA145" i="1"/>
  <c r="V145" i="1"/>
  <c r="AA144" i="1"/>
  <c r="V144" i="1"/>
  <c r="V143" i="1"/>
  <c r="AA142" i="1"/>
  <c r="V142" i="1"/>
  <c r="AA141" i="1"/>
  <c r="V141" i="1"/>
  <c r="AA140" i="1"/>
  <c r="V140" i="1"/>
  <c r="AA139" i="1"/>
  <c r="V139" i="1"/>
  <c r="AA138" i="1"/>
  <c r="V138" i="1"/>
  <c r="AA137" i="1"/>
  <c r="V137" i="1"/>
  <c r="AA136" i="1"/>
  <c r="V136" i="1"/>
  <c r="V135" i="1"/>
  <c r="AA134" i="1"/>
  <c r="V134" i="1"/>
  <c r="AA123" i="1"/>
  <c r="AA122" i="1"/>
  <c r="AA121" i="1"/>
  <c r="AA120" i="1"/>
  <c r="X72" i="1"/>
  <c r="I72" i="1"/>
  <c r="X71" i="1"/>
  <c r="I71" i="1"/>
  <c r="X70" i="1"/>
  <c r="I70" i="1"/>
  <c r="X69" i="1"/>
  <c r="I69" i="1"/>
  <c r="V68" i="1"/>
  <c r="I68" i="1"/>
  <c r="V67" i="1"/>
  <c r="I67" i="1"/>
  <c r="V66" i="1"/>
  <c r="I66" i="1"/>
  <c r="V65" i="1"/>
  <c r="I65" i="1"/>
  <c r="AB41" i="1"/>
  <c r="I41" i="1"/>
  <c r="AB40" i="1"/>
  <c r="I40" i="1"/>
  <c r="AB39" i="1"/>
  <c r="I39" i="1"/>
  <c r="AC28" i="1"/>
  <c r="AA28" i="1"/>
  <c r="V28" i="1"/>
  <c r="I28" i="1"/>
  <c r="AC27" i="1"/>
  <c r="AA27" i="1"/>
  <c r="V27" i="1"/>
  <c r="I27" i="1"/>
  <c r="AC26" i="1"/>
  <c r="AA26" i="1"/>
  <c r="V26" i="1"/>
  <c r="I26" i="1"/>
  <c r="AC25" i="1"/>
  <c r="AA25" i="1"/>
  <c r="V25" i="1"/>
  <c r="I25" i="1"/>
  <c r="V267" i="1" l="1"/>
  <c r="V834" i="1"/>
  <c r="V842" i="1"/>
  <c r="V850" i="1"/>
  <c r="V843" i="1"/>
  <c r="AC138" i="1"/>
  <c r="AC142" i="1"/>
  <c r="AC304" i="1"/>
  <c r="AC144" i="1"/>
  <c r="AC148" i="1"/>
  <c r="V837" i="1"/>
  <c r="V845" i="1"/>
  <c r="V944" i="1"/>
  <c r="V823" i="1"/>
  <c r="V831" i="1"/>
  <c r="V839" i="1"/>
  <c r="V269" i="1"/>
  <c r="V266" i="1"/>
  <c r="V828" i="1"/>
  <c r="V836" i="1"/>
  <c r="V844" i="1"/>
  <c r="V948" i="1"/>
  <c r="V847" i="1"/>
  <c r="V826" i="1"/>
  <c r="V945" i="1"/>
  <c r="V829" i="1"/>
  <c r="V268" i="1"/>
  <c r="V824" i="1"/>
  <c r="V832" i="1"/>
  <c r="V840" i="1"/>
  <c r="V848" i="1"/>
  <c r="V942" i="1"/>
  <c r="AC146" i="1"/>
  <c r="AC301" i="1"/>
  <c r="V825" i="1"/>
  <c r="V833" i="1"/>
  <c r="V841" i="1"/>
  <c r="V849" i="1"/>
  <c r="AC147" i="1"/>
  <c r="V821" i="1"/>
  <c r="V946" i="1"/>
  <c r="AC145" i="1"/>
  <c r="AC149" i="1"/>
  <c r="V827" i="1"/>
  <c r="V835" i="1"/>
  <c r="V822" i="1"/>
  <c r="V830" i="1"/>
  <c r="V838" i="1"/>
  <c r="V846" i="1"/>
  <c r="V943" i="1"/>
  <c r="V947" i="1"/>
  <c r="AC305" i="1"/>
  <c r="AC139" i="1"/>
  <c r="AC302" i="1"/>
  <c r="AC140" i="1"/>
  <c r="AC300" i="1"/>
  <c r="AC303" i="1"/>
  <c r="AC137" i="1"/>
  <c r="AC141" i="1"/>
  <c r="AC306" i="1"/>
  <c r="V941" i="1"/>
  <c r="AA65" i="1"/>
  <c r="AA68" i="1"/>
  <c r="AA66" i="1"/>
  <c r="AA67" i="1"/>
  <c r="AC136" i="1"/>
  <c r="AC1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Baca</author>
  </authors>
  <commentList>
    <comment ref="S1" authorId="0" shapeId="0" xr:uid="{36FA090F-09B2-4092-B408-3CF17C43898A}">
      <text>
        <r>
          <rPr>
            <b/>
            <sz val="9"/>
            <color indexed="81"/>
            <rFont val="Tahoma"/>
            <family val="2"/>
          </rPr>
          <t>Juan Baca:</t>
        </r>
        <r>
          <rPr>
            <sz val="9"/>
            <color indexed="81"/>
            <rFont val="Tahoma"/>
            <family val="2"/>
          </rPr>
          <t xml:space="preserve">
for thwe case where longitudinal variation alongside individual roots was measured</t>
        </r>
      </text>
    </comment>
    <comment ref="V1" authorId="0" shapeId="0" xr:uid="{5BDEDE39-A246-407B-8606-ED93E443A062}">
      <text>
        <r>
          <rPr>
            <b/>
            <sz val="9"/>
            <color indexed="81"/>
            <rFont val="Tahoma"/>
            <family val="2"/>
          </rPr>
          <t>Juan Baca:</t>
        </r>
        <r>
          <rPr>
            <sz val="9"/>
            <color indexed="81"/>
            <rFont val="Tahoma"/>
            <family val="2"/>
          </rPr>
          <t xml:space="preserve">
Unit is always (m3/Mpa*s) if flow is driven by a difference and m4/(Mpa*s) if driven by a gradient</t>
        </r>
      </text>
    </comment>
    <comment ref="AA1" authorId="0" shapeId="0" xr:uid="{83024454-E4B1-494B-926E-39F404A9766E}">
      <text>
        <r>
          <rPr>
            <b/>
            <sz val="9"/>
            <color indexed="81"/>
            <rFont val="Tahoma"/>
            <family val="2"/>
          </rPr>
          <t>Juan Baca:</t>
        </r>
        <r>
          <rPr>
            <sz val="9"/>
            <color indexed="81"/>
            <rFont val="Tahoma"/>
            <family val="2"/>
          </rPr>
          <t xml:space="preserve">
Unit is always m/(Mpa*s) if flow is driven by a difference and m2/(Mpa*s) if driven by a gradient</t>
        </r>
      </text>
    </comment>
    <comment ref="I2" authorId="0" shapeId="0" xr:uid="{2826EA97-15FC-40F2-B908-75AB7ADA0DCE}">
      <text>
        <r>
          <rPr>
            <b/>
            <sz val="9"/>
            <color indexed="81"/>
            <rFont val="Tahoma"/>
            <family val="2"/>
          </rPr>
          <t>Juan Baca:</t>
        </r>
        <r>
          <rPr>
            <sz val="9"/>
            <color indexed="81"/>
            <rFont val="Tahoma"/>
            <family val="2"/>
          </rPr>
          <t xml:space="preserve">
Root hydraulics parameters (conductance, conductivity and contribution of AQPs) were measured by
determining pressure-induced sap rates in six-week-old sunflower seedlings (page 2)</t>
        </r>
      </text>
    </comment>
    <comment ref="AC2" authorId="0" shapeId="0" xr:uid="{7FEBC863-B093-4454-BF99-4B13CF46FCCB}">
      <text>
        <r>
          <rPr>
            <b/>
            <sz val="9"/>
            <color indexed="81"/>
            <rFont val="Tahoma"/>
            <family val="2"/>
          </rPr>
          <t>Juan Baca:</t>
        </r>
        <r>
          <rPr>
            <sz val="9"/>
            <color indexed="81"/>
            <rFont val="Tahoma"/>
            <family val="2"/>
          </rPr>
          <t xml:space="preserve">
morphological data from Table 1</t>
        </r>
      </text>
    </comment>
    <comment ref="I10" authorId="0" shapeId="0" xr:uid="{ED6539C7-5FEE-4BA0-B641-75E5F10E38B4}">
      <text>
        <r>
          <rPr>
            <b/>
            <sz val="9"/>
            <color indexed="81"/>
            <rFont val="Tahoma"/>
            <family val="2"/>
          </rPr>
          <t>Juan Baca:</t>
        </r>
        <r>
          <rPr>
            <sz val="9"/>
            <color indexed="81"/>
            <rFont val="Tahoma"/>
            <family val="2"/>
          </rPr>
          <t xml:space="preserve">
Thereafter, 28-day-old plants were
placed in 0 (control) and 20% PEG 6000 (BioFroxx, Einhausen,
Germany) with an osmotic potential of −1.38 MPa for 3 days (page 3)</t>
        </r>
      </text>
    </comment>
    <comment ref="J10" authorId="0" shapeId="0" xr:uid="{46CD2B0C-7669-41D3-B8EA-0A13A03878F1}">
      <text>
        <r>
          <rPr>
            <b/>
            <sz val="9"/>
            <color indexed="81"/>
            <rFont val="Tahoma"/>
            <family val="2"/>
          </rPr>
          <t>Juan Baca:</t>
        </r>
        <r>
          <rPr>
            <sz val="9"/>
            <color indexed="81"/>
            <rFont val="Tahoma"/>
            <family val="2"/>
          </rPr>
          <t xml:space="preserve">
induced thorugh application of PEG</t>
        </r>
      </text>
    </comment>
    <comment ref="AA10" authorId="0" shapeId="0" xr:uid="{D147793C-0BC2-4D55-84E6-63D51AF7F75A}">
      <text>
        <r>
          <rPr>
            <b/>
            <sz val="9"/>
            <color indexed="81"/>
            <rFont val="Tahoma"/>
            <family val="2"/>
          </rPr>
          <t>Juan Baca:</t>
        </r>
        <r>
          <rPr>
            <sz val="9"/>
            <color indexed="81"/>
            <rFont val="Tahoma"/>
            <family val="2"/>
          </rPr>
          <t xml:space="preserve">
data from table 3</t>
        </r>
      </text>
    </comment>
    <comment ref="I18" authorId="0" shapeId="0" xr:uid="{4EC11107-9FDA-4556-962D-697F96A0CED3}">
      <text>
        <r>
          <rPr>
            <b/>
            <sz val="9"/>
            <color indexed="81"/>
            <rFont val="Tahoma"/>
            <family val="2"/>
          </rPr>
          <t>Juan Baca:</t>
        </r>
        <r>
          <rPr>
            <sz val="9"/>
            <color indexed="81"/>
            <rFont val="Tahoma"/>
            <family val="2"/>
          </rPr>
          <t xml:space="preserve">
data from table 2</t>
        </r>
      </text>
    </comment>
    <comment ref="X18" authorId="0" shapeId="0" xr:uid="{CD040696-F34B-4AD2-B0D5-7764C828B136}">
      <text>
        <r>
          <rPr>
            <b/>
            <sz val="9"/>
            <color indexed="81"/>
            <rFont val="Tahoma"/>
            <family val="2"/>
          </rPr>
          <t>Juan Baca:</t>
        </r>
        <r>
          <rPr>
            <sz val="9"/>
            <color indexed="81"/>
            <rFont val="Tahoma"/>
            <family val="2"/>
          </rPr>
          <t xml:space="preserve">
all data from table 2</t>
        </r>
      </text>
    </comment>
    <comment ref="X20" authorId="0" shapeId="0" xr:uid="{3734FF60-B1A2-49F9-A511-C812CCC0CC9A}">
      <text>
        <r>
          <rPr>
            <b/>
            <sz val="9"/>
            <color indexed="81"/>
            <rFont val="Tahoma"/>
            <family val="2"/>
          </rPr>
          <t>Juan Baca:</t>
        </r>
        <r>
          <rPr>
            <sz val="9"/>
            <color indexed="81"/>
            <rFont val="Tahoma"/>
            <family val="2"/>
          </rPr>
          <t xml:space="preserve">
Average kmax attained for WS seedlings was 58% (roots) and 71% (stems) lower than for
WW seedlings (page 1014)</t>
        </r>
      </text>
    </comment>
    <comment ref="I21" authorId="0" shapeId="0" xr:uid="{9AF08471-8FB2-49C2-933E-517762847D58}">
      <text>
        <r>
          <rPr>
            <b/>
            <sz val="9"/>
            <color indexed="81"/>
            <rFont val="Tahoma"/>
            <family val="2"/>
          </rPr>
          <t>Juan Baca:</t>
        </r>
        <r>
          <rPr>
            <sz val="9"/>
            <color indexed="81"/>
            <rFont val="Tahoma"/>
            <family val="2"/>
          </rPr>
          <t xml:space="preserve">
5 week old plants + 1 week for aclimation
(page 6) + 7 days of treatment (hipoxia and/or ethylene)</t>
        </r>
      </text>
    </comment>
    <comment ref="I25" authorId="0" shapeId="0" xr:uid="{8E91847B-D34C-4BB7-965E-E49587BC7BBB}">
      <text>
        <r>
          <rPr>
            <b/>
            <sz val="9"/>
            <color indexed="81"/>
            <rFont val="Tahoma"/>
            <family val="2"/>
          </rPr>
          <t>Juan Baca:</t>
        </r>
        <r>
          <rPr>
            <sz val="9"/>
            <color indexed="81"/>
            <rFont val="Tahoma"/>
            <family val="2"/>
          </rPr>
          <t xml:space="preserve">
The treatment started 8 days (for OUC613) or 10 days (for OUE812) after sowing (page 75) + 2 days of treatment (page 76-77)</t>
        </r>
      </text>
    </comment>
    <comment ref="I29" authorId="0" shapeId="0" xr:uid="{94F40DE2-6D23-48B5-BBAA-9EE1842838FB}">
      <text>
        <r>
          <rPr>
            <b/>
            <sz val="9"/>
            <color indexed="81"/>
            <rFont val="Tahoma"/>
            <family val="2"/>
          </rPr>
          <t>Juan Baca:</t>
        </r>
        <r>
          <rPr>
            <sz val="9"/>
            <color indexed="81"/>
            <rFont val="Tahoma"/>
            <family val="2"/>
          </rPr>
          <t xml:space="preserve">
 All full-scale
hydroponic experiments, including the untreated controls as the main objective of this study, were harvested
after 5 weeks  (page 3)</t>
        </r>
      </text>
    </comment>
    <comment ref="AA29" authorId="0" shapeId="0" xr:uid="{9E936EA7-D2D2-47C0-8055-038663D83A49}">
      <text>
        <r>
          <rPr>
            <b/>
            <sz val="9"/>
            <color indexed="81"/>
            <rFont val="Tahoma"/>
            <family val="2"/>
          </rPr>
          <t>Juan Baca:</t>
        </r>
        <r>
          <rPr>
            <sz val="9"/>
            <color indexed="81"/>
            <rFont val="Tahoma"/>
            <family val="2"/>
          </rPr>
          <t xml:space="preserve">
data from text (page 8)</t>
        </r>
      </text>
    </comment>
    <comment ref="I31" authorId="0" shapeId="0" xr:uid="{391EFEBA-4C49-4D46-BEDA-12B0D9BF65EA}">
      <text>
        <r>
          <rPr>
            <b/>
            <sz val="9"/>
            <color indexed="81"/>
            <rFont val="Tahoma"/>
            <family val="2"/>
          </rPr>
          <t>Juan Baca:</t>
        </r>
        <r>
          <rPr>
            <sz val="9"/>
            <color indexed="81"/>
            <rFont val="Tahoma"/>
            <family val="2"/>
          </rPr>
          <t xml:space="preserve">
The measurement was conducted in an experimental
room, where the room temperature was kept at
25.1 ± 0.6°C (±SD) on the 5 December 2017 (94 DAS) for IRAT 109, and the 9 December 2017 (98 DAS) for Taichung 65 (page 194)</t>
        </r>
      </text>
    </comment>
    <comment ref="AA31" authorId="0" shapeId="0" xr:uid="{03782398-BC12-4E61-82B1-488CFF83EA51}">
      <text>
        <r>
          <rPr>
            <b/>
            <sz val="9"/>
            <color indexed="81"/>
            <rFont val="Tahoma"/>
            <family val="2"/>
          </rPr>
          <t>Juan Baca:</t>
        </r>
        <r>
          <rPr>
            <sz val="9"/>
            <color indexed="81"/>
            <rFont val="Tahoma"/>
            <family val="2"/>
          </rPr>
          <t xml:space="preserve">
Data from table 3</t>
        </r>
      </text>
    </comment>
    <comment ref="I39" authorId="0" shapeId="0" xr:uid="{53B6A4AE-2BB9-4674-B859-D50A55A45BCB}">
      <text>
        <r>
          <rPr>
            <b/>
            <sz val="9"/>
            <color indexed="81"/>
            <rFont val="Tahoma"/>
            <family val="2"/>
          </rPr>
          <t>Juan Baca:</t>
        </r>
        <r>
          <rPr>
            <sz val="9"/>
            <color indexed="81"/>
            <rFont val="Tahoma"/>
            <family val="2"/>
          </rPr>
          <t xml:space="preserve">
We monitored daily
plant water status, as stem water potential (wstem), and canopy
conductance (gc) in four potted 2-yr-old olive plants subjected to
three levels of moderate water stress (page 128)</t>
        </r>
      </text>
    </comment>
    <comment ref="K39" authorId="0" shapeId="0" xr:uid="{466E1765-C4EB-4A0B-B949-389ED2C9CADC}">
      <text>
        <r>
          <rPr>
            <b/>
            <sz val="9"/>
            <color indexed="81"/>
            <rFont val="Tahoma"/>
            <family val="2"/>
          </rPr>
          <t>Juan Baca:</t>
        </r>
        <r>
          <rPr>
            <sz val="9"/>
            <color indexed="81"/>
            <rFont val="Tahoma"/>
            <family val="2"/>
          </rPr>
          <t xml:space="preserve">
values presented here refer to the water potential measured in the stem -&gt; different water stress levels; Control = 1MPa</t>
        </r>
      </text>
    </comment>
    <comment ref="I42" authorId="0" shapeId="0" xr:uid="{33911CA4-FA0C-4BD6-BF57-1053BE5A2B94}">
      <text>
        <r>
          <rPr>
            <b/>
            <sz val="9"/>
            <color indexed="81"/>
            <rFont val="Tahoma"/>
            <family val="2"/>
          </rPr>
          <t>Juan Baca:</t>
        </r>
        <r>
          <rPr>
            <sz val="9"/>
            <color indexed="81"/>
            <rFont val="Tahoma"/>
            <family val="2"/>
          </rPr>
          <t xml:space="preserve">
When 4-week (seedling stage), 8-week (flowering stage) and 11-week (podding stage) old, 16 plants from each stage were randomly divided into the control and waterlogging treatment group (page 432)</t>
        </r>
      </text>
    </comment>
    <comment ref="V42" authorId="0" shapeId="0" xr:uid="{73D18701-823C-411E-ACE3-F449B866D746}">
      <text>
        <r>
          <rPr>
            <b/>
            <sz val="9"/>
            <color indexed="81"/>
            <rFont val="Tahoma"/>
            <family val="2"/>
          </rPr>
          <t>Juan Baca:</t>
        </r>
        <r>
          <rPr>
            <sz val="9"/>
            <color indexed="81"/>
            <rFont val="Tahoma"/>
            <family val="2"/>
          </rPr>
          <t xml:space="preserve">
only values during seedling (vegetative) stage included</t>
        </r>
      </text>
    </comment>
    <comment ref="I48" authorId="0" shapeId="0" xr:uid="{F8EC4E52-EF05-4E92-A89A-FC7ADFB38486}">
      <text>
        <r>
          <rPr>
            <b/>
            <sz val="9"/>
            <color indexed="81"/>
            <rFont val="Tahoma"/>
            <family val="2"/>
          </rPr>
          <t>Juan Baca:</t>
        </r>
        <r>
          <rPr>
            <sz val="9"/>
            <color indexed="81"/>
            <rFont val="Tahoma"/>
            <family val="2"/>
          </rPr>
          <t xml:space="preserve">
At the analyzing stage, plants were 45–52-day-old and had developed 5–7 leaves (page 119)</t>
        </r>
      </text>
    </comment>
    <comment ref="K51" authorId="0" shapeId="0" xr:uid="{6715BC0C-8A31-45E3-881C-C0FCB7DC2782}">
      <text>
        <r>
          <rPr>
            <b/>
            <sz val="9"/>
            <color indexed="81"/>
            <rFont val="Tahoma"/>
            <family val="2"/>
          </rPr>
          <t>Juan Baca:</t>
        </r>
        <r>
          <rPr>
            <sz val="9"/>
            <color indexed="81"/>
            <rFont val="Tahoma"/>
            <family val="2"/>
          </rPr>
          <t xml:space="preserve">
AQP inhibitiond by application of mercuric chloride</t>
        </r>
      </text>
    </comment>
    <comment ref="I57" authorId="0" shapeId="0" xr:uid="{56B2DA37-71F3-4D32-98B5-BA9C2A0C1232}">
      <text>
        <r>
          <rPr>
            <b/>
            <sz val="9"/>
            <color indexed="81"/>
            <rFont val="Tahoma"/>
            <family val="2"/>
          </rPr>
          <t>Juan Baca:</t>
        </r>
        <r>
          <rPr>
            <sz val="9"/>
            <color indexed="81"/>
            <rFont val="Tahoma"/>
            <family val="2"/>
          </rPr>
          <t xml:space="preserve">
Seedlings were transplanted six weeks after germination into pots (page 2) + 6 week water stress treatment (legend Fig 1)</t>
        </r>
      </text>
    </comment>
    <comment ref="I61" authorId="0" shapeId="0" xr:uid="{56A4A557-8319-4988-A3AB-724C3B0B804B}">
      <text>
        <r>
          <rPr>
            <b/>
            <sz val="9"/>
            <color indexed="81"/>
            <rFont val="Tahoma"/>
            <family val="2"/>
          </rPr>
          <t>Juan Baca:</t>
        </r>
        <r>
          <rPr>
            <sz val="9"/>
            <color indexed="81"/>
            <rFont val="Tahoma"/>
            <family val="2"/>
          </rPr>
          <t xml:space="preserve">
Root hydraulic conductivity (Lpr) was measured in April-May 2019 from 9AM to 12PM on 15 day old plants (page 3)</t>
        </r>
      </text>
    </comment>
    <comment ref="V61" authorId="0" shapeId="0" xr:uid="{22BD8FDC-8504-4EFC-AD5B-8E53206977DA}">
      <text>
        <r>
          <rPr>
            <b/>
            <sz val="9"/>
            <color indexed="81"/>
            <rFont val="Tahoma"/>
            <family val="2"/>
          </rPr>
          <t>Juan Baca:</t>
        </r>
        <r>
          <rPr>
            <sz val="9"/>
            <color indexed="81"/>
            <rFont val="Tahoma"/>
            <family val="2"/>
          </rPr>
          <t xml:space="preserve">
Conductance/conductivity values extracted from Table S6</t>
        </r>
      </text>
    </comment>
    <comment ref="AC61" authorId="0" shapeId="0" xr:uid="{785C1279-4993-46B3-A8AD-C47578EDE0DA}">
      <text>
        <r>
          <rPr>
            <b/>
            <sz val="9"/>
            <color indexed="81"/>
            <rFont val="Tahoma"/>
            <family val="2"/>
          </rPr>
          <t>Juan Baca:</t>
        </r>
        <r>
          <rPr>
            <sz val="9"/>
            <color indexed="81"/>
            <rFont val="Tahoma"/>
            <family val="2"/>
          </rPr>
          <t xml:space="preserve">
root architecture parameteres extracted from Table S5</t>
        </r>
      </text>
    </comment>
    <comment ref="I65" authorId="0" shapeId="0" xr:uid="{2AAACE98-42D6-4A44-9D64-1013A9DAE649}">
      <text>
        <r>
          <rPr>
            <b/>
            <sz val="9"/>
            <color indexed="81"/>
            <rFont val="Tahoma"/>
            <family val="2"/>
          </rPr>
          <t>Juan Baca:</t>
        </r>
        <r>
          <rPr>
            <sz val="9"/>
            <color indexed="81"/>
            <rFont val="Tahoma"/>
            <family val="2"/>
          </rPr>
          <t xml:space="preserve">
3 weeks grwon in glasshouse + 10 days of treatment (page 2)</t>
        </r>
      </text>
    </comment>
    <comment ref="AC65" authorId="0" shapeId="0" xr:uid="{9A346630-88B1-449A-B56E-96A10D498199}">
      <text>
        <r>
          <rPr>
            <b/>
            <sz val="9"/>
            <color indexed="81"/>
            <rFont val="Tahoma"/>
            <family val="2"/>
          </rPr>
          <t>Juan Baca:</t>
        </r>
        <r>
          <rPr>
            <sz val="9"/>
            <color indexed="81"/>
            <rFont val="Tahoma"/>
            <family val="2"/>
          </rPr>
          <t xml:space="preserve">
morphological data from table 1</t>
        </r>
      </text>
    </comment>
    <comment ref="I69" authorId="0" shapeId="0" xr:uid="{5C42FCBA-548E-4419-B94B-5881FF890F94}">
      <text>
        <r>
          <rPr>
            <b/>
            <sz val="9"/>
            <color indexed="81"/>
            <rFont val="Tahoma"/>
            <family val="2"/>
          </rPr>
          <t>Juan Baca:</t>
        </r>
        <r>
          <rPr>
            <sz val="9"/>
            <color indexed="81"/>
            <rFont val="Tahoma"/>
            <family val="2"/>
          </rPr>
          <t xml:space="preserve">
1 year old rootlings grown for 2 months in a glasshouse (page 3)</t>
        </r>
      </text>
    </comment>
    <comment ref="I73" authorId="0" shapeId="0" xr:uid="{A4CEE906-85C2-427F-83DC-8D53ED545B02}">
      <text>
        <r>
          <rPr>
            <b/>
            <sz val="9"/>
            <color indexed="81"/>
            <rFont val="Tahoma"/>
            <family val="2"/>
          </rPr>
          <t>Juan Baca:</t>
        </r>
        <r>
          <rPr>
            <sz val="9"/>
            <color indexed="81"/>
            <rFont val="Tahoma"/>
            <family val="2"/>
          </rPr>
          <t xml:space="preserve">
1-year old genotypes, page 719; experiment started in september and conditions were kept until january and then 7 weeks of drought tretament (page 719)</t>
        </r>
      </text>
    </comment>
    <comment ref="K73" authorId="0" shapeId="0" xr:uid="{A2021F11-F2DB-4BBD-9620-E899858D019C}">
      <text>
        <r>
          <rPr>
            <b/>
            <sz val="9"/>
            <color indexed="81"/>
            <rFont val="Tahoma"/>
            <family val="2"/>
          </rPr>
          <t>Juan Baca:</t>
        </r>
        <r>
          <rPr>
            <sz val="9"/>
            <color indexed="81"/>
            <rFont val="Tahoma"/>
            <family val="2"/>
          </rPr>
          <t xml:space="preserve">
the number refers of the clone (genotype) classification</t>
        </r>
      </text>
    </comment>
    <comment ref="AE73" authorId="0" shapeId="0" xr:uid="{7E570042-C745-436D-BA11-0E631BE76211}">
      <text>
        <r>
          <rPr>
            <b/>
            <sz val="9"/>
            <color indexed="81"/>
            <rFont val="Tahoma"/>
            <family val="2"/>
          </rPr>
          <t>Juan Baca:</t>
        </r>
        <r>
          <rPr>
            <sz val="9"/>
            <color indexed="81"/>
            <rFont val="Tahoma"/>
            <family val="2"/>
          </rPr>
          <t xml:space="preserve">
data extracted directly from Table 1</t>
        </r>
      </text>
    </comment>
    <comment ref="I79" authorId="0" shapeId="0" xr:uid="{4BA24751-B2D1-4126-BAAE-CAB609FDDB46}">
      <text>
        <r>
          <rPr>
            <b/>
            <sz val="9"/>
            <color indexed="81"/>
            <rFont val="Tahoma"/>
            <family val="2"/>
          </rPr>
          <t>Juan Baca:</t>
        </r>
        <r>
          <rPr>
            <sz val="9"/>
            <color indexed="81"/>
            <rFont val="Tahoma"/>
            <family val="2"/>
          </rPr>
          <t xml:space="preserve">
six week old plants were used for measurements (page 153)</t>
        </r>
      </text>
    </comment>
    <comment ref="K79" authorId="0" shapeId="0" xr:uid="{FD51DCCA-F086-41AD-9550-CBB4B52F0AE9}">
      <text>
        <r>
          <rPr>
            <b/>
            <sz val="9"/>
            <color indexed="81"/>
            <rFont val="Tahoma"/>
            <family val="2"/>
          </rPr>
          <t>Juan Baca:</t>
        </r>
        <r>
          <rPr>
            <sz val="9"/>
            <color indexed="81"/>
            <rFont val="Tahoma"/>
            <family val="2"/>
          </rPr>
          <t xml:space="preserve">
in this case the control treatment were wild type plants, while the "inhibited" treatements were mutant lines in which AQP PIP2 is drastically reduced</t>
        </r>
      </text>
    </comment>
    <comment ref="AC79" authorId="0" shapeId="0" xr:uid="{8500B2CF-AE48-48F3-B996-92675C69FC5D}">
      <text>
        <r>
          <rPr>
            <b/>
            <sz val="9"/>
            <color indexed="81"/>
            <rFont val="Tahoma"/>
            <family val="2"/>
          </rPr>
          <t>Juan Baca:</t>
        </r>
        <r>
          <rPr>
            <sz val="9"/>
            <color indexed="81"/>
            <rFont val="Tahoma"/>
            <family val="2"/>
          </rPr>
          <t xml:space="preserve">
morphological data from table 2</t>
        </r>
      </text>
    </comment>
    <comment ref="I82" authorId="0" shapeId="0" xr:uid="{78696B00-CF5F-4C49-B656-D65D557A0237}">
      <text>
        <r>
          <rPr>
            <b/>
            <sz val="9"/>
            <color indexed="81"/>
            <rFont val="Tahoma"/>
            <family val="2"/>
          </rPr>
          <t>Juan Baca:</t>
        </r>
        <r>
          <rPr>
            <sz val="9"/>
            <color indexed="81"/>
            <rFont val="Tahoma"/>
            <family val="2"/>
          </rPr>
          <t xml:space="preserve">
after 3 week growrth seedling were inoculated with micorrhiza and raised for 9 weeks and after that during 4 weeks treatments were applied (treatments include day length and temperature)
see Table 1 for details;
Kr was measured 3 weeks after exposure to frost, which occured after week 17</t>
        </r>
      </text>
    </comment>
    <comment ref="J82" authorId="0" shapeId="0" xr:uid="{B213F1F7-719D-4BAA-89A4-40682C2D1C0B}">
      <text>
        <r>
          <rPr>
            <b/>
            <sz val="9"/>
            <color indexed="81"/>
            <rFont val="Tahoma"/>
            <family val="2"/>
          </rPr>
          <t>Juan Baca:</t>
        </r>
        <r>
          <rPr>
            <sz val="9"/>
            <color indexed="81"/>
            <rFont val="Tahoma"/>
            <family val="2"/>
          </rPr>
          <t xml:space="preserve">
hardening is obtained by exposing seedling to short day length and low temperature (sort of winter conditions)</t>
        </r>
      </text>
    </comment>
    <comment ref="K82" authorId="0" shapeId="0" xr:uid="{2AC7541C-E712-480E-86C3-A5E8294CC5F1}">
      <text>
        <r>
          <rPr>
            <b/>
            <sz val="9"/>
            <color indexed="81"/>
            <rFont val="Tahoma"/>
            <family val="2"/>
          </rPr>
          <t>Juan Baca:</t>
        </r>
        <r>
          <rPr>
            <sz val="9"/>
            <color indexed="81"/>
            <rFont val="Tahoma"/>
            <family val="2"/>
          </rPr>
          <t xml:space="preserve">
LDHT means long day hight temperature -&gt; no hardening; SDLT mean short day low temperature -&gt; hardening; NM means no mycorrhiza, otherwise the tretament indicates the mycorrhiza used fot inoculation;
there is not really a control treatment among the MC inoculation types</t>
        </r>
      </text>
    </comment>
    <comment ref="V82" authorId="0" shapeId="0" xr:uid="{D99C49AE-6694-411E-BA15-5F0FAF208F70}">
      <text>
        <r>
          <rPr>
            <b/>
            <sz val="9"/>
            <color indexed="81"/>
            <rFont val="Tahoma"/>
            <family val="2"/>
          </rPr>
          <t>Juan Baca:</t>
        </r>
        <r>
          <rPr>
            <sz val="9"/>
            <color indexed="81"/>
            <rFont val="Tahoma"/>
            <family val="2"/>
          </rPr>
          <t xml:space="preserve">
data from Table 4</t>
        </r>
      </text>
    </comment>
    <comment ref="I88" authorId="0" shapeId="0" xr:uid="{831B17A2-F4DB-4C74-B774-CF5AF4DB6CA1}">
      <text>
        <r>
          <rPr>
            <b/>
            <sz val="9"/>
            <color indexed="81"/>
            <rFont val="Tahoma"/>
            <family val="2"/>
          </rPr>
          <t>Juan Baca:</t>
        </r>
        <r>
          <rPr>
            <sz val="9"/>
            <color indexed="81"/>
            <rFont val="Tahoma"/>
            <family val="2"/>
          </rPr>
          <t xml:space="preserve">
3 month growth + 2 moth drought treatment? Not really clear</t>
        </r>
      </text>
    </comment>
    <comment ref="K88" authorId="0" shapeId="0" xr:uid="{F14EFA25-A04D-452B-9687-4437C322FE6E}">
      <text>
        <r>
          <rPr>
            <b/>
            <sz val="9"/>
            <color indexed="81"/>
            <rFont val="Tahoma"/>
            <family val="2"/>
          </rPr>
          <t>Juan Baca:</t>
        </r>
        <r>
          <rPr>
            <sz val="9"/>
            <color indexed="81"/>
            <rFont val="Tahoma"/>
            <family val="2"/>
          </rPr>
          <t xml:space="preserve">
WT is wild type (or rather non transgenic)
RNA lines are genes inhibited, while OE lines are lines with overexpression of genes of importance for root development</t>
        </r>
      </text>
    </comment>
    <comment ref="I102" authorId="0" shapeId="0" xr:uid="{FAF50521-9901-4935-91CA-DB39A95C7C42}">
      <text>
        <r>
          <rPr>
            <b/>
            <sz val="9"/>
            <color indexed="81"/>
            <rFont val="Tahoma"/>
            <family val="2"/>
          </rPr>
          <t>Juan Baca:</t>
        </r>
        <r>
          <rPr>
            <sz val="9"/>
            <color indexed="81"/>
            <rFont val="Tahoma"/>
            <family val="2"/>
          </rPr>
          <t xml:space="preserve">
2-3 months grown in tubestock + 3-4 months grown into pots</t>
        </r>
      </text>
    </comment>
    <comment ref="K102" authorId="0" shapeId="0" xr:uid="{033741C1-8FDE-4841-8FDD-717837B7D510}">
      <text>
        <r>
          <rPr>
            <b/>
            <sz val="9"/>
            <color indexed="81"/>
            <rFont val="Tahoma"/>
            <family val="2"/>
          </rPr>
          <t>Juan Baca:</t>
        </r>
        <r>
          <rPr>
            <sz val="9"/>
            <color indexed="81"/>
            <rFont val="Tahoma"/>
            <family val="2"/>
          </rPr>
          <t xml:space="preserve">
values are averages of conductance at different stem water potentials (Control implies values before a conductivity loss is observed)</t>
        </r>
      </text>
    </comment>
    <comment ref="I114" authorId="0" shapeId="0" xr:uid="{4E2A2B0D-4B5E-41D5-9AE7-761CDC2050C7}">
      <text>
        <r>
          <rPr>
            <b/>
            <sz val="9"/>
            <color indexed="81"/>
            <rFont val="Tahoma"/>
            <family val="2"/>
          </rPr>
          <t>Juan Baca:</t>
        </r>
        <r>
          <rPr>
            <sz val="9"/>
            <color indexed="81"/>
            <rFont val="Tahoma"/>
            <family val="2"/>
          </rPr>
          <t xml:space="preserve">
One-year-old, container-grown (415D styroblock, Beaver Plastics, Acheson, Canada) red-osier dogwood (Cornus sericea) and paper birch (Betula papyrifera) (page 1002)</t>
        </r>
      </text>
    </comment>
    <comment ref="Z114" authorId="0" shapeId="0" xr:uid="{B3824E51-F148-4456-9B0E-519188ABD485}">
      <text>
        <r>
          <rPr>
            <b/>
            <sz val="9"/>
            <color indexed="81"/>
            <rFont val="Tahoma"/>
            <family val="2"/>
          </rPr>
          <t>Juan Baca:</t>
        </r>
        <r>
          <rPr>
            <sz val="9"/>
            <color indexed="81"/>
            <rFont val="Tahoma"/>
            <family val="2"/>
          </rPr>
          <t xml:space="preserve">
data from text (page 1004)</t>
        </r>
      </text>
    </comment>
    <comment ref="I120" authorId="0" shapeId="0" xr:uid="{A3BC426F-E52A-44B6-B231-8ABBC4F5D935}">
      <text>
        <r>
          <rPr>
            <b/>
            <sz val="9"/>
            <color indexed="81"/>
            <rFont val="Tahoma"/>
            <family val="2"/>
          </rPr>
          <t>Juan Baca:</t>
        </r>
        <r>
          <rPr>
            <sz val="9"/>
            <color indexed="81"/>
            <rFont val="Tahoma"/>
            <family val="2"/>
          </rPr>
          <t xml:space="preserve">
7 days of treatment, but growth duration not reported (only reported number of leaves the plant had when the treatment started)</t>
        </r>
      </text>
    </comment>
    <comment ref="I124" authorId="0" shapeId="0" xr:uid="{8E15C0B0-0500-4666-891B-647D39ADB83E}">
      <text>
        <r>
          <rPr>
            <b/>
            <sz val="9"/>
            <color indexed="81"/>
            <rFont val="Tahoma"/>
            <family val="2"/>
          </rPr>
          <t>Juan Baca:</t>
        </r>
        <r>
          <rPr>
            <sz val="9"/>
            <color indexed="81"/>
            <rFont val="Tahoma"/>
            <family val="2"/>
          </rPr>
          <t xml:space="preserve">
3 days germination in dark + 4-5 days in 3 liter containers</t>
        </r>
      </text>
    </comment>
    <comment ref="J124" authorId="0" shapeId="0" xr:uid="{94287491-5F38-415B-BDC1-B5898EEAE273}">
      <text>
        <r>
          <rPr>
            <b/>
            <sz val="9"/>
            <color indexed="81"/>
            <rFont val="Tahoma"/>
            <family val="2"/>
          </rPr>
          <t>Juan Baca:</t>
        </r>
        <r>
          <rPr>
            <sz val="9"/>
            <color indexed="81"/>
            <rFont val="Tahoma"/>
            <family val="2"/>
          </rPr>
          <t xml:space="preserve">
AQP inhibition achieved by producing hydroxil radicals with the Fenton reaction</t>
        </r>
      </text>
    </comment>
    <comment ref="W124" authorId="0" shapeId="0" xr:uid="{7AFE5E02-10D8-417E-8A0C-B9ADCAAB1193}">
      <text>
        <r>
          <rPr>
            <b/>
            <sz val="9"/>
            <color indexed="81"/>
            <rFont val="Tahoma"/>
            <family val="2"/>
          </rPr>
          <t>Juan Baca:</t>
        </r>
        <r>
          <rPr>
            <sz val="9"/>
            <color indexed="81"/>
            <rFont val="Tahoma"/>
            <family val="2"/>
          </rPr>
          <t xml:space="preserve">
data from table 1</t>
        </r>
      </text>
    </comment>
    <comment ref="AF124" authorId="0" shapeId="0" xr:uid="{727A0317-5552-48E2-BD71-A85C7E9A5385}">
      <text>
        <r>
          <rPr>
            <b/>
            <sz val="9"/>
            <color indexed="81"/>
            <rFont val="Tahoma"/>
            <family val="2"/>
          </rPr>
          <t>Juan Baca:</t>
        </r>
        <r>
          <rPr>
            <sz val="9"/>
            <color indexed="81"/>
            <rFont val="Tahoma"/>
            <family val="2"/>
          </rPr>
          <t xml:space="preserve">
data from text (page 780)</t>
        </r>
      </text>
    </comment>
    <comment ref="I132" authorId="0" shapeId="0" xr:uid="{48A7B6E6-9F97-4F0B-B779-B953785A1B8B}">
      <text>
        <r>
          <rPr>
            <b/>
            <sz val="9"/>
            <color indexed="81"/>
            <rFont val="Tahoma"/>
            <family val="2"/>
          </rPr>
          <t>Juan Baca:</t>
        </r>
        <r>
          <rPr>
            <sz val="9"/>
            <color indexed="81"/>
            <rFont val="Tahoma"/>
            <family val="2"/>
          </rPr>
          <t xml:space="preserve">
10 month old seedlings (page 2/19)</t>
        </r>
      </text>
    </comment>
    <comment ref="V132" authorId="0" shapeId="0" xr:uid="{F3DBA80C-FF40-4846-9782-C2B38F517789}">
      <text>
        <r>
          <rPr>
            <b/>
            <sz val="9"/>
            <color indexed="81"/>
            <rFont val="Tahoma"/>
            <family val="2"/>
          </rPr>
          <t>Juan Baca:</t>
        </r>
        <r>
          <rPr>
            <sz val="9"/>
            <color indexed="81"/>
            <rFont val="Tahoma"/>
            <family val="2"/>
          </rPr>
          <t xml:space="preserve">
data extracted from text (page 7/19)</t>
        </r>
      </text>
    </comment>
    <comment ref="X132" authorId="0" shapeId="0" xr:uid="{D6DDCB35-F497-403A-8D54-EFD701299537}">
      <text>
        <r>
          <rPr>
            <b/>
            <sz val="9"/>
            <color indexed="81"/>
            <rFont val="Tahoma"/>
            <family val="2"/>
          </rPr>
          <t>Juan Baca:</t>
        </r>
        <r>
          <rPr>
            <sz val="9"/>
            <color indexed="81"/>
            <rFont val="Tahoma"/>
            <family val="2"/>
          </rPr>
          <t xml:space="preserve">
from table 2</t>
        </r>
      </text>
    </comment>
    <comment ref="AE132" authorId="0" shapeId="0" xr:uid="{93F73F85-C9C1-4B9B-B027-24B09FA5A9C8}">
      <text>
        <r>
          <rPr>
            <b/>
            <sz val="9"/>
            <color indexed="81"/>
            <rFont val="Tahoma"/>
            <family val="2"/>
          </rPr>
          <t>Juan Baca:</t>
        </r>
        <r>
          <rPr>
            <sz val="9"/>
            <color indexed="81"/>
            <rFont val="Tahoma"/>
            <family val="2"/>
          </rPr>
          <t xml:space="preserve">
data from table 1</t>
        </r>
      </text>
    </comment>
    <comment ref="I134" authorId="0" shapeId="0" xr:uid="{451361D7-D287-41BA-BD22-6C90D275BC52}">
      <text>
        <r>
          <rPr>
            <b/>
            <sz val="9"/>
            <color indexed="81"/>
            <rFont val="Tahoma"/>
            <family val="2"/>
          </rPr>
          <t>Juan Baca:</t>
        </r>
        <r>
          <rPr>
            <sz val="9"/>
            <color indexed="81"/>
            <rFont val="Tahoma"/>
            <family val="2"/>
          </rPr>
          <t xml:space="preserve">
first growth until 3 leaf-satge (14 days assumed), then transplanted to split-containers and then after 12 days there application of treatment during 9 days)</t>
        </r>
      </text>
    </comment>
    <comment ref="AC134" authorId="0" shapeId="0" xr:uid="{D3D58FA6-6FC7-469E-8355-05CCB4B039D5}">
      <text>
        <r>
          <rPr>
            <b/>
            <sz val="9"/>
            <color indexed="81"/>
            <rFont val="Tahoma"/>
            <family val="2"/>
          </rPr>
          <t>Juan Baca:</t>
        </r>
        <r>
          <rPr>
            <sz val="9"/>
            <color indexed="81"/>
            <rFont val="Tahoma"/>
            <family val="2"/>
          </rPr>
          <t xml:space="preserve">
based on total root area (that is how conductivity was calculated. Actually there were differences in area and weight between the split containers (in the plants that were under osmotic stress)</t>
        </r>
      </text>
    </comment>
    <comment ref="I150" authorId="0" shapeId="0" xr:uid="{C9A99421-C570-4D59-9E50-EE1AC8CC9145}">
      <text>
        <r>
          <rPr>
            <b/>
            <sz val="9"/>
            <color indexed="81"/>
            <rFont val="Tahoma"/>
            <family val="2"/>
          </rPr>
          <t>Juan Baca:</t>
        </r>
        <r>
          <rPr>
            <sz val="9"/>
            <color indexed="81"/>
            <rFont val="Tahoma"/>
            <family val="2"/>
          </rPr>
          <t xml:space="preserve">
Analyses were carried out on 3-week- (21 d) old plants (page 810)</t>
        </r>
      </text>
    </comment>
    <comment ref="AA150" authorId="0" shapeId="0" xr:uid="{AFC84259-0AD5-4140-9717-470A055BD2B6}">
      <text>
        <r>
          <rPr>
            <b/>
            <sz val="9"/>
            <color indexed="81"/>
            <rFont val="Tahoma"/>
            <family val="2"/>
          </rPr>
          <t>Juan Baca:</t>
        </r>
        <r>
          <rPr>
            <sz val="9"/>
            <color indexed="81"/>
            <rFont val="Tahoma"/>
            <family val="2"/>
          </rPr>
          <t xml:space="preserve">
Table 1</t>
        </r>
      </text>
    </comment>
    <comment ref="I153" authorId="0" shapeId="0" xr:uid="{3CFCAF8A-392F-4539-BC9F-22F19D25C932}">
      <text>
        <r>
          <rPr>
            <b/>
            <sz val="9"/>
            <color indexed="81"/>
            <rFont val="Tahoma"/>
            <family val="2"/>
          </rPr>
          <t>Juan Baca:</t>
        </r>
        <r>
          <rPr>
            <sz val="9"/>
            <color indexed="81"/>
            <rFont val="Tahoma"/>
            <family val="2"/>
          </rPr>
          <t xml:space="preserve">
Planting was staggered so that each plant had
grown for 25 d at the time of root hydraulic conductivity measurement (page 714) </t>
        </r>
      </text>
    </comment>
    <comment ref="J153" authorId="0" shapeId="0" xr:uid="{3825DBA2-590F-4D7D-B1D5-F93EFE7B3B52}">
      <text>
        <r>
          <rPr>
            <b/>
            <sz val="9"/>
            <color indexed="81"/>
            <rFont val="Tahoma"/>
            <family val="2"/>
          </rPr>
          <t>Juan Baca:</t>
        </r>
        <r>
          <rPr>
            <sz val="9"/>
            <color indexed="81"/>
            <rFont val="Tahoma"/>
            <family val="2"/>
          </rPr>
          <t xml:space="preserve">
air VPD vin the chambers aried between 0.85 and 3.97kPA  </t>
        </r>
      </text>
    </comment>
    <comment ref="I185" authorId="0" shapeId="0" xr:uid="{D3215BA5-5A48-4DB7-A705-202414EF45AC}">
      <text>
        <r>
          <rPr>
            <b/>
            <sz val="9"/>
            <color indexed="81"/>
            <rFont val="Tahoma"/>
            <family val="2"/>
          </rPr>
          <t>Juan Baca:</t>
        </r>
        <r>
          <rPr>
            <sz val="9"/>
            <color indexed="81"/>
            <rFont val="Tahoma"/>
            <family val="2"/>
          </rPr>
          <t xml:space="preserve">
Data from Table 1</t>
        </r>
      </text>
    </comment>
    <comment ref="K185" authorId="0" shapeId="0" xr:uid="{B4030923-AEB8-4065-84BF-F5E231049514}">
      <text>
        <r>
          <rPr>
            <b/>
            <sz val="9"/>
            <color indexed="81"/>
            <rFont val="Tahoma"/>
            <family val="2"/>
          </rPr>
          <t>Juan Baca:</t>
        </r>
        <r>
          <rPr>
            <sz val="9"/>
            <color indexed="81"/>
            <rFont val="Tahoma"/>
            <family val="2"/>
          </rPr>
          <t xml:space="preserve">
AQP inhibition achieved by applying and azide solution to the soil</t>
        </r>
      </text>
    </comment>
    <comment ref="AA185" authorId="0" shapeId="0" xr:uid="{44611934-9B24-4223-B87E-092A8D99F122}">
      <text>
        <r>
          <rPr>
            <b/>
            <sz val="9"/>
            <color indexed="81"/>
            <rFont val="Tahoma"/>
            <family val="2"/>
          </rPr>
          <t>Juan Baca:</t>
        </r>
        <r>
          <rPr>
            <sz val="9"/>
            <color indexed="81"/>
            <rFont val="Tahoma"/>
            <family val="2"/>
          </rPr>
          <t xml:space="preserve">
Data from Table 2</t>
        </r>
      </text>
    </comment>
    <comment ref="AC185" authorId="0" shapeId="0" xr:uid="{617C0CEF-FA39-45F7-9884-4F3FDC9558F2}">
      <text>
        <r>
          <rPr>
            <b/>
            <sz val="9"/>
            <color indexed="81"/>
            <rFont val="Tahoma"/>
            <family val="2"/>
          </rPr>
          <t>Juan Baca:</t>
        </r>
        <r>
          <rPr>
            <sz val="9"/>
            <color indexed="81"/>
            <rFont val="Tahoma"/>
            <family val="2"/>
          </rPr>
          <t xml:space="preserve">
all  morphological data (with the exception of root diameter) extracted from Table S7; unit of surface area is not so clear in the legend of Table S7 -&gt;  units "assumed"</t>
        </r>
      </text>
    </comment>
    <comment ref="AG185" authorId="0" shapeId="0" xr:uid="{5C96A908-7BB9-4EAC-B3DE-A3832DFDA9A5}">
      <text>
        <r>
          <rPr>
            <b/>
            <sz val="9"/>
            <color indexed="81"/>
            <rFont val="Tahoma"/>
            <family val="2"/>
          </rPr>
          <t>Juan Baca:</t>
        </r>
        <r>
          <rPr>
            <sz val="9"/>
            <color indexed="81"/>
            <rFont val="Tahoma"/>
            <family val="2"/>
          </rPr>
          <t xml:space="preserve">
Data from Table 4 (only values measured at 5 cm from apex are taken</t>
        </r>
      </text>
    </comment>
    <comment ref="I209" authorId="0" shapeId="0" xr:uid="{4EF13C33-1F15-4B5C-A54F-14293809D6EA}">
      <text>
        <r>
          <rPr>
            <b/>
            <sz val="9"/>
            <color indexed="81"/>
            <rFont val="Tahoma"/>
            <family val="2"/>
          </rPr>
          <t>Juan Baca:</t>
        </r>
        <r>
          <rPr>
            <sz val="9"/>
            <color indexed="81"/>
            <rFont val="Tahoma"/>
            <family val="2"/>
          </rPr>
          <t xml:space="preserve">
no clear information about the age -&gt; seedlings</t>
        </r>
      </text>
    </comment>
    <comment ref="I213" authorId="0" shapeId="0" xr:uid="{9D472D9E-408C-4E4A-B25E-DF616D11BB90}">
      <text>
        <r>
          <rPr>
            <b/>
            <sz val="9"/>
            <color indexed="81"/>
            <rFont val="Tahoma"/>
            <family val="2"/>
          </rPr>
          <t>Juan Baca:</t>
        </r>
        <r>
          <rPr>
            <sz val="9"/>
            <color indexed="81"/>
            <rFont val="Tahoma"/>
            <family val="2"/>
          </rPr>
          <t xml:space="preserve">
Four-day-old barley plants were treated with NaCl or sorbitol for the indicated amount of time prior to the pressure chamber experiments (page 881)</t>
        </r>
      </text>
    </comment>
    <comment ref="I221" authorId="0" shapeId="0" xr:uid="{0DD308A8-8F4E-41F5-A7B2-DE0EAC48CBCE}">
      <text>
        <r>
          <rPr>
            <b/>
            <sz val="9"/>
            <color indexed="81"/>
            <rFont val="Tahoma"/>
            <family val="2"/>
          </rPr>
          <t>Juan Baca:</t>
        </r>
        <r>
          <rPr>
            <sz val="9"/>
            <color indexed="81"/>
            <rFont val="Tahoma"/>
            <family val="2"/>
          </rPr>
          <t xml:space="preserve">
Root hydraulic conductance
was measured 3 weeks after sowing (page 106)</t>
        </r>
      </text>
    </comment>
    <comment ref="AA221" authorId="0" shapeId="0" xr:uid="{53DB35A2-C928-40CB-B42B-2A2542D775BF}">
      <text>
        <r>
          <rPr>
            <b/>
            <sz val="9"/>
            <color indexed="81"/>
            <rFont val="Tahoma"/>
            <family val="2"/>
          </rPr>
          <t>Juan Baca:</t>
        </r>
        <r>
          <rPr>
            <sz val="9"/>
            <color indexed="81"/>
            <rFont val="Tahoma"/>
            <family val="2"/>
          </rPr>
          <t xml:space="preserve">
all data from table 3</t>
        </r>
      </text>
    </comment>
    <comment ref="I223" authorId="0" shapeId="0" xr:uid="{DD19539D-08AB-4F70-B4C7-F5617BD8B235}">
      <text>
        <r>
          <rPr>
            <b/>
            <sz val="9"/>
            <color indexed="81"/>
            <rFont val="Tahoma"/>
            <family val="2"/>
          </rPr>
          <t>Juan Baca:</t>
        </r>
        <r>
          <rPr>
            <sz val="9"/>
            <color indexed="81"/>
            <rFont val="Tahoma"/>
            <family val="2"/>
          </rPr>
          <t xml:space="preserve">
all steps with their duration are described in page 15-16
</t>
        </r>
      </text>
    </comment>
    <comment ref="AD223" authorId="0" shapeId="0" xr:uid="{3A397413-A06C-4AB0-ABFF-5FFC51BC56F9}">
      <text>
        <r>
          <rPr>
            <b/>
            <sz val="9"/>
            <color indexed="81"/>
            <rFont val="Tahoma"/>
            <family val="2"/>
          </rPr>
          <t>Juan Baca:</t>
        </r>
        <r>
          <rPr>
            <sz val="9"/>
            <color indexed="81"/>
            <rFont val="Tahoma"/>
            <family val="2"/>
          </rPr>
          <t xml:space="preserve">
morphological data extracted from table 2</t>
        </r>
      </text>
    </comment>
    <comment ref="I231" authorId="0" shapeId="0" xr:uid="{3A9A95AA-8374-4E24-AE8F-E80B1444EECF}">
      <text>
        <r>
          <rPr>
            <b/>
            <sz val="9"/>
            <color indexed="81"/>
            <rFont val="Tahoma"/>
            <family val="2"/>
          </rPr>
          <t>Juan Baca:</t>
        </r>
        <r>
          <rPr>
            <sz val="9"/>
            <color indexed="81"/>
            <rFont val="Tahoma"/>
            <family val="2"/>
          </rPr>
          <t xml:space="preserve">
no clear infromation about the age, but at least 1 year (experiments run during two reasons</t>
        </r>
      </text>
    </comment>
    <comment ref="AF231" authorId="0" shapeId="0" xr:uid="{18F99C27-2071-4119-9348-8859255D785A}">
      <text>
        <r>
          <rPr>
            <b/>
            <sz val="9"/>
            <color indexed="81"/>
            <rFont val="Tahoma"/>
            <family val="2"/>
          </rPr>
          <t>Juan Baca:</t>
        </r>
        <r>
          <rPr>
            <sz val="9"/>
            <color indexed="81"/>
            <rFont val="Tahoma"/>
            <family val="2"/>
          </rPr>
          <t xml:space="preserve">
data from table 1</t>
        </r>
      </text>
    </comment>
    <comment ref="I239" authorId="0" shapeId="0" xr:uid="{54BE56A1-089D-4A33-A26D-47747DC172FC}">
      <text>
        <r>
          <rPr>
            <b/>
            <sz val="9"/>
            <color indexed="81"/>
            <rFont val="Tahoma"/>
            <family val="2"/>
          </rPr>
          <t>Juan Baca:</t>
        </r>
        <r>
          <rPr>
            <sz val="9"/>
            <color indexed="81"/>
            <rFont val="Tahoma"/>
            <family val="2"/>
          </rPr>
          <t xml:space="preserve">
1 year old grapevines + 4 months growth (page 521)</t>
        </r>
      </text>
    </comment>
    <comment ref="J239" authorId="0" shapeId="0" xr:uid="{870F7A54-620B-4C24-9797-F51FA526F787}">
      <text>
        <r>
          <rPr>
            <b/>
            <sz val="9"/>
            <color indexed="81"/>
            <rFont val="Tahoma"/>
            <family val="2"/>
          </rPr>
          <t>Juan Baca:</t>
        </r>
        <r>
          <rPr>
            <sz val="9"/>
            <color indexed="81"/>
            <rFont val="Tahoma"/>
            <family val="2"/>
          </rPr>
          <t xml:space="preserve">
there were multiple experiments with different level of detail. Data presneted here refer to the main experiment: "Shoot topping treatments"</t>
        </r>
      </text>
    </comment>
    <comment ref="X239" authorId="0" shapeId="0" xr:uid="{D9B06AA4-F8DB-471F-AAE3-172F12D940EE}">
      <text>
        <r>
          <rPr>
            <b/>
            <sz val="9"/>
            <color indexed="81"/>
            <rFont val="Tahoma"/>
            <family val="2"/>
          </rPr>
          <t>Juan Baca:</t>
        </r>
        <r>
          <rPr>
            <sz val="9"/>
            <color indexed="81"/>
            <rFont val="Tahoma"/>
            <family val="2"/>
          </rPr>
          <t xml:space="preserve">
extracted from Table 1</t>
        </r>
      </text>
    </comment>
    <comment ref="I240" authorId="0" shapeId="0" xr:uid="{3DB27536-04FC-428D-B507-AEF6FB61B156}">
      <text>
        <r>
          <rPr>
            <b/>
            <sz val="9"/>
            <color indexed="81"/>
            <rFont val="Tahoma"/>
            <family val="2"/>
          </rPr>
          <t>Juan Baca:</t>
        </r>
        <r>
          <rPr>
            <sz val="9"/>
            <color indexed="81"/>
            <rFont val="Tahoma"/>
            <family val="2"/>
          </rPr>
          <t xml:space="preserve">
maize and soybean were "used" 8 weeks after sowing</t>
        </r>
      </text>
    </comment>
    <comment ref="I245" authorId="0" shapeId="0" xr:uid="{D688F08F-7986-46FA-A1B6-ED2E0B60244D}">
      <text>
        <r>
          <rPr>
            <b/>
            <sz val="9"/>
            <color indexed="81"/>
            <rFont val="Tahoma"/>
            <family val="2"/>
          </rPr>
          <t>Juan Baca:</t>
        </r>
        <r>
          <rPr>
            <sz val="9"/>
            <color indexed="81"/>
            <rFont val="Tahoma"/>
            <family val="2"/>
          </rPr>
          <t xml:space="preserve">
grown in greehouse 5 months (page 555) + x days after treatment</t>
        </r>
      </text>
    </comment>
    <comment ref="I254" authorId="0" shapeId="0" xr:uid="{070B4E5D-D6BF-471E-B01A-A392FCA1613C}">
      <text>
        <r>
          <rPr>
            <b/>
            <sz val="9"/>
            <color indexed="81"/>
            <rFont val="Tahoma"/>
            <family val="2"/>
          </rPr>
          <t>Juan Baca:</t>
        </r>
        <r>
          <rPr>
            <sz val="9"/>
            <color indexed="81"/>
            <rFont val="Tahoma"/>
            <family val="2"/>
          </rPr>
          <t xml:space="preserve">
1-year old seedling + 2 months growth in the chamber (page 555) + x days after treatment</t>
        </r>
      </text>
    </comment>
    <comment ref="I266" authorId="0" shapeId="0" xr:uid="{0A9C2FEE-E689-4923-AB17-CC34EBA0DEE7}">
      <text>
        <r>
          <rPr>
            <b/>
            <sz val="9"/>
            <color indexed="81"/>
            <rFont val="Tahoma"/>
            <family val="2"/>
          </rPr>
          <t>Juan Baca:</t>
        </r>
        <r>
          <rPr>
            <sz val="9"/>
            <color indexed="81"/>
            <rFont val="Tahoma"/>
            <family val="2"/>
          </rPr>
          <t xml:space="preserve">
4 days of germianation in incubator then transplanted and 12 days before measurements + 7? days after treatment start (page 4748)</t>
        </r>
      </text>
    </comment>
    <comment ref="I270" authorId="0" shapeId="0" xr:uid="{E6F40071-4BFE-49A6-A0E4-FE1D1D0C79A7}">
      <text>
        <r>
          <rPr>
            <b/>
            <sz val="9"/>
            <color indexed="81"/>
            <rFont val="Tahoma"/>
            <family val="2"/>
          </rPr>
          <t>Juan Baca:</t>
        </r>
        <r>
          <rPr>
            <sz val="9"/>
            <color indexed="81"/>
            <rFont val="Tahoma"/>
            <family val="2"/>
          </rPr>
          <t xml:space="preserve">
Sixteen-month-old dormant P. leiophylla plants were subjected to 0 (control), 100, 150, and 200 mM NaCl treatments (page 812)</t>
        </r>
      </text>
    </comment>
    <comment ref="AE270" authorId="0" shapeId="0" xr:uid="{F6BA28FE-1108-4AAE-90F5-C87A60F35244}">
      <text>
        <r>
          <rPr>
            <b/>
            <sz val="9"/>
            <color indexed="81"/>
            <rFont val="Tahoma"/>
            <family val="2"/>
          </rPr>
          <t>Juan Baca:</t>
        </r>
        <r>
          <rPr>
            <sz val="9"/>
            <color indexed="81"/>
            <rFont val="Tahoma"/>
            <family val="2"/>
          </rPr>
          <t xml:space="preserve">
data from table 1</t>
        </r>
      </text>
    </comment>
    <comment ref="I273" authorId="0" shapeId="0" xr:uid="{C0B837A5-C35D-48F3-9468-8D4309A574BA}">
      <text>
        <r>
          <rPr>
            <b/>
            <sz val="9"/>
            <color indexed="81"/>
            <rFont val="Tahoma"/>
            <family val="2"/>
          </rPr>
          <t>Juan Baca:</t>
        </r>
        <r>
          <rPr>
            <sz val="9"/>
            <color indexed="81"/>
            <rFont val="Tahoma"/>
            <family val="2"/>
          </rPr>
          <t xml:space="preserve">
age from legend Fig 2</t>
        </r>
      </text>
    </comment>
    <comment ref="I275" authorId="0" shapeId="0" xr:uid="{CAC00E5A-5714-412E-8DAB-F08FBC679E6D}">
      <text>
        <r>
          <rPr>
            <b/>
            <sz val="9"/>
            <color indexed="81"/>
            <rFont val="Tahoma"/>
            <family val="2"/>
          </rPr>
          <t>Juan Baca:</t>
        </r>
        <r>
          <rPr>
            <sz val="9"/>
            <color indexed="81"/>
            <rFont val="Tahoma"/>
            <family val="2"/>
          </rPr>
          <t xml:space="preserve">
10 days germination + 10 weeks growth in chambers + 6 days treatment (pages 1022-1023)</t>
        </r>
      </text>
    </comment>
    <comment ref="AF275" authorId="0" shapeId="0" xr:uid="{5FC06F69-F55A-4A3F-9C4F-923871563323}">
      <text>
        <r>
          <rPr>
            <b/>
            <sz val="9"/>
            <color indexed="81"/>
            <rFont val="Tahoma"/>
            <family val="2"/>
          </rPr>
          <t>Juan Baca:</t>
        </r>
        <r>
          <rPr>
            <sz val="9"/>
            <color indexed="81"/>
            <rFont val="Tahoma"/>
            <family val="2"/>
          </rPr>
          <t xml:space="preserve">
data from table 1</t>
        </r>
      </text>
    </comment>
    <comment ref="I279" authorId="0" shapeId="0" xr:uid="{7B2D2AE2-034C-4BF8-B44D-3687FD0EFA62}">
      <text>
        <r>
          <rPr>
            <b/>
            <sz val="9"/>
            <color indexed="81"/>
            <rFont val="Tahoma"/>
            <family val="2"/>
          </rPr>
          <t>Juan Baca:</t>
        </r>
        <r>
          <rPr>
            <sz val="9"/>
            <color indexed="81"/>
            <rFont val="Tahoma"/>
            <family val="2"/>
          </rPr>
          <t xml:space="preserve">
2-year pear trees (page 81)</t>
        </r>
      </text>
    </comment>
    <comment ref="K279" authorId="0" shapeId="0" xr:uid="{5178FF3B-F257-41FD-8971-83D661EF140A}">
      <text>
        <r>
          <rPr>
            <b/>
            <sz val="9"/>
            <color indexed="81"/>
            <rFont val="Tahoma"/>
            <family val="2"/>
          </rPr>
          <t>Juan Baca:</t>
        </r>
        <r>
          <rPr>
            <sz val="9"/>
            <color indexed="81"/>
            <rFont val="Tahoma"/>
            <family val="2"/>
          </rPr>
          <t xml:space="preserve">
"Control" refers to the common irrigation system and the W levels (W1, W2, W3) indicate different amounts of water used</t>
        </r>
      </text>
    </comment>
    <comment ref="AB279" authorId="0" shapeId="0" xr:uid="{7A92C432-4402-4839-8F63-5224BFD94389}">
      <text>
        <r>
          <rPr>
            <b/>
            <sz val="9"/>
            <color indexed="81"/>
            <rFont val="Tahoma"/>
            <family val="2"/>
          </rPr>
          <t>Juan Baca:</t>
        </r>
        <r>
          <rPr>
            <sz val="9"/>
            <color indexed="81"/>
            <rFont val="Tahoma"/>
            <family val="2"/>
          </rPr>
          <t xml:space="preserve">
data from table 3</t>
        </r>
      </text>
    </comment>
    <comment ref="I288" authorId="0" shapeId="0" xr:uid="{04072BF5-7772-4BE8-9DF7-99F8A9CA6C28}">
      <text>
        <r>
          <rPr>
            <b/>
            <sz val="9"/>
            <color indexed="81"/>
            <rFont val="Tahoma"/>
            <family val="2"/>
          </rPr>
          <t>Juan Baca:</t>
        </r>
        <r>
          <rPr>
            <sz val="9"/>
            <color indexed="81"/>
            <rFont val="Tahoma"/>
            <family val="2"/>
          </rPr>
          <t xml:space="preserve">
 plants were analysed when they were 9–13, 14–18, 19–23 and 24–28 d old</t>
        </r>
      </text>
    </comment>
    <comment ref="I292" authorId="0" shapeId="0" xr:uid="{FF53AF40-D853-4A1A-8ACD-D32A90AEEB10}">
      <text>
        <r>
          <rPr>
            <b/>
            <sz val="9"/>
            <color indexed="81"/>
            <rFont val="Tahoma"/>
            <family val="2"/>
          </rPr>
          <t>Juan Baca:</t>
        </r>
        <r>
          <rPr>
            <sz val="9"/>
            <color indexed="81"/>
            <rFont val="Tahoma"/>
            <family val="2"/>
          </rPr>
          <t xml:space="preserve">
1 + 1 +1 weeks for growth and treatments</t>
        </r>
      </text>
    </comment>
    <comment ref="J292" authorId="0" shapeId="0" xr:uid="{F62861D3-ABF4-455D-83EC-3D4BA4793F97}">
      <text>
        <r>
          <rPr>
            <b/>
            <sz val="9"/>
            <color indexed="81"/>
            <rFont val="Tahoma"/>
            <family val="2"/>
          </rPr>
          <t>Juan Baca:</t>
        </r>
        <r>
          <rPr>
            <sz val="9"/>
            <color indexed="81"/>
            <rFont val="Tahoma"/>
            <family val="2"/>
          </rPr>
          <t xml:space="preserve">
drought simulated by adding 10% PEG</t>
        </r>
      </text>
    </comment>
    <comment ref="AE292" authorId="0" shapeId="0" xr:uid="{554AA176-0E5F-4414-A176-3E1D39E9A6B4}">
      <text>
        <r>
          <rPr>
            <b/>
            <sz val="9"/>
            <color indexed="81"/>
            <rFont val="Tahoma"/>
            <family val="2"/>
          </rPr>
          <t>Juan Baca:</t>
        </r>
        <r>
          <rPr>
            <sz val="9"/>
            <color indexed="81"/>
            <rFont val="Tahoma"/>
            <family val="2"/>
          </rPr>
          <t xml:space="preserve">
data from table 1</t>
        </r>
      </text>
    </comment>
    <comment ref="I300" authorId="0" shapeId="0" xr:uid="{908751B6-A358-4D5C-A4D9-7647E48659BA}">
      <text>
        <r>
          <rPr>
            <b/>
            <sz val="9"/>
            <color indexed="81"/>
            <rFont val="Tahoma"/>
            <family val="2"/>
          </rPr>
          <t>Juan Baca:</t>
        </r>
        <r>
          <rPr>
            <sz val="9"/>
            <color indexed="81"/>
            <rFont val="Tahoma"/>
            <family val="2"/>
          </rPr>
          <t xml:space="preserve">
no clear information about age</t>
        </r>
      </text>
    </comment>
    <comment ref="K300" authorId="0" shapeId="0" xr:uid="{2D7941F6-D09B-43BE-86D8-52455F66BA1C}">
      <text>
        <r>
          <rPr>
            <b/>
            <sz val="9"/>
            <color indexed="81"/>
            <rFont val="Tahoma"/>
            <family val="2"/>
          </rPr>
          <t>Juan Baca:</t>
        </r>
        <r>
          <rPr>
            <sz val="9"/>
            <color indexed="81"/>
            <rFont val="Tahoma"/>
            <family val="2"/>
          </rPr>
          <t xml:space="preserve">
in this study mutants with AQP overexpression were used -&gt; descending order means higher AQP expression</t>
        </r>
      </text>
    </comment>
    <comment ref="I307" authorId="0" shapeId="0" xr:uid="{6E4ED4D5-C76B-4099-AE33-AC7932B37410}">
      <text>
        <r>
          <rPr>
            <b/>
            <sz val="9"/>
            <color indexed="81"/>
            <rFont val="Tahoma"/>
            <family val="2"/>
          </rPr>
          <t>Juan Baca:</t>
        </r>
        <r>
          <rPr>
            <sz val="9"/>
            <color indexed="81"/>
            <rFont val="Tahoma"/>
            <family val="2"/>
          </rPr>
          <t xml:space="preserve">
At 21 d after planting, Lpr was measured at three times during the day</t>
        </r>
      </text>
    </comment>
    <comment ref="J307" authorId="0" shapeId="0" xr:uid="{7CA6062E-E2FB-4E68-9A03-248ABEEBEED5}">
      <text>
        <r>
          <rPr>
            <b/>
            <sz val="9"/>
            <color indexed="81"/>
            <rFont val="Tahoma"/>
            <family val="2"/>
          </rPr>
          <t>Juan Baca:</t>
        </r>
        <r>
          <rPr>
            <sz val="9"/>
            <color indexed="81"/>
            <rFont val="Tahoma"/>
            <family val="2"/>
          </rPr>
          <t xml:space="preserve">
the esame greehouse was repeated twice (page 4753)</t>
        </r>
      </text>
    </comment>
    <comment ref="AD307" authorId="0" shapeId="0" xr:uid="{88E52010-C680-427A-894D-65AD60417790}">
      <text>
        <r>
          <rPr>
            <b/>
            <sz val="9"/>
            <color indexed="81"/>
            <rFont val="Tahoma"/>
            <family val="2"/>
          </rPr>
          <t>Juan Baca:</t>
        </r>
        <r>
          <rPr>
            <sz val="9"/>
            <color indexed="81"/>
            <rFont val="Tahoma"/>
            <family val="2"/>
          </rPr>
          <t xml:space="preserve">
morphological data from table 2</t>
        </r>
      </text>
    </comment>
    <comment ref="I331" authorId="0" shapeId="0" xr:uid="{5E764BE0-614D-439F-8314-F98F435C868D}">
      <text>
        <r>
          <rPr>
            <b/>
            <sz val="9"/>
            <color indexed="81"/>
            <rFont val="Tahoma"/>
            <family val="2"/>
          </rPr>
          <t>Juan Baca:</t>
        </r>
        <r>
          <rPr>
            <sz val="9"/>
            <color indexed="81"/>
            <rFont val="Tahoma"/>
            <family val="2"/>
          </rPr>
          <t xml:space="preserve">
6 month old seedlings grown for one month in chamber and then 6 months under flooded conditions (page 6)</t>
        </r>
      </text>
    </comment>
    <comment ref="V331" authorId="0" shapeId="0" xr:uid="{423C5C57-4D7F-4F0A-825B-BEEC975F8A22}">
      <text>
        <r>
          <rPr>
            <b/>
            <sz val="9"/>
            <color indexed="81"/>
            <rFont val="Tahoma"/>
            <family val="2"/>
          </rPr>
          <t>Juan Baca:</t>
        </r>
        <r>
          <rPr>
            <sz val="9"/>
            <color indexed="81"/>
            <rFont val="Tahoma"/>
            <family val="2"/>
          </rPr>
          <t xml:space="preserve">
all data from table 1</t>
        </r>
      </text>
    </comment>
    <comment ref="I333" authorId="0" shapeId="0" xr:uid="{39791877-0881-430E-AAB7-43CE6C709E2E}">
      <text>
        <r>
          <rPr>
            <b/>
            <sz val="9"/>
            <color indexed="81"/>
            <rFont val="Tahoma"/>
            <family val="2"/>
          </rPr>
          <t>Juan Baca:</t>
        </r>
        <r>
          <rPr>
            <sz val="9"/>
            <color indexed="81"/>
            <rFont val="Tahoma"/>
            <family val="2"/>
          </rPr>
          <t xml:space="preserve">
plants were cultivated for 8 weeks in Experiment 1 (pages 1010)</t>
        </r>
      </text>
    </comment>
    <comment ref="I341" authorId="0" shapeId="0" xr:uid="{D3BF101B-51DE-4B42-B34A-0DCD965B249D}">
      <text>
        <r>
          <rPr>
            <b/>
            <sz val="9"/>
            <color indexed="81"/>
            <rFont val="Tahoma"/>
            <family val="2"/>
          </rPr>
          <t>Juan Baca:</t>
        </r>
        <r>
          <rPr>
            <sz val="9"/>
            <color indexed="81"/>
            <rFont val="Tahoma"/>
            <family val="2"/>
          </rPr>
          <t xml:space="preserve">
tow-year apple trees (page 120)</t>
        </r>
      </text>
    </comment>
    <comment ref="K341" authorId="0" shapeId="0" xr:uid="{19F22184-8FED-41D7-9C3E-C074562F98B4}">
      <text>
        <r>
          <rPr>
            <b/>
            <sz val="9"/>
            <color indexed="81"/>
            <rFont val="Tahoma"/>
            <family val="2"/>
          </rPr>
          <t>Juan Baca:</t>
        </r>
        <r>
          <rPr>
            <sz val="9"/>
            <color indexed="81"/>
            <rFont val="Tahoma"/>
            <family val="2"/>
          </rPr>
          <t xml:space="preserve">
"Control" refers to the common irrigation system. N and P values indciate the fertilization levels; in CK no P or N was used</t>
        </r>
      </text>
    </comment>
    <comment ref="V341" authorId="0" shapeId="0" xr:uid="{EF60984F-588D-490B-A782-25EA5C0A2653}">
      <text>
        <r>
          <rPr>
            <b/>
            <sz val="9"/>
            <color indexed="81"/>
            <rFont val="Tahoma"/>
            <family val="2"/>
          </rPr>
          <t>Juan Baca:</t>
        </r>
        <r>
          <rPr>
            <sz val="9"/>
            <color indexed="81"/>
            <rFont val="Tahoma"/>
            <family val="2"/>
          </rPr>
          <t xml:space="preserve">
extracted from table 1</t>
        </r>
      </text>
    </comment>
    <comment ref="I356" authorId="0" shapeId="0" xr:uid="{8EED62B1-D49C-4E19-A089-967A4674C961}">
      <text>
        <r>
          <rPr>
            <b/>
            <sz val="9"/>
            <color indexed="81"/>
            <rFont val="Tahoma"/>
            <family val="2"/>
          </rPr>
          <t>Juan Baca:</t>
        </r>
        <r>
          <rPr>
            <sz val="9"/>
            <color indexed="81"/>
            <rFont val="Tahoma"/>
            <family val="2"/>
          </rPr>
          <t xml:space="preserve">
We removed the shoots of 15-day-old plants with a razor blade at the root base</t>
        </r>
      </text>
    </comment>
    <comment ref="AA356" authorId="0" shapeId="0" xr:uid="{37143606-BA53-4447-B8EC-7CB0681A2AD6}">
      <text>
        <r>
          <rPr>
            <b/>
            <sz val="9"/>
            <color indexed="81"/>
            <rFont val="Tahoma"/>
            <family val="2"/>
          </rPr>
          <t>Juan Baca:</t>
        </r>
        <r>
          <rPr>
            <sz val="9"/>
            <color indexed="81"/>
            <rFont val="Tahoma"/>
            <family val="2"/>
          </rPr>
          <t xml:space="preserve">
Data from text (page1153)</t>
        </r>
      </text>
    </comment>
    <comment ref="I361" authorId="0" shapeId="0" xr:uid="{A57E371E-83DA-49DF-BD33-1521691812DB}">
      <text>
        <r>
          <rPr>
            <b/>
            <sz val="9"/>
            <color indexed="81"/>
            <rFont val="Tahoma"/>
            <family val="2"/>
          </rPr>
          <t>Juan Baca:</t>
        </r>
        <r>
          <rPr>
            <sz val="9"/>
            <color indexed="81"/>
            <rFont val="Tahoma"/>
            <family val="2"/>
          </rPr>
          <t xml:space="preserve">
 When plants were 7-days-old and bearing one
true leaf that was half-expanded (page 88)</t>
        </r>
      </text>
    </comment>
    <comment ref="K361" authorId="0" shapeId="0" xr:uid="{C430945E-D0B5-40A5-8262-205BED40ECC7}">
      <text>
        <r>
          <rPr>
            <b/>
            <sz val="9"/>
            <color indexed="81"/>
            <rFont val="Tahoma"/>
            <family val="2"/>
          </rPr>
          <t>Juan Baca:</t>
        </r>
        <r>
          <rPr>
            <sz val="9"/>
            <color indexed="81"/>
            <rFont val="Tahoma"/>
            <family val="2"/>
          </rPr>
          <t xml:space="preserve">
only "control" data is presented, because experiment seems to be pretty extreme (gs increase more than 200% due to an increazse in 3 degree C, only)</t>
        </r>
      </text>
    </comment>
    <comment ref="W361" authorId="0" shapeId="0" xr:uid="{86F1FCB9-09DA-4EA6-9A11-0A6BC5F93B9E}">
      <text>
        <r>
          <rPr>
            <b/>
            <sz val="9"/>
            <color indexed="81"/>
            <rFont val="Tahoma"/>
            <family val="2"/>
          </rPr>
          <t>Juan Baca:</t>
        </r>
        <r>
          <rPr>
            <sz val="9"/>
            <color indexed="81"/>
            <rFont val="Tahoma"/>
            <family val="2"/>
          </rPr>
          <t xml:space="preserve">
data from Table 1; not specified if data is on a fresh or dry wieght basis. -&gt; Assumed that it is on fresh weight basis</t>
        </r>
      </text>
    </comment>
    <comment ref="W363" authorId="0" shapeId="0" xr:uid="{E6535052-D2AF-4197-836F-5C2E5F1CCECE}">
      <text>
        <r>
          <rPr>
            <b/>
            <sz val="9"/>
            <color indexed="81"/>
            <rFont val="Tahoma"/>
            <family val="2"/>
          </rPr>
          <t>Juan Baca:</t>
        </r>
        <r>
          <rPr>
            <sz val="9"/>
            <color indexed="81"/>
            <rFont val="Tahoma"/>
            <family val="2"/>
          </rPr>
          <t xml:space="preserve">
data from text (page 90)</t>
        </r>
      </text>
    </comment>
    <comment ref="I365" authorId="0" shapeId="0" xr:uid="{DE86C908-D884-486E-A46B-C1E28CFC3F81}">
      <text>
        <r>
          <rPr>
            <b/>
            <sz val="9"/>
            <color indexed="81"/>
            <rFont val="Tahoma"/>
            <family val="2"/>
          </rPr>
          <t>Juan Baca:</t>
        </r>
        <r>
          <rPr>
            <sz val="9"/>
            <color indexed="81"/>
            <rFont val="Tahoma"/>
            <family val="2"/>
          </rPr>
          <t xml:space="preserve">
Plants were analysed when they were 14–17 d old. (page 4116)</t>
        </r>
      </text>
    </comment>
    <comment ref="K365" authorId="0" shapeId="0" xr:uid="{C0CDEF51-1004-419F-93C1-B83D0FBA7087}">
      <text>
        <r>
          <rPr>
            <b/>
            <sz val="9"/>
            <color indexed="81"/>
            <rFont val="Tahoma"/>
            <family val="2"/>
          </rPr>
          <t>Juan Baca:</t>
        </r>
        <r>
          <rPr>
            <sz val="9"/>
            <color indexed="81"/>
            <rFont val="Tahoma"/>
            <family val="2"/>
          </rPr>
          <t xml:space="preserve">
AQP inhibition achieved by applying HgCL2; recovery by using DTT</t>
        </r>
      </text>
    </comment>
    <comment ref="AA365" authorId="0" shapeId="0" xr:uid="{3148D0F7-F125-48B2-85FF-2F53E0A7D716}">
      <text>
        <r>
          <rPr>
            <b/>
            <sz val="9"/>
            <color indexed="81"/>
            <rFont val="Tahoma"/>
            <family val="2"/>
          </rPr>
          <t>Juan Baca:</t>
        </r>
        <r>
          <rPr>
            <sz val="9"/>
            <color indexed="81"/>
            <rFont val="Tahoma"/>
            <family val="2"/>
          </rPr>
          <t xml:space="preserve">
data from table 1</t>
        </r>
      </text>
    </comment>
    <comment ref="I367" authorId="0" shapeId="0" xr:uid="{66A082FC-DF7F-4E5E-AD9C-F45D034E0DD3}">
      <text>
        <r>
          <rPr>
            <b/>
            <sz val="9"/>
            <color indexed="81"/>
            <rFont val="Tahoma"/>
            <family val="2"/>
          </rPr>
          <t>Juan Baca:</t>
        </r>
        <r>
          <rPr>
            <sz val="9"/>
            <color indexed="81"/>
            <rFont val="Tahoma"/>
            <family val="2"/>
          </rPr>
          <t xml:space="preserve">
plants analyzed when they were 14-17 days old (page 719)</t>
        </r>
      </text>
    </comment>
    <comment ref="V367" authorId="0" shapeId="0" xr:uid="{29C3F10C-4E83-4D42-BA04-BD2BDC230C22}">
      <text>
        <r>
          <rPr>
            <b/>
            <sz val="9"/>
            <color indexed="81"/>
            <rFont val="Tahoma"/>
            <family val="2"/>
          </rPr>
          <t>Juan Baca:</t>
        </r>
        <r>
          <rPr>
            <sz val="9"/>
            <color indexed="81"/>
            <rFont val="Tahoma"/>
            <family val="2"/>
          </rPr>
          <t xml:space="preserve">
Data from text (page 725)</t>
        </r>
      </text>
    </comment>
    <comment ref="I368" authorId="0" shapeId="0" xr:uid="{9218AE4B-E5BD-4CBC-8AA2-72312B6E7F9F}">
      <text>
        <r>
          <rPr>
            <b/>
            <sz val="9"/>
            <color indexed="81"/>
            <rFont val="Tahoma"/>
            <family val="2"/>
          </rPr>
          <t>Juan Baca:</t>
        </r>
        <r>
          <rPr>
            <sz val="9"/>
            <color indexed="81"/>
            <rFont val="Tahoma"/>
            <family val="2"/>
          </rPr>
          <t xml:space="preserve">
Irrigation treatment started 22 d after seedling emergence and the period of irrigation treatment lasted for 40 d (measurements between days 5-35) + x days after treatment</t>
        </r>
      </text>
    </comment>
    <comment ref="K369" authorId="0" shapeId="0" xr:uid="{5AC99912-E916-43E5-8F13-4E33C1F52AAB}">
      <text>
        <r>
          <rPr>
            <b/>
            <sz val="9"/>
            <color indexed="81"/>
            <rFont val="Tahoma"/>
            <family val="2"/>
          </rPr>
          <t>Juan Baca:</t>
        </r>
        <r>
          <rPr>
            <sz val="9"/>
            <color indexed="81"/>
            <rFont val="Tahoma"/>
            <family val="2"/>
          </rPr>
          <t xml:space="preserve">
contibnous irrigation to 1 half, only</t>
        </r>
      </text>
    </comment>
    <comment ref="K370" authorId="0" shapeId="0" xr:uid="{E9BB9822-4F4A-48F5-A773-C6CDD21A04F3}">
      <text>
        <r>
          <rPr>
            <b/>
            <sz val="9"/>
            <color indexed="81"/>
            <rFont val="Tahoma"/>
            <family val="2"/>
          </rPr>
          <t>Juan Baca:</t>
        </r>
        <r>
          <rPr>
            <sz val="9"/>
            <color indexed="81"/>
            <rFont val="Tahoma"/>
            <family val="2"/>
          </rPr>
          <t xml:space="preserve">
alternative irrigation between the two halves</t>
        </r>
      </text>
    </comment>
    <comment ref="I374" authorId="0" shapeId="0" xr:uid="{26CAA677-5F2F-44B7-83AA-FA08DDC270B5}">
      <text>
        <r>
          <rPr>
            <b/>
            <sz val="9"/>
            <color indexed="81"/>
            <rFont val="Tahoma"/>
            <family val="2"/>
          </rPr>
          <t>Juan Baca:</t>
        </r>
        <r>
          <rPr>
            <sz val="9"/>
            <color indexed="81"/>
            <rFont val="Tahoma"/>
            <family val="2"/>
          </rPr>
          <t xml:space="preserve">
4 day old plants transferred from pots for measurements (page 672)</t>
        </r>
      </text>
    </comment>
    <comment ref="K374" authorId="0" shapeId="0" xr:uid="{2A55571B-CFD3-4AB1-825E-726FC7BBF1A5}">
      <text>
        <r>
          <rPr>
            <b/>
            <sz val="9"/>
            <color indexed="81"/>
            <rFont val="Tahoma"/>
            <family val="2"/>
          </rPr>
          <t>Juan Baca:</t>
        </r>
        <r>
          <rPr>
            <sz val="9"/>
            <color indexed="81"/>
            <rFont val="Tahoma"/>
            <family val="2"/>
          </rPr>
          <t xml:space="preserve">
either salt or sorbitol were used to caused the osmotic reduction associated with salt stress. In the case of salt, 100 or 200mM were used</t>
        </r>
      </text>
    </comment>
    <comment ref="I379" authorId="0" shapeId="0" xr:uid="{2999ADFE-208F-4295-9EEA-978E8B378102}">
      <text>
        <r>
          <rPr>
            <b/>
            <sz val="9"/>
            <color indexed="81"/>
            <rFont val="Tahoma"/>
            <family val="2"/>
          </rPr>
          <t>Juan Baca:</t>
        </r>
        <r>
          <rPr>
            <sz val="9"/>
            <color indexed="81"/>
            <rFont val="Tahoma"/>
            <family val="2"/>
          </rPr>
          <t xml:space="preserve">
Salinity treatments were applied when plants were 8 days old (page 2) + Lpr measurements performed after 3 days of treatment (table 1)</t>
        </r>
      </text>
    </comment>
    <comment ref="W379" authorId="0" shapeId="0" xr:uid="{A468D9D3-75E8-415B-B6F2-8F08E36D3437}">
      <text>
        <r>
          <rPr>
            <b/>
            <sz val="9"/>
            <color indexed="81"/>
            <rFont val="Tahoma"/>
            <family val="2"/>
          </rPr>
          <t>Juan Baca:</t>
        </r>
        <r>
          <rPr>
            <sz val="9"/>
            <color indexed="81"/>
            <rFont val="Tahoma"/>
            <family val="2"/>
          </rPr>
          <t xml:space="preserve">
Data from table 1</t>
        </r>
      </text>
    </comment>
    <comment ref="AF379" authorId="0" shapeId="0" xr:uid="{8D5FA76E-983E-447F-B7EA-744B93EE1662}">
      <text>
        <r>
          <rPr>
            <b/>
            <sz val="9"/>
            <color indexed="81"/>
            <rFont val="Tahoma"/>
            <family val="2"/>
          </rPr>
          <t>Juan Baca:</t>
        </r>
        <r>
          <rPr>
            <sz val="9"/>
            <color indexed="81"/>
            <rFont val="Tahoma"/>
            <family val="2"/>
          </rPr>
          <t xml:space="preserve">
data from table 2</t>
        </r>
      </text>
    </comment>
    <comment ref="I383" authorId="0" shapeId="0" xr:uid="{B817FD43-FFB5-4B0C-8A0F-F6E4DA5081A3}">
      <text>
        <r>
          <rPr>
            <b/>
            <sz val="9"/>
            <color indexed="81"/>
            <rFont val="Tahoma"/>
            <family val="2"/>
          </rPr>
          <t>Juan Baca:</t>
        </r>
        <r>
          <rPr>
            <sz val="9"/>
            <color indexed="81"/>
            <rFont val="Tahoma"/>
            <family val="2"/>
          </rPr>
          <t xml:space="preserve">
Plant material used in the experiments included 9-
month-old seedlings of CM, PT, and their hybrids
FA-5 and FA-13. In addition, 15-month-old Valencia orange  trees budded on these
four rootstocks were also used.  (page 160)</t>
        </r>
      </text>
    </comment>
    <comment ref="X383" authorId="0" shapeId="0" xr:uid="{0C24CB14-95D7-4753-8FFE-42BC5C0AA426}">
      <text>
        <r>
          <rPr>
            <b/>
            <sz val="9"/>
            <color indexed="81"/>
            <rFont val="Tahoma"/>
            <family val="2"/>
          </rPr>
          <t>Juan Baca:</t>
        </r>
        <r>
          <rPr>
            <sz val="9"/>
            <color indexed="81"/>
            <rFont val="Tahoma"/>
            <family val="2"/>
          </rPr>
          <t xml:space="preserve">
all data from table 1</t>
        </r>
      </text>
    </comment>
    <comment ref="I385" authorId="0" shapeId="0" xr:uid="{1B466CBA-5140-4666-8295-6B8AC1305213}">
      <text>
        <r>
          <rPr>
            <b/>
            <sz val="9"/>
            <color indexed="81"/>
            <rFont val="Tahoma"/>
            <family val="2"/>
          </rPr>
          <t>Juan Baca:</t>
        </r>
        <r>
          <rPr>
            <sz val="9"/>
            <color indexed="81"/>
            <rFont val="Tahoma"/>
            <family val="2"/>
          </rPr>
          <t xml:space="preserve">
Plants were 3 months old, with only vegetative growth that was restricted to two main shoots (page 454)</t>
        </r>
      </text>
    </comment>
    <comment ref="I393" authorId="0" shapeId="0" xr:uid="{46819709-E9CC-4235-A2D9-25D52AE3A07A}">
      <text>
        <r>
          <rPr>
            <b/>
            <sz val="9"/>
            <color indexed="81"/>
            <rFont val="Tahoma"/>
            <family val="2"/>
          </rPr>
          <t>Juan Baca:</t>
        </r>
        <r>
          <rPr>
            <sz val="9"/>
            <color indexed="81"/>
            <rFont val="Tahoma"/>
            <family val="2"/>
          </rPr>
          <t xml:space="preserve">
At harvest (53 or 56 days after planting), the shoot and root system were separated (page 567)</t>
        </r>
      </text>
    </comment>
    <comment ref="AE393" authorId="0" shapeId="0" xr:uid="{DB956198-6854-4829-90A2-9D61DE3A6D62}">
      <text>
        <r>
          <rPr>
            <b/>
            <sz val="9"/>
            <color indexed="81"/>
            <rFont val="Tahoma"/>
            <family val="2"/>
          </rPr>
          <t>Juan Baca:</t>
        </r>
        <r>
          <rPr>
            <sz val="9"/>
            <color indexed="81"/>
            <rFont val="Tahoma"/>
            <family val="2"/>
          </rPr>
          <t xml:space="preserve">
data from table 1</t>
        </r>
      </text>
    </comment>
    <comment ref="I401" authorId="0" shapeId="0" xr:uid="{51E75A71-2077-45A2-8865-4E83FFA5D18A}">
      <text>
        <r>
          <rPr>
            <b/>
            <sz val="9"/>
            <color indexed="81"/>
            <rFont val="Tahoma"/>
            <family val="2"/>
          </rPr>
          <t>Juan Baca:</t>
        </r>
        <r>
          <rPr>
            <sz val="9"/>
            <color indexed="81"/>
            <rFont val="Tahoma"/>
            <family val="2"/>
          </rPr>
          <t xml:space="preserve">
All measurements were carried out in plants at the six- or seven-leaf
stage (page 2009)</t>
        </r>
      </text>
    </comment>
    <comment ref="J401" authorId="0" shapeId="0" xr:uid="{2C34D0BE-E7FC-41E2-A4E2-C8DCAA22379A}">
      <text>
        <r>
          <rPr>
            <b/>
            <sz val="9"/>
            <color indexed="81"/>
            <rFont val="Tahoma"/>
            <family val="2"/>
          </rPr>
          <t>Juan Baca:</t>
        </r>
        <r>
          <rPr>
            <sz val="9"/>
            <color indexed="81"/>
            <rFont val="Tahoma"/>
            <family val="2"/>
          </rPr>
          <t xml:space="preserve">
AQP inhibition achieved by application of H2O2</t>
        </r>
      </text>
    </comment>
    <comment ref="AC401" authorId="0" shapeId="0" xr:uid="{04981FB8-87AA-4028-ACB9-4DEE9171A89C}">
      <text>
        <r>
          <rPr>
            <b/>
            <sz val="9"/>
            <color indexed="81"/>
            <rFont val="Tahoma"/>
            <family val="2"/>
          </rPr>
          <t>Juan Baca:</t>
        </r>
        <r>
          <rPr>
            <sz val="9"/>
            <color indexed="81"/>
            <rFont val="Tahoma"/>
            <family val="2"/>
          </rPr>
          <t xml:space="preserve">
data from table 1</t>
        </r>
      </text>
    </comment>
    <comment ref="I413" authorId="0" shapeId="0" xr:uid="{36605D74-8827-4156-90C6-DB5984FB3863}">
      <text>
        <r>
          <rPr>
            <b/>
            <sz val="9"/>
            <color indexed="81"/>
            <rFont val="Tahoma"/>
            <family val="2"/>
          </rPr>
          <t>Juan Baca:</t>
        </r>
        <r>
          <rPr>
            <sz val="9"/>
            <color indexed="81"/>
            <rFont val="Tahoma"/>
            <family val="2"/>
          </rPr>
          <t xml:space="preserve">
root hydraulic conductivity,
glycine betaine and anion and cation contents were measured after 30 d of the treatments, when plants were 50 d (page 749)</t>
        </r>
      </text>
    </comment>
    <comment ref="W413" authorId="0" shapeId="0" xr:uid="{ADC5EB18-6743-4C8B-9305-77CA3B9272AC}">
      <text>
        <r>
          <rPr>
            <b/>
            <sz val="9"/>
            <color indexed="81"/>
            <rFont val="Tahoma"/>
            <family val="2"/>
          </rPr>
          <t>Juan Baca:</t>
        </r>
        <r>
          <rPr>
            <sz val="9"/>
            <color indexed="81"/>
            <rFont val="Tahoma"/>
            <family val="2"/>
          </rPr>
          <t xml:space="preserve">
data from Table 2</t>
        </r>
      </text>
    </comment>
    <comment ref="AE413" authorId="0" shapeId="0" xr:uid="{231BF5BA-EC05-4A64-90B7-6ADEFB6A019D}">
      <text>
        <r>
          <rPr>
            <b/>
            <sz val="9"/>
            <color indexed="81"/>
            <rFont val="Tahoma"/>
            <family val="2"/>
          </rPr>
          <t>Juan Baca:</t>
        </r>
        <r>
          <rPr>
            <sz val="9"/>
            <color indexed="81"/>
            <rFont val="Tahoma"/>
            <family val="2"/>
          </rPr>
          <t xml:space="preserve">
morpho data from Table 1</t>
        </r>
      </text>
    </comment>
    <comment ref="I417" authorId="0" shapeId="0" xr:uid="{DB231418-71D6-4F0E-91ED-423F3AC92AD5}">
      <text>
        <r>
          <rPr>
            <b/>
            <sz val="9"/>
            <color indexed="81"/>
            <rFont val="Tahoma"/>
            <family val="2"/>
          </rPr>
          <t>Juan Baca:</t>
        </r>
        <r>
          <rPr>
            <sz val="9"/>
            <color indexed="81"/>
            <rFont val="Tahoma"/>
            <family val="2"/>
          </rPr>
          <t xml:space="preserve">
Root L0 measurements were carried out as described by Miyamoto et al. (2001), with some modifications, from 74 to 75 DAS for hydroponic culture and from 89 to 91 DAS for soil culture (page27)</t>
        </r>
      </text>
    </comment>
    <comment ref="W417" authorId="0" shapeId="0" xr:uid="{CAF760DF-574A-4C7A-B9BB-3A83C8B38579}">
      <text>
        <r>
          <rPr>
            <b/>
            <sz val="9"/>
            <color indexed="81"/>
            <rFont val="Tahoma"/>
            <family val="2"/>
          </rPr>
          <t>Juan Baca:</t>
        </r>
        <r>
          <rPr>
            <sz val="9"/>
            <color indexed="81"/>
            <rFont val="Tahoma"/>
            <family val="2"/>
          </rPr>
          <t xml:space="preserve">
data from Table 3</t>
        </r>
      </text>
    </comment>
    <comment ref="AE417" authorId="0" shapeId="0" xr:uid="{97118EC8-5F00-498F-AA0A-6312EEEFFD18}">
      <text>
        <r>
          <rPr>
            <b/>
            <sz val="9"/>
            <color indexed="81"/>
            <rFont val="Tahoma"/>
            <family val="2"/>
          </rPr>
          <t>Juan Baca:</t>
        </r>
        <r>
          <rPr>
            <sz val="9"/>
            <color indexed="81"/>
            <rFont val="Tahoma"/>
            <family val="2"/>
          </rPr>
          <t xml:space="preserve">
morpho data from Table 1</t>
        </r>
      </text>
    </comment>
    <comment ref="I426" authorId="0" shapeId="0" xr:uid="{24A5665E-DC73-4DF9-95BF-EFCDFBA201DC}">
      <text>
        <r>
          <rPr>
            <b/>
            <sz val="9"/>
            <color indexed="81"/>
            <rFont val="Tahoma"/>
            <family val="2"/>
          </rPr>
          <t>Juan Baca:</t>
        </r>
        <r>
          <rPr>
            <sz val="9"/>
            <color indexed="81"/>
            <rFont val="Tahoma"/>
            <family val="2"/>
          </rPr>
          <t xml:space="preserve">
grown in culture solution for 3 weeks + 2 days of P deficiency treatment</t>
        </r>
      </text>
    </comment>
    <comment ref="AA426" authorId="0" shapeId="0" xr:uid="{3FA027EF-FC53-4BC2-A2EF-A445D34003D7}">
      <text>
        <r>
          <rPr>
            <b/>
            <sz val="9"/>
            <color indexed="81"/>
            <rFont val="Tahoma"/>
            <family val="2"/>
          </rPr>
          <t>Juan Baca:</t>
        </r>
        <r>
          <rPr>
            <sz val="9"/>
            <color indexed="81"/>
            <rFont val="Tahoma"/>
            <family val="2"/>
          </rPr>
          <t xml:space="preserve">
all data from text (page 174)</t>
        </r>
      </text>
    </comment>
    <comment ref="I428" authorId="0" shapeId="0" xr:uid="{249804F0-DC28-4C92-B509-3658E7745DB7}">
      <text>
        <r>
          <rPr>
            <b/>
            <sz val="9"/>
            <color indexed="81"/>
            <rFont val="Tahoma"/>
            <family val="2"/>
          </rPr>
          <t>Juan Baca:</t>
        </r>
        <r>
          <rPr>
            <sz val="9"/>
            <color indexed="81"/>
            <rFont val="Tahoma"/>
            <family val="2"/>
          </rPr>
          <t xml:space="preserve">
all experiements performed at 14 days afeter sowing (page 361)</t>
        </r>
      </text>
    </comment>
    <comment ref="AA428" authorId="0" shapeId="0" xr:uid="{509C7FD1-B6B9-4021-AFF5-AE01001C8522}">
      <text>
        <r>
          <rPr>
            <b/>
            <sz val="9"/>
            <color indexed="81"/>
            <rFont val="Tahoma"/>
            <family val="2"/>
          </rPr>
          <t>Juan Baca:</t>
        </r>
        <r>
          <rPr>
            <sz val="9"/>
            <color indexed="81"/>
            <rFont val="Tahoma"/>
            <family val="2"/>
          </rPr>
          <t xml:space="preserve">
all data from table1</t>
        </r>
      </text>
    </comment>
    <comment ref="I431" authorId="0" shapeId="0" xr:uid="{4106F6D0-EC0E-43A3-ACD2-66C1E3E98D97}">
      <text>
        <r>
          <rPr>
            <b/>
            <sz val="9"/>
            <color indexed="81"/>
            <rFont val="Tahoma"/>
            <family val="2"/>
          </rPr>
          <t>Juan Baca:</t>
        </r>
        <r>
          <rPr>
            <sz val="9"/>
            <color indexed="81"/>
            <rFont val="Tahoma"/>
            <family val="2"/>
          </rPr>
          <t xml:space="preserve">
1 week after root emergence + 2 weeks in growth rooms + 4 weeks with inoculum (page 358)</t>
        </r>
      </text>
    </comment>
    <comment ref="I443" authorId="0" shapeId="0" xr:uid="{71180B8D-E1DB-41AD-9077-368077D28DD0}">
      <text>
        <r>
          <rPr>
            <b/>
            <sz val="9"/>
            <color indexed="81"/>
            <rFont val="Tahoma"/>
            <family val="2"/>
          </rPr>
          <t>Juan Baca:</t>
        </r>
        <r>
          <rPr>
            <sz val="9"/>
            <color indexed="81"/>
            <rFont val="Tahoma"/>
            <family val="2"/>
          </rPr>
          <t xml:space="preserve">
4 week groth for cuttings + 12 weeks inoculation treatments (pages 394-395) </t>
        </r>
      </text>
    </comment>
    <comment ref="I446" authorId="0" shapeId="0" xr:uid="{D2D7B933-1277-4E2F-A39D-DEE0483827F9}">
      <text>
        <r>
          <rPr>
            <b/>
            <sz val="9"/>
            <color indexed="81"/>
            <rFont val="Tahoma"/>
            <family val="2"/>
          </rPr>
          <t>Juan Baca:</t>
        </r>
        <r>
          <rPr>
            <sz val="9"/>
            <color indexed="81"/>
            <rFont val="Tahoma"/>
            <family val="2"/>
          </rPr>
          <t xml:space="preserve">
Rice seedlings (Oryza sativa L. cv.  Akitakomachi) of 18–22 d
old were used for all experiments in the present study (page 1301)</t>
        </r>
      </text>
    </comment>
    <comment ref="AA446" authorId="0" shapeId="0" xr:uid="{15EE1624-0038-46E2-8B21-20B87DE6395F}">
      <text>
        <r>
          <rPr>
            <b/>
            <sz val="9"/>
            <color indexed="81"/>
            <rFont val="Tahoma"/>
            <family val="2"/>
          </rPr>
          <t>Juan Baca:</t>
        </r>
        <r>
          <rPr>
            <sz val="9"/>
            <color indexed="81"/>
            <rFont val="Tahoma"/>
            <family val="2"/>
          </rPr>
          <t xml:space="preserve">
data from text (page 1299)</t>
        </r>
      </text>
    </comment>
    <comment ref="I447" authorId="0" shapeId="0" xr:uid="{411D5D6F-4C9C-480B-AB85-BB8348A7FDEE}">
      <text>
        <r>
          <rPr>
            <b/>
            <sz val="9"/>
            <color indexed="81"/>
            <rFont val="Tahoma"/>
            <family val="2"/>
          </rPr>
          <t>Juan Baca:</t>
        </r>
        <r>
          <rPr>
            <sz val="9"/>
            <color indexed="81"/>
            <rFont val="Tahoma"/>
            <family val="2"/>
          </rPr>
          <t xml:space="preserve">
Water stress was imposed using PEG 6000 ( p¼
–0.35 MPa) on 5-week-old plants for 24 h. (page 809)</t>
        </r>
      </text>
    </comment>
    <comment ref="I452" authorId="0" shapeId="0" xr:uid="{80649523-2067-4686-840C-3AF26461E084}">
      <text>
        <r>
          <rPr>
            <b/>
            <sz val="9"/>
            <color indexed="81"/>
            <rFont val="Tahoma"/>
            <family val="2"/>
          </rPr>
          <t>Juan Baca:</t>
        </r>
        <r>
          <rPr>
            <sz val="9"/>
            <color indexed="81"/>
            <rFont val="Tahoma"/>
            <family val="2"/>
          </rPr>
          <t xml:space="preserve">
germination in June 2005, finish of treatments June 2006 (pages 190-191)</t>
        </r>
      </text>
    </comment>
    <comment ref="I468" authorId="0" shapeId="0" xr:uid="{B6E2A97E-BE32-4F5C-9AF9-5EE7B666321A}">
      <text>
        <r>
          <rPr>
            <b/>
            <sz val="9"/>
            <color indexed="81"/>
            <rFont val="Tahoma"/>
            <family val="2"/>
          </rPr>
          <t>Juan Baca:</t>
        </r>
        <r>
          <rPr>
            <sz val="9"/>
            <color indexed="81"/>
            <rFont val="Tahoma"/>
            <family val="2"/>
          </rPr>
          <t xml:space="preserve">
Nineteen days after transfer to the hydroponic system, plants were detopped just below cotyledons, rubber tubing was attached to the root stump (page 1915) (but probably more than 19 days of total growth, not so clear</t>
        </r>
      </text>
    </comment>
    <comment ref="J468" authorId="0" shapeId="0" xr:uid="{B5B84669-0215-4669-8BDC-321D074ABCE6}">
      <text>
        <r>
          <rPr>
            <b/>
            <sz val="9"/>
            <color indexed="81"/>
            <rFont val="Tahoma"/>
            <charset val="1"/>
          </rPr>
          <t>Juan Baca:</t>
        </r>
        <r>
          <rPr>
            <sz val="9"/>
            <color indexed="81"/>
            <rFont val="Tahoma"/>
            <charset val="1"/>
          </rPr>
          <t xml:space="preserve">
in this study, mutants with ABA overexpression were used</t>
        </r>
      </text>
    </comment>
    <comment ref="I474" authorId="0" shapeId="0" xr:uid="{FB9D2C92-2D21-4359-88F2-F961B8FA39D7}">
      <text>
        <r>
          <rPr>
            <b/>
            <sz val="9"/>
            <color indexed="81"/>
            <rFont val="Tahoma"/>
            <family val="2"/>
          </rPr>
          <t>Juan Baca:</t>
        </r>
        <r>
          <rPr>
            <sz val="9"/>
            <color indexed="81"/>
            <rFont val="Tahoma"/>
            <family val="2"/>
          </rPr>
          <t xml:space="preserve">
data from Fig 2</t>
        </r>
      </text>
    </comment>
    <comment ref="J474" authorId="0" shapeId="0" xr:uid="{4554E861-FA5A-4844-BB4D-1B16BF383EF7}">
      <text>
        <r>
          <rPr>
            <b/>
            <sz val="9"/>
            <color indexed="81"/>
            <rFont val="Tahoma"/>
            <family val="2"/>
          </rPr>
          <t>Juan Baca:</t>
        </r>
        <r>
          <rPr>
            <sz val="9"/>
            <color indexed="81"/>
            <rFont val="Tahoma"/>
            <family val="2"/>
          </rPr>
          <t xml:space="preserve">
AQP inhibition occurred due to the addition of mercuric chloride; the fertilization treatment was either control (fertilization) or non fertilized</t>
        </r>
      </text>
    </comment>
    <comment ref="I482" authorId="0" shapeId="0" xr:uid="{FB03AC4A-0E4D-4650-A0D5-EBC368CA484C}">
      <text>
        <r>
          <rPr>
            <b/>
            <sz val="9"/>
            <color indexed="81"/>
            <rFont val="Tahoma"/>
            <family val="2"/>
          </rPr>
          <t>Juan Baca:</t>
        </r>
        <r>
          <rPr>
            <sz val="9"/>
            <color indexed="81"/>
            <rFont val="Tahoma"/>
            <family val="2"/>
          </rPr>
          <t xml:space="preserve">
data from figure 2</t>
        </r>
      </text>
    </comment>
    <comment ref="I486" authorId="0" shapeId="0" xr:uid="{A8D59145-D176-4AC1-8F18-012C31AC9C31}">
      <text>
        <r>
          <rPr>
            <b/>
            <sz val="9"/>
            <color indexed="81"/>
            <rFont val="Tahoma"/>
            <family val="2"/>
          </rPr>
          <t>Juan Baca:</t>
        </r>
        <r>
          <rPr>
            <sz val="9"/>
            <color indexed="81"/>
            <rFont val="Tahoma"/>
            <family val="2"/>
          </rPr>
          <t xml:space="preserve">
Measurements took place 6–9 weeks (page 2410)</t>
        </r>
      </text>
    </comment>
    <comment ref="K486" authorId="0" shapeId="0" xr:uid="{B6A55BE7-FB05-42EB-844C-A8F36FA6361C}">
      <text>
        <r>
          <rPr>
            <b/>
            <sz val="9"/>
            <color indexed="81"/>
            <rFont val="Tahoma"/>
            <family val="2"/>
          </rPr>
          <t>Juan Baca:</t>
        </r>
        <r>
          <rPr>
            <sz val="9"/>
            <color indexed="81"/>
            <rFont val="Tahoma"/>
            <family val="2"/>
          </rPr>
          <t xml:space="preserve">
this is actually a lowN treatment, but the authors define it as the control</t>
        </r>
      </text>
    </comment>
    <comment ref="W486" authorId="0" shapeId="0" xr:uid="{D2320607-4B4B-40D3-92C2-293E8711528A}">
      <text>
        <r>
          <rPr>
            <b/>
            <sz val="9"/>
            <color indexed="81"/>
            <rFont val="Tahoma"/>
            <family val="2"/>
          </rPr>
          <t>Juan Baca:</t>
        </r>
        <r>
          <rPr>
            <sz val="9"/>
            <color indexed="81"/>
            <rFont val="Tahoma"/>
            <family val="2"/>
          </rPr>
          <t xml:space="preserve">
data from text (page 2412)</t>
        </r>
      </text>
    </comment>
    <comment ref="I487" authorId="0" shapeId="0" xr:uid="{9BA8FAA7-8064-44CA-87E6-ED184491277B}">
      <text>
        <r>
          <rPr>
            <b/>
            <sz val="9"/>
            <color indexed="81"/>
            <rFont val="Tahoma"/>
            <family val="2"/>
          </rPr>
          <t>Juan Baca:</t>
        </r>
        <r>
          <rPr>
            <sz val="9"/>
            <color indexed="81"/>
            <rFont val="Tahoma"/>
            <family val="2"/>
          </rPr>
          <t xml:space="preserve">
no clear information about age; 6-8 node stage (page 1293)</t>
        </r>
      </text>
    </comment>
    <comment ref="J487" authorId="0" shapeId="0" xr:uid="{0F06F882-8565-4B06-A7A4-50A474C48510}">
      <text>
        <r>
          <rPr>
            <b/>
            <sz val="9"/>
            <color indexed="81"/>
            <rFont val="Tahoma"/>
            <family val="2"/>
          </rPr>
          <t>Juan Baca:</t>
        </r>
        <r>
          <rPr>
            <sz val="9"/>
            <color indexed="81"/>
            <rFont val="Tahoma"/>
            <family val="2"/>
          </rPr>
          <t xml:space="preserve">
AQP inhibition by applying mercuric chloride</t>
        </r>
      </text>
    </comment>
    <comment ref="I495" authorId="0" shapeId="0" xr:uid="{8DFB5A61-7EB4-492D-BEC5-C076FCD6A181}">
      <text>
        <r>
          <rPr>
            <b/>
            <sz val="9"/>
            <color indexed="81"/>
            <rFont val="Tahoma"/>
            <family val="2"/>
          </rPr>
          <t>Juan Baca:</t>
        </r>
        <r>
          <rPr>
            <sz val="9"/>
            <color indexed="81"/>
            <rFont val="Tahoma"/>
            <family val="2"/>
          </rPr>
          <t xml:space="preserve">
The seedling was 15d old, and treated 10d before measurement (legend Fig1)</t>
        </r>
      </text>
    </comment>
    <comment ref="J495" authorId="0" shapeId="0" xr:uid="{4BD8CEFB-7428-47EB-B4E6-C6965558A56A}">
      <text>
        <r>
          <rPr>
            <b/>
            <sz val="9"/>
            <color indexed="81"/>
            <rFont val="Tahoma"/>
            <family val="2"/>
          </rPr>
          <t>Juan Baca:</t>
        </r>
        <r>
          <rPr>
            <sz val="9"/>
            <color indexed="81"/>
            <rFont val="Tahoma"/>
            <family val="2"/>
          </rPr>
          <t xml:space="preserve">
drought induced by applying PEG to the nutrient solution</t>
        </r>
      </text>
    </comment>
    <comment ref="AC495" authorId="0" shapeId="0" xr:uid="{BA7492F6-92D6-4024-8393-BC0BBCEF40CB}">
      <text>
        <r>
          <rPr>
            <b/>
            <sz val="9"/>
            <color indexed="81"/>
            <rFont val="Tahoma"/>
            <family val="2"/>
          </rPr>
          <t>Juan Baca:</t>
        </r>
        <r>
          <rPr>
            <sz val="9"/>
            <color indexed="81"/>
            <rFont val="Tahoma"/>
            <family val="2"/>
          </rPr>
          <t xml:space="preserve">
data from table 1</t>
        </r>
      </text>
    </comment>
    <comment ref="I501" authorId="0" shapeId="0" xr:uid="{018F23E3-3086-422F-BBF5-DF49184C2B75}">
      <text>
        <r>
          <rPr>
            <b/>
            <sz val="9"/>
            <color indexed="81"/>
            <rFont val="Tahoma"/>
            <family val="2"/>
          </rPr>
          <t>Juan Baca:</t>
        </r>
        <r>
          <rPr>
            <sz val="9"/>
            <color indexed="81"/>
            <rFont val="Tahoma"/>
            <family val="2"/>
          </rPr>
          <t xml:space="preserve">
21-27 days of treatment initiated in 15 day old plants (page 656)</t>
        </r>
      </text>
    </comment>
    <comment ref="J501" authorId="0" shapeId="0" xr:uid="{3DC1DBB5-7B38-4232-9030-40D8103F89D7}">
      <text>
        <r>
          <rPr>
            <b/>
            <sz val="9"/>
            <color indexed="81"/>
            <rFont val="Tahoma"/>
            <family val="2"/>
          </rPr>
          <t>Juan Baca:</t>
        </r>
        <r>
          <rPr>
            <sz val="9"/>
            <color indexed="81"/>
            <rFont val="Tahoma"/>
            <family val="2"/>
          </rPr>
          <t xml:space="preserve">
in the stagnat treatment, deoxygenated nutrient solution was used</t>
        </r>
      </text>
    </comment>
    <comment ref="AA501" authorId="0" shapeId="0" xr:uid="{C88B93B4-9C3E-4382-B140-58FBB77F3DCA}">
      <text>
        <r>
          <rPr>
            <b/>
            <sz val="9"/>
            <color indexed="81"/>
            <rFont val="Tahoma"/>
            <family val="2"/>
          </rPr>
          <t>Juan Baca:</t>
        </r>
        <r>
          <rPr>
            <sz val="9"/>
            <color indexed="81"/>
            <rFont val="Tahoma"/>
            <family val="2"/>
          </rPr>
          <t xml:space="preserve">
all data from table 2</t>
        </r>
      </text>
    </comment>
    <comment ref="I509" authorId="0" shapeId="0" xr:uid="{9D9A2C41-7F72-4C49-9305-1F58BB0C798B}">
      <text>
        <r>
          <rPr>
            <b/>
            <sz val="9"/>
            <color indexed="81"/>
            <rFont val="Tahoma"/>
            <family val="2"/>
          </rPr>
          <t>Juan Baca:</t>
        </r>
        <r>
          <rPr>
            <sz val="9"/>
            <color indexed="81"/>
            <rFont val="Tahoma"/>
            <family val="2"/>
          </rPr>
          <t xml:space="preserve">
Data are least square means of saplings harvested 5 to 30 months after germination (legend table 7)</t>
        </r>
      </text>
    </comment>
    <comment ref="X509" authorId="0" shapeId="0" xr:uid="{CA2BDBD6-77B1-4A22-B8EC-0A772C83BCB1}">
      <text>
        <r>
          <rPr>
            <b/>
            <sz val="9"/>
            <color indexed="81"/>
            <rFont val="Tahoma"/>
            <family val="2"/>
          </rPr>
          <t>Juan Baca:</t>
        </r>
        <r>
          <rPr>
            <sz val="9"/>
            <color indexed="81"/>
            <rFont val="Tahoma"/>
            <family val="2"/>
          </rPr>
          <t xml:space="preserve">
data from table 7</t>
        </r>
      </text>
    </comment>
    <comment ref="I527" authorId="0" shapeId="0" xr:uid="{5891A0ED-8C2E-44BC-871E-19437C4BFE70}">
      <text>
        <r>
          <rPr>
            <b/>
            <sz val="9"/>
            <color indexed="81"/>
            <rFont val="Tahoma"/>
            <family val="2"/>
          </rPr>
          <t>Juan Baca:</t>
        </r>
        <r>
          <rPr>
            <sz val="9"/>
            <color indexed="81"/>
            <rFont val="Tahoma"/>
            <family val="2"/>
          </rPr>
          <t xml:space="preserve">
seven days germinated in wet Perley + 3 days after transplanting + 4 days of drought treatment</t>
        </r>
      </text>
    </comment>
    <comment ref="J527" authorId="0" shapeId="0" xr:uid="{286E57EF-7A6D-4362-9811-CD5FD4541C69}">
      <text>
        <r>
          <rPr>
            <b/>
            <sz val="9"/>
            <color indexed="81"/>
            <rFont val="Tahoma"/>
            <family val="2"/>
          </rPr>
          <t>Juan Baca:</t>
        </r>
        <r>
          <rPr>
            <sz val="9"/>
            <color indexed="81"/>
            <rFont val="Tahoma"/>
            <family val="2"/>
          </rPr>
          <t xml:space="preserve">
ABA and MTX sprayed to the shoot; MTX is stomatal opening inhibitor</t>
        </r>
      </text>
    </comment>
    <comment ref="I533" authorId="0" shapeId="0" xr:uid="{16958571-4B89-4629-98D7-9D34083596C7}">
      <text>
        <r>
          <rPr>
            <b/>
            <sz val="9"/>
            <color indexed="81"/>
            <rFont val="Tahoma"/>
            <family val="2"/>
          </rPr>
          <t>Juan Baca:</t>
        </r>
        <r>
          <rPr>
            <sz val="9"/>
            <color indexed="81"/>
            <rFont val="Tahoma"/>
            <family val="2"/>
          </rPr>
          <t xml:space="preserve">
no age reported, only phenoloigical stage</t>
        </r>
      </text>
    </comment>
    <comment ref="Y533" authorId="0" shapeId="0" xr:uid="{EC664A35-A731-489C-B87B-8BCDE2709515}">
      <text>
        <r>
          <rPr>
            <b/>
            <sz val="9"/>
            <color indexed="81"/>
            <rFont val="Tahoma"/>
            <family val="2"/>
          </rPr>
          <t>Juan Baca:</t>
        </r>
        <r>
          <rPr>
            <sz val="9"/>
            <color indexed="81"/>
            <rFont val="Tahoma"/>
            <family val="2"/>
          </rPr>
          <t xml:space="preserve">
data from table 1</t>
        </r>
      </text>
    </comment>
    <comment ref="X536" authorId="0" shapeId="0" xr:uid="{6CDA7AF9-CD4B-47A1-AFF0-26D10C314D95}">
      <text>
        <r>
          <rPr>
            <b/>
            <sz val="9"/>
            <color indexed="81"/>
            <rFont val="Tahoma"/>
            <family val="2"/>
          </rPr>
          <t>Juan Baca:</t>
        </r>
        <r>
          <rPr>
            <sz val="9"/>
            <color indexed="81"/>
            <rFont val="Tahoma"/>
            <family val="2"/>
          </rPr>
          <t xml:space="preserve">
Data from table 1</t>
        </r>
      </text>
    </comment>
    <comment ref="I540" authorId="0" shapeId="0" xr:uid="{7A3171F3-CDCB-4F59-9C2F-AF85885F2851}">
      <text>
        <r>
          <rPr>
            <b/>
            <sz val="9"/>
            <color indexed="81"/>
            <rFont val="Tahoma"/>
            <family val="2"/>
          </rPr>
          <t>Juan Baca:</t>
        </r>
        <r>
          <rPr>
            <sz val="9"/>
            <color indexed="81"/>
            <rFont val="Tahoma"/>
            <family val="2"/>
          </rPr>
          <t xml:space="preserve">
Seedlings, as experimental materials, with six leaves and one core and no culm, were grown for approximately 35 d, including germination time, prior to the measurement of
relevant parameters of wheat roots (page 304)</t>
        </r>
      </text>
    </comment>
    <comment ref="AA540" authorId="0" shapeId="0" xr:uid="{3272281A-A15F-4C9F-A5CA-CC0B51932482}">
      <text>
        <r>
          <rPr>
            <b/>
            <sz val="9"/>
            <color indexed="81"/>
            <rFont val="Tahoma"/>
            <family val="2"/>
          </rPr>
          <t>Juan Baca:</t>
        </r>
        <r>
          <rPr>
            <sz val="9"/>
            <color indexed="81"/>
            <rFont val="Tahoma"/>
            <family val="2"/>
          </rPr>
          <t xml:space="preserve">
all data from table 1  (Lprs)</t>
        </r>
      </text>
    </comment>
    <comment ref="I546" authorId="0" shapeId="0" xr:uid="{DCEF4E21-012F-42E3-969D-B398E658A7DD}">
      <text>
        <r>
          <rPr>
            <b/>
            <sz val="9"/>
            <color indexed="81"/>
            <rFont val="Tahoma"/>
            <family val="2"/>
          </rPr>
          <t>Juan Baca:</t>
        </r>
        <r>
          <rPr>
            <sz val="9"/>
            <color indexed="81"/>
            <rFont val="Tahoma"/>
            <family val="2"/>
          </rPr>
          <t xml:space="preserve">
start of the experiment: 15 June; end: 6th November &gt; total expemiment &gt; 4.5 months</t>
        </r>
      </text>
    </comment>
    <comment ref="V546" authorId="0" shapeId="0" xr:uid="{3BF35C49-08D1-4CAD-A600-70A31361B2B9}">
      <text>
        <r>
          <rPr>
            <b/>
            <sz val="9"/>
            <color indexed="81"/>
            <rFont val="Tahoma"/>
            <family val="2"/>
          </rPr>
          <t>Juan Baca:</t>
        </r>
        <r>
          <rPr>
            <sz val="9"/>
            <color indexed="81"/>
            <rFont val="Tahoma"/>
            <family val="2"/>
          </rPr>
          <t xml:space="preserve">
all data from Table 1</t>
        </r>
      </text>
    </comment>
    <comment ref="I549" authorId="0" shapeId="0" xr:uid="{4617BA08-7C2E-47A4-8A84-30173D6B1A30}">
      <text>
        <r>
          <rPr>
            <b/>
            <sz val="9"/>
            <color indexed="81"/>
            <rFont val="Tahoma"/>
            <family val="2"/>
          </rPr>
          <t>Juan Baca:</t>
        </r>
        <r>
          <rPr>
            <sz val="9"/>
            <color indexed="81"/>
            <rFont val="Tahoma"/>
            <family val="2"/>
          </rPr>
          <t xml:space="preserve">
6- month-old saplings of the other late successional species were raised from cuttings+ 90days grown in pots for late succesional species + additional 90 days if measured as "Sun saplings" (page 190)</t>
        </r>
      </text>
    </comment>
    <comment ref="I551" authorId="0" shapeId="0" xr:uid="{7C59CBEB-BBB7-4AA1-8DC6-E3CD8960ECC0}">
      <text>
        <r>
          <rPr>
            <b/>
            <sz val="9"/>
            <color indexed="81"/>
            <rFont val="Tahoma"/>
            <family val="2"/>
          </rPr>
          <t>Juan Baca:</t>
        </r>
        <r>
          <rPr>
            <sz val="9"/>
            <color indexed="81"/>
            <rFont val="Tahoma"/>
            <family val="2"/>
          </rPr>
          <t xml:space="preserve">
Three-month-old saplings of S. acuminata, T. orientalis, and M. gigantea were raised from seeds +60days grown in pots for pioneer species + additional 60 days if measured as "Sun saplings" (page 190)</t>
        </r>
      </text>
    </comment>
    <comment ref="I561" authorId="0" shapeId="0" xr:uid="{B2329F67-09AE-4800-A3B2-D1368DD609E4}">
      <text>
        <r>
          <rPr>
            <b/>
            <sz val="9"/>
            <color indexed="81"/>
            <rFont val="Tahoma"/>
            <family val="2"/>
          </rPr>
          <t>Juan Baca:</t>
        </r>
        <r>
          <rPr>
            <sz val="9"/>
            <color indexed="81"/>
            <rFont val="Tahoma"/>
            <family val="2"/>
          </rPr>
          <t xml:space="preserve">
6- month-old saplings of the other late successional species were raised from cuttings+ 90days grown in pots for late succesional species + additional 90 days if measured as "Sun saplings" (page 190)</t>
        </r>
      </text>
    </comment>
    <comment ref="I563" authorId="0" shapeId="0" xr:uid="{7CA50002-A61B-4308-BDCA-8B10C13F7835}">
      <text>
        <r>
          <rPr>
            <b/>
            <sz val="9"/>
            <color indexed="81"/>
            <rFont val="Tahoma"/>
            <family val="2"/>
          </rPr>
          <t>Juan Baca:</t>
        </r>
        <r>
          <rPr>
            <sz val="9"/>
            <color indexed="81"/>
            <rFont val="Tahoma"/>
            <family val="2"/>
          </rPr>
          <t xml:space="preserve">
Three-month-old saplings of S. acuminata, T. orientalis, and M. gigantea were raised from seeds +60days grown in pots for pioneer species + additional 60 days if measured as "Sun saplings" (page 190)</t>
        </r>
      </text>
    </comment>
    <comment ref="I573" authorId="0" shapeId="0" xr:uid="{A05BD21F-8408-4986-8AE2-4529369D35AE}">
      <text>
        <r>
          <rPr>
            <b/>
            <sz val="9"/>
            <color indexed="81"/>
            <rFont val="Tahoma"/>
            <family val="2"/>
          </rPr>
          <t>Juan Baca:</t>
        </r>
        <r>
          <rPr>
            <sz val="9"/>
            <color indexed="81"/>
            <rFont val="Tahoma"/>
            <family val="2"/>
          </rPr>
          <t xml:space="preserve">
6 week old pl;ants grown for additional 6 weeks (page259)</t>
        </r>
      </text>
    </comment>
    <comment ref="AC573" authorId="0" shapeId="0" xr:uid="{71F323AC-D47A-40D8-BF03-72888FED3416}">
      <text>
        <r>
          <rPr>
            <b/>
            <sz val="9"/>
            <color indexed="81"/>
            <rFont val="Tahoma"/>
            <family val="2"/>
          </rPr>
          <t>Juan Baca:</t>
        </r>
        <r>
          <rPr>
            <sz val="9"/>
            <color indexed="81"/>
            <rFont val="Tahoma"/>
            <family val="2"/>
          </rPr>
          <t xml:space="preserve">
extracted from page 261</t>
        </r>
      </text>
    </comment>
    <comment ref="I575" authorId="0" shapeId="0" xr:uid="{55EB01F3-CFC0-4CB6-91B4-100DD6E5BD6C}">
      <text>
        <r>
          <rPr>
            <b/>
            <sz val="9"/>
            <color indexed="81"/>
            <rFont val="Tahoma"/>
            <family val="2"/>
          </rPr>
          <t>Juan Baca:</t>
        </r>
        <r>
          <rPr>
            <sz val="9"/>
            <color indexed="81"/>
            <rFont val="Tahoma"/>
            <family val="2"/>
          </rPr>
          <t xml:space="preserve">
Wheat seedlings (Triticum durum Desf., cv. Bezenchukskaya 139) were grown for7d</t>
        </r>
      </text>
    </comment>
    <comment ref="W575" authorId="0" shapeId="0" xr:uid="{F3F530D2-DA25-48AB-8889-6A9A1C344F53}">
      <text>
        <r>
          <rPr>
            <b/>
            <sz val="9"/>
            <color indexed="81"/>
            <rFont val="Tahoma"/>
            <family val="2"/>
          </rPr>
          <t>Juan Baca:</t>
        </r>
        <r>
          <rPr>
            <sz val="9"/>
            <color indexed="81"/>
            <rFont val="Tahoma"/>
            <family val="2"/>
          </rPr>
          <t xml:space="preserve">
data from table 2</t>
        </r>
      </text>
    </comment>
    <comment ref="W576" authorId="0" shapeId="0" xr:uid="{87ED9DDD-AC27-48FC-B9D5-13AB2090C14D}">
      <text>
        <r>
          <rPr>
            <b/>
            <sz val="9"/>
            <color indexed="81"/>
            <rFont val="Tahoma"/>
            <family val="2"/>
          </rPr>
          <t>Juan Baca:</t>
        </r>
        <r>
          <rPr>
            <sz val="9"/>
            <color indexed="81"/>
            <rFont val="Tahoma"/>
            <family val="2"/>
          </rPr>
          <t xml:space="preserve">
data from table 2</t>
        </r>
      </text>
    </comment>
    <comment ref="I577" authorId="0" shapeId="0" xr:uid="{1ED2E4F2-2898-4086-AC76-82FD7423685B}">
      <text>
        <r>
          <rPr>
            <b/>
            <sz val="9"/>
            <color indexed="81"/>
            <rFont val="Tahoma"/>
            <family val="2"/>
          </rPr>
          <t>Juan Baca:</t>
        </r>
        <r>
          <rPr>
            <sz val="9"/>
            <color indexed="81"/>
            <rFont val="Tahoma"/>
            <family val="2"/>
          </rPr>
          <t xml:space="preserve">
6 weeks grown in soil and then 2 weeks in containers with hoagland solution</t>
        </r>
      </text>
    </comment>
    <comment ref="J577" authorId="0" shapeId="0" xr:uid="{A20913A8-6203-42BC-91DB-3CBF95E258C4}">
      <text>
        <r>
          <rPr>
            <b/>
            <sz val="9"/>
            <color indexed="81"/>
            <rFont val="Tahoma"/>
            <family val="2"/>
          </rPr>
          <t>Juan Baca:</t>
        </r>
        <r>
          <rPr>
            <sz val="9"/>
            <color indexed="81"/>
            <rFont val="Tahoma"/>
            <family val="2"/>
          </rPr>
          <t xml:space="preserve">
AQP inhibition by aplying cycloheximide (protein inhibitior)</t>
        </r>
      </text>
    </comment>
    <comment ref="I583" authorId="0" shapeId="0" xr:uid="{12CAC05A-269B-4955-89A3-27BF59DD7580}">
      <text>
        <r>
          <rPr>
            <b/>
            <sz val="9"/>
            <color indexed="81"/>
            <rFont val="Tahoma"/>
            <family val="2"/>
          </rPr>
          <t>Juan Baca:</t>
        </r>
        <r>
          <rPr>
            <sz val="9"/>
            <color indexed="81"/>
            <rFont val="Tahoma"/>
            <family val="2"/>
          </rPr>
          <t xml:space="preserve">
2-year old seedlings (page 108)</t>
        </r>
      </text>
    </comment>
    <comment ref="AA583" authorId="0" shapeId="0" xr:uid="{D424FAEF-A4B7-45AC-8E0A-19A6B4F75673}">
      <text>
        <r>
          <rPr>
            <b/>
            <sz val="9"/>
            <color indexed="81"/>
            <rFont val="Tahoma"/>
            <family val="2"/>
          </rPr>
          <t>Juan Baca:</t>
        </r>
        <r>
          <rPr>
            <sz val="9"/>
            <color indexed="81"/>
            <rFont val="Tahoma"/>
            <family val="2"/>
          </rPr>
          <t xml:space="preserve">
data from text (page 111)</t>
        </r>
      </text>
    </comment>
    <comment ref="AC583" authorId="0" shapeId="0" xr:uid="{DDB0740C-DB6A-4FEA-BC70-9130E1FEC4EA}">
      <text>
        <r>
          <rPr>
            <b/>
            <sz val="9"/>
            <color indexed="81"/>
            <rFont val="Tahoma"/>
            <family val="2"/>
          </rPr>
          <t>Juan Baca:</t>
        </r>
        <r>
          <rPr>
            <sz val="9"/>
            <color indexed="81"/>
            <rFont val="Tahoma"/>
            <family val="2"/>
          </rPr>
          <t xml:space="preserve">
Area root and Area leaf extracted from table 1</t>
        </r>
      </text>
    </comment>
    <comment ref="I587" authorId="0" shapeId="0" xr:uid="{B307CDD8-DB4D-4D66-93BB-E30030DF67CB}">
      <text>
        <r>
          <rPr>
            <b/>
            <sz val="9"/>
            <color indexed="81"/>
            <rFont val="Tahoma"/>
            <family val="2"/>
          </rPr>
          <t>Juan Baca:</t>
        </r>
        <r>
          <rPr>
            <sz val="9"/>
            <color indexed="81"/>
            <rFont val="Tahoma"/>
            <family val="2"/>
          </rPr>
          <t xml:space="preserve">
six wee old seedling placed into aerated solution culture and grown for 1 month (page 45)</t>
        </r>
      </text>
    </comment>
    <comment ref="K587" authorId="0" shapeId="0" xr:uid="{A9DDD1F2-66DB-40BF-B123-D4842BC73988}">
      <text>
        <r>
          <rPr>
            <b/>
            <sz val="9"/>
            <color indexed="81"/>
            <rFont val="Tahoma"/>
            <family val="2"/>
          </rPr>
          <t>Juan Baca:</t>
        </r>
        <r>
          <rPr>
            <sz val="9"/>
            <color indexed="81"/>
            <rFont val="Tahoma"/>
            <family val="2"/>
          </rPr>
          <t xml:space="preserve">
moderate stress not included, because not clear what this means</t>
        </r>
      </text>
    </comment>
    <comment ref="AC587" authorId="0" shapeId="0" xr:uid="{1C1A73AF-165A-4B22-97A6-297C1F17F392}">
      <text>
        <r>
          <rPr>
            <b/>
            <sz val="9"/>
            <color indexed="81"/>
            <rFont val="Tahoma"/>
            <family val="2"/>
          </rPr>
          <t>Juan Baca:</t>
        </r>
        <r>
          <rPr>
            <sz val="9"/>
            <color indexed="81"/>
            <rFont val="Tahoma"/>
            <family val="2"/>
          </rPr>
          <t xml:space="preserve">
data from text (page 47)</t>
        </r>
      </text>
    </comment>
    <comment ref="I589" authorId="0" shapeId="0" xr:uid="{01D178D0-47B8-43E1-9CF9-E308920D8581}">
      <text>
        <r>
          <rPr>
            <b/>
            <sz val="9"/>
            <color indexed="81"/>
            <rFont val="Tahoma"/>
            <family val="2"/>
          </rPr>
          <t>Juan Baca:</t>
        </r>
        <r>
          <rPr>
            <sz val="9"/>
            <color indexed="81"/>
            <rFont val="Tahoma"/>
            <family val="2"/>
          </rPr>
          <t xml:space="preserve">
21 days growth + 3 days addaptation before chilling treatment (pages 1752-1753)</t>
        </r>
      </text>
    </comment>
    <comment ref="I595" authorId="0" shapeId="0" xr:uid="{6CE88B68-1046-47B0-BA03-D2B092A168F5}">
      <text>
        <r>
          <rPr>
            <b/>
            <sz val="9"/>
            <color indexed="81"/>
            <rFont val="Tahoma"/>
            <family val="2"/>
          </rPr>
          <t>Juan Baca:</t>
        </r>
        <r>
          <rPr>
            <sz val="9"/>
            <color indexed="81"/>
            <rFont val="Tahoma"/>
            <family val="2"/>
          </rPr>
          <t xml:space="preserve">
Four-week-old
plants were used for water deficit treatment (page 487)</t>
        </r>
      </text>
    </comment>
    <comment ref="J595" authorId="0" shapeId="0" xr:uid="{4B0ADD1F-821B-4180-87FE-C990A86C9CA6}">
      <text>
        <r>
          <rPr>
            <b/>
            <sz val="9"/>
            <color indexed="81"/>
            <rFont val="Tahoma"/>
            <family val="2"/>
          </rPr>
          <t>Juan Baca:</t>
        </r>
        <r>
          <rPr>
            <sz val="9"/>
            <color indexed="81"/>
            <rFont val="Tahoma"/>
            <family val="2"/>
          </rPr>
          <t xml:space="preserve">
a wild type variety was compared against a transgenic</t>
        </r>
      </text>
    </comment>
    <comment ref="AA595" authorId="0" shapeId="0" xr:uid="{71B332C0-B8F0-42CE-ACF1-176F862B2F14}">
      <text>
        <r>
          <rPr>
            <b/>
            <sz val="9"/>
            <color indexed="81"/>
            <rFont val="Tahoma"/>
            <family val="2"/>
          </rPr>
          <t>Juan Baca:</t>
        </r>
        <r>
          <rPr>
            <sz val="9"/>
            <color indexed="81"/>
            <rFont val="Tahoma"/>
            <family val="2"/>
          </rPr>
          <t xml:space="preserve">
data from text (page 485)</t>
        </r>
      </text>
    </comment>
    <comment ref="I599" authorId="0" shapeId="0" xr:uid="{CD3A3572-25CD-44B2-B840-A3E2D4925918}">
      <text>
        <r>
          <rPr>
            <b/>
            <sz val="9"/>
            <color indexed="81"/>
            <rFont val="Tahoma"/>
            <family val="2"/>
          </rPr>
          <t>Juan Baca:</t>
        </r>
        <r>
          <rPr>
            <sz val="9"/>
            <color indexed="81"/>
            <rFont val="Tahoma"/>
            <family val="2"/>
          </rPr>
          <t xml:space="preserve">
The whole root system from cucumber plants grown for 13–15 days </t>
        </r>
      </text>
    </comment>
    <comment ref="AA599" authorId="0" shapeId="0" xr:uid="{EA401F92-9C23-4427-B9DB-581210955246}">
      <text>
        <r>
          <rPr>
            <b/>
            <sz val="9"/>
            <color indexed="81"/>
            <rFont val="Tahoma"/>
            <family val="2"/>
          </rPr>
          <t>Juan Baca:</t>
        </r>
        <r>
          <rPr>
            <sz val="9"/>
            <color indexed="81"/>
            <rFont val="Tahoma"/>
            <family val="2"/>
          </rPr>
          <t xml:space="preserve">
data from table 2</t>
        </r>
      </text>
    </comment>
    <comment ref="I603" authorId="0" shapeId="0" xr:uid="{6FD0FA68-63BA-4291-B344-75B234C5B714}">
      <text>
        <r>
          <rPr>
            <b/>
            <sz val="9"/>
            <color indexed="81"/>
            <rFont val="Tahoma"/>
            <family val="2"/>
          </rPr>
          <t>Juan Baca:</t>
        </r>
        <r>
          <rPr>
            <sz val="9"/>
            <color indexed="81"/>
            <rFont val="Tahoma"/>
            <family val="2"/>
          </rPr>
          <t xml:space="preserve">
18 month old seedlings (page 36)</t>
        </r>
      </text>
    </comment>
    <comment ref="V603" authorId="0" shapeId="0" xr:uid="{0D236F4D-AFA9-4347-AB51-56679CA0F41D}">
      <text>
        <r>
          <rPr>
            <b/>
            <sz val="9"/>
            <color indexed="81"/>
            <rFont val="Tahoma"/>
            <family val="2"/>
          </rPr>
          <t>Juan Baca:</t>
        </r>
        <r>
          <rPr>
            <sz val="9"/>
            <color indexed="81"/>
            <rFont val="Tahoma"/>
            <family val="2"/>
          </rPr>
          <t xml:space="preserve">
only data for last day of flooding treatments (day 34) was extracted</t>
        </r>
      </text>
    </comment>
    <comment ref="I607" authorId="0" shapeId="0" xr:uid="{57991311-F8B4-46CA-B768-B653C2D4AE40}">
      <text>
        <r>
          <rPr>
            <b/>
            <sz val="9"/>
            <color indexed="81"/>
            <rFont val="Tahoma"/>
            <family val="2"/>
          </rPr>
          <t>Juan Baca:</t>
        </r>
        <r>
          <rPr>
            <sz val="9"/>
            <color indexed="81"/>
            <rFont val="Tahoma"/>
            <family val="2"/>
          </rPr>
          <t xml:space="preserve">
6 month-old seedlings + 4 weeks of treatment (pages 184-185)</t>
        </r>
      </text>
    </comment>
    <comment ref="AF607" authorId="0" shapeId="0" xr:uid="{BC665EBC-31B2-442D-A395-B5A9FA56D9EE}">
      <text>
        <r>
          <rPr>
            <b/>
            <sz val="9"/>
            <color indexed="81"/>
            <rFont val="Tahoma"/>
            <family val="2"/>
          </rPr>
          <t>Juan Baca:</t>
        </r>
        <r>
          <rPr>
            <sz val="9"/>
            <color indexed="81"/>
            <rFont val="Tahoma"/>
            <family val="2"/>
          </rPr>
          <t xml:space="preserve">
data from table 1</t>
        </r>
      </text>
    </comment>
    <comment ref="I611" authorId="0" shapeId="0" xr:uid="{9B2A190A-00AF-4FE4-A9FA-2DE39C9CC68E}">
      <text>
        <r>
          <rPr>
            <b/>
            <sz val="9"/>
            <color indexed="81"/>
            <rFont val="Tahoma"/>
            <family val="2"/>
          </rPr>
          <t>Juan Baca:</t>
        </r>
        <r>
          <rPr>
            <sz val="9"/>
            <color indexed="81"/>
            <rFont val="Tahoma"/>
            <family val="2"/>
          </rPr>
          <t xml:space="preserve">
seedling between 12-20 months (page 1446)</t>
        </r>
      </text>
    </comment>
    <comment ref="AH611" authorId="0" shapeId="0" xr:uid="{215846ED-A780-4531-A943-E69F366C86B9}">
      <text>
        <r>
          <rPr>
            <b/>
            <sz val="9"/>
            <color indexed="81"/>
            <rFont val="Tahoma"/>
            <family val="2"/>
          </rPr>
          <t>Juan Baca:</t>
        </r>
        <r>
          <rPr>
            <sz val="9"/>
            <color indexed="81"/>
            <rFont val="Tahoma"/>
            <family val="2"/>
          </rPr>
          <t xml:space="preserve">
data from table 2</t>
        </r>
      </text>
    </comment>
    <comment ref="I636" authorId="0" shapeId="0" xr:uid="{CD222FA1-E730-4E25-A9D4-32D3FDD212AF}">
      <text>
        <r>
          <rPr>
            <b/>
            <sz val="9"/>
            <color indexed="81"/>
            <rFont val="Tahoma"/>
            <family val="2"/>
          </rPr>
          <t>Juan Baca:</t>
        </r>
        <r>
          <rPr>
            <sz val="9"/>
            <color indexed="81"/>
            <rFont val="Tahoma"/>
            <family val="2"/>
          </rPr>
          <t xml:space="preserve">
no clear information about age</t>
        </r>
      </text>
    </comment>
    <comment ref="Y636" authorId="0" shapeId="0" xr:uid="{9F5B3DF3-095D-4351-A842-6FD6AF9BF3B0}">
      <text>
        <r>
          <rPr>
            <b/>
            <sz val="9"/>
            <color indexed="81"/>
            <rFont val="Tahoma"/>
            <family val="2"/>
          </rPr>
          <t>Juan Baca:</t>
        </r>
        <r>
          <rPr>
            <sz val="9"/>
            <color indexed="81"/>
            <rFont val="Tahoma"/>
            <family val="2"/>
          </rPr>
          <t xml:space="preserve">
data from table 1</t>
        </r>
      </text>
    </comment>
    <comment ref="AA636" authorId="0" shapeId="0" xr:uid="{649B0AF5-0E24-4770-9840-9AD55F9A5755}">
      <text>
        <r>
          <rPr>
            <b/>
            <sz val="9"/>
            <color indexed="81"/>
            <rFont val="Tahoma"/>
            <family val="2"/>
          </rPr>
          <t>Juan Baca:</t>
        </r>
        <r>
          <rPr>
            <sz val="9"/>
            <color indexed="81"/>
            <rFont val="Tahoma"/>
            <family val="2"/>
          </rPr>
          <t xml:space="preserve">
data from text (page 347)</t>
        </r>
      </text>
    </comment>
    <comment ref="AG636" authorId="0" shapeId="0" xr:uid="{27C74156-DC05-4A08-8803-409C19D33E7D}">
      <text>
        <r>
          <rPr>
            <b/>
            <sz val="9"/>
            <color indexed="81"/>
            <rFont val="Tahoma"/>
            <family val="2"/>
          </rPr>
          <t>Juan Baca:</t>
        </r>
        <r>
          <rPr>
            <sz val="9"/>
            <color indexed="81"/>
            <rFont val="Tahoma"/>
            <family val="2"/>
          </rPr>
          <t xml:space="preserve">
Mean diameters for both species, estimated by the image-analysis software used to measure root lengths, were 0.5 mm (page 347)</t>
        </r>
      </text>
    </comment>
    <comment ref="I638" authorId="0" shapeId="0" xr:uid="{B3B6466D-5BA3-4F11-BD3A-D5EA46572AD1}">
      <text>
        <r>
          <rPr>
            <b/>
            <sz val="9"/>
            <color indexed="81"/>
            <rFont val="Tahoma"/>
            <family val="2"/>
          </rPr>
          <t>Juan Baca:</t>
        </r>
        <r>
          <rPr>
            <sz val="9"/>
            <color indexed="81"/>
            <rFont val="Tahoma"/>
            <family val="2"/>
          </rPr>
          <t xml:space="preserve">
Plants used in experiments were grown for 31–40 days (page 194)</t>
        </r>
      </text>
    </comment>
    <comment ref="AA638" authorId="0" shapeId="0" xr:uid="{16C59F1D-081F-4448-8294-8112BDCFC68D}">
      <text>
        <r>
          <rPr>
            <b/>
            <sz val="9"/>
            <color indexed="81"/>
            <rFont val="Tahoma"/>
            <family val="2"/>
          </rPr>
          <t>Juan Baca:</t>
        </r>
        <r>
          <rPr>
            <sz val="9"/>
            <color indexed="81"/>
            <rFont val="Tahoma"/>
            <family val="2"/>
          </rPr>
          <t xml:space="preserve">
Data from Table 1</t>
        </r>
      </text>
    </comment>
    <comment ref="AC638" authorId="0" shapeId="0" xr:uid="{E2022489-3D55-4A5F-9A39-846C4A91851F}">
      <text>
        <r>
          <rPr>
            <b/>
            <sz val="9"/>
            <color indexed="81"/>
            <rFont val="Tahoma"/>
            <family val="2"/>
          </rPr>
          <t>Juan Baca:</t>
        </r>
        <r>
          <rPr>
            <sz val="9"/>
            <color indexed="81"/>
            <rFont val="Tahoma"/>
            <family val="2"/>
          </rPr>
          <t xml:space="preserve">
Data from methods (page 195)
</t>
        </r>
      </text>
    </comment>
    <comment ref="I642" authorId="0" shapeId="0" xr:uid="{0BCE0CFE-9A24-4059-89F5-1A51DD71C2AB}">
      <text>
        <r>
          <rPr>
            <b/>
            <sz val="9"/>
            <color indexed="81"/>
            <rFont val="Tahoma"/>
            <family val="2"/>
          </rPr>
          <t>Juan Baca:</t>
        </r>
        <r>
          <rPr>
            <sz val="9"/>
            <color indexed="81"/>
            <rFont val="Tahoma"/>
            <family val="2"/>
          </rPr>
          <t xml:space="preserve">
The plants were grown at ambient sunlight in a glasshouse where the temperature ranged
between 18 and 30 C (mean minimum and maximum), for 6 weeks (page 238)</t>
        </r>
      </text>
    </comment>
    <comment ref="I651" authorId="0" shapeId="0" xr:uid="{ADCB1326-CD31-4066-B084-4F8D13A34B10}">
      <text>
        <r>
          <rPr>
            <b/>
            <sz val="9"/>
            <color indexed="81"/>
            <rFont val="Tahoma"/>
            <family val="2"/>
          </rPr>
          <t>Juan Baca:</t>
        </r>
        <r>
          <rPr>
            <sz val="9"/>
            <color indexed="81"/>
            <rFont val="Tahoma"/>
            <family val="2"/>
          </rPr>
          <t xml:space="preserve">
no clear infromation about age</t>
        </r>
      </text>
    </comment>
    <comment ref="V651" authorId="0" shapeId="0" xr:uid="{4E75813B-DCDB-4C20-B897-B9C102A0FECE}">
      <text>
        <r>
          <rPr>
            <b/>
            <sz val="9"/>
            <color indexed="81"/>
            <rFont val="Tahoma"/>
            <family val="2"/>
          </rPr>
          <t>Juan Baca:</t>
        </r>
        <r>
          <rPr>
            <sz val="9"/>
            <color indexed="81"/>
            <rFont val="Tahoma"/>
            <family val="2"/>
          </rPr>
          <t xml:space="preserve">
data from text; page 425</t>
        </r>
      </text>
    </comment>
    <comment ref="I653" authorId="0" shapeId="0" xr:uid="{AB9E242D-014C-4A04-9D2B-0323DA6CD4CC}">
      <text>
        <r>
          <rPr>
            <b/>
            <sz val="9"/>
            <color indexed="81"/>
            <rFont val="Tahoma"/>
            <family val="2"/>
          </rPr>
          <t>Juan Baca:</t>
        </r>
        <r>
          <rPr>
            <sz val="9"/>
            <color indexed="81"/>
            <rFont val="Tahoma"/>
            <family val="2"/>
          </rPr>
          <t xml:space="preserve">
measurements after 4 months of growth</t>
        </r>
      </text>
    </comment>
    <comment ref="I673" authorId="0" shapeId="0" xr:uid="{0D2A1ECF-7985-4C6C-BD34-DA558274095D}">
      <text>
        <r>
          <rPr>
            <b/>
            <sz val="9"/>
            <color indexed="81"/>
            <rFont val="Tahoma"/>
            <family val="2"/>
          </rPr>
          <t>Juan Baca:</t>
        </r>
        <r>
          <rPr>
            <sz val="9"/>
            <color indexed="81"/>
            <rFont val="Tahoma"/>
            <family val="2"/>
          </rPr>
          <t xml:space="preserve">
By this stage the plants had a mean height 32 cm (range 19–53) and leaf area of 258 cm2 (range 41–623) and were 15-months-old (page 2240)</t>
        </r>
      </text>
    </comment>
    <comment ref="AH673" authorId="0" shapeId="0" xr:uid="{520503D6-E3F0-4882-B393-20FFBACA9B4F}">
      <text>
        <r>
          <rPr>
            <b/>
            <sz val="9"/>
            <color indexed="81"/>
            <rFont val="Tahoma"/>
            <family val="2"/>
          </rPr>
          <t>Juan Baca:</t>
        </r>
        <r>
          <rPr>
            <sz val="9"/>
            <color indexed="81"/>
            <rFont val="Tahoma"/>
            <family val="2"/>
          </rPr>
          <t xml:space="preserve">
By this stage the plants had a mean height 32 cm (range 19–53) and leaf area of 258 cm2 (range 41–623) and were 15-months-old (page 2240)</t>
        </r>
      </text>
    </comment>
    <comment ref="I677" authorId="0" shapeId="0" xr:uid="{8F02B809-7BE7-4DAA-9669-32871BDC1DAB}">
      <text>
        <r>
          <rPr>
            <b/>
            <sz val="9"/>
            <color indexed="81"/>
            <rFont val="Tahoma"/>
            <family val="2"/>
          </rPr>
          <t>Juan Baca:</t>
        </r>
        <r>
          <rPr>
            <sz val="9"/>
            <color indexed="81"/>
            <rFont val="Tahoma"/>
            <family val="2"/>
          </rPr>
          <t xml:space="preserve">
no infromation given about plant age (only about duration of treatments)</t>
        </r>
      </text>
    </comment>
    <comment ref="J677" authorId="0" shapeId="0" xr:uid="{2961764E-6D69-402F-83BF-A079379E12C8}">
      <text>
        <r>
          <rPr>
            <b/>
            <sz val="9"/>
            <color indexed="81"/>
            <rFont val="Tahoma"/>
            <family val="2"/>
          </rPr>
          <t>Juan Baca:</t>
        </r>
        <r>
          <rPr>
            <sz val="9"/>
            <color indexed="81"/>
            <rFont val="Tahoma"/>
            <family val="2"/>
          </rPr>
          <t xml:space="preserve">
inhibition of AQP expression was obtained by using mutants without an specifi gen</t>
        </r>
      </text>
    </comment>
    <comment ref="AA677" authorId="0" shapeId="0" xr:uid="{70ABCDBA-4B5D-4F30-B5DC-19C1E51A4BFE}">
      <text>
        <r>
          <rPr>
            <b/>
            <sz val="9"/>
            <color indexed="81"/>
            <rFont val="Tahoma"/>
            <family val="2"/>
          </rPr>
          <t>Juan Baca:</t>
        </r>
        <r>
          <rPr>
            <sz val="9"/>
            <color indexed="81"/>
            <rFont val="Tahoma"/>
            <family val="2"/>
          </rPr>
          <t xml:space="preserve">
data from table 1</t>
        </r>
      </text>
    </comment>
    <comment ref="I679" authorId="0" shapeId="0" xr:uid="{7F4A3441-C9B9-4901-AFC7-78AAF7E0240F}">
      <text>
        <r>
          <rPr>
            <b/>
            <sz val="9"/>
            <color indexed="81"/>
            <rFont val="Tahoma"/>
            <family val="2"/>
          </rPr>
          <t>Juan Baca:</t>
        </r>
        <r>
          <rPr>
            <sz val="9"/>
            <color indexed="81"/>
            <rFont val="Tahoma"/>
            <family val="2"/>
          </rPr>
          <t xml:space="preserve">
Seeds of white spruce [Picea glauca (Moench) Voss] were germinated and seedlings grown for 10 months (page 218) +10 weeks of treatment</t>
        </r>
      </text>
    </comment>
    <comment ref="AE679" authorId="0" shapeId="0" xr:uid="{5314252C-B32E-4802-A092-ABAC02B80065}">
      <text>
        <r>
          <rPr>
            <b/>
            <sz val="9"/>
            <color indexed="81"/>
            <rFont val="Tahoma"/>
            <family val="2"/>
          </rPr>
          <t>Juan Baca:</t>
        </r>
        <r>
          <rPr>
            <sz val="9"/>
            <color indexed="81"/>
            <rFont val="Tahoma"/>
            <family val="2"/>
          </rPr>
          <t xml:space="preserve">
data from table 1</t>
        </r>
      </text>
    </comment>
    <comment ref="I683" authorId="0" shapeId="0" xr:uid="{4CF919B1-BBD0-4C43-8F6E-B70DBC35EC90}">
      <text>
        <r>
          <rPr>
            <b/>
            <sz val="9"/>
            <color indexed="81"/>
            <rFont val="Tahoma"/>
            <family val="2"/>
          </rPr>
          <t>Juan Baca:</t>
        </r>
        <r>
          <rPr>
            <sz val="9"/>
            <color indexed="81"/>
            <rFont val="Tahoma"/>
            <family val="2"/>
          </rPr>
          <t xml:space="preserve">
12 weeks in growth chamber + 4 weeks with hogland solution + 8 weeks inoculated with mycrorrhiza (page 153)</t>
        </r>
      </text>
    </comment>
    <comment ref="J683" authorId="0" shapeId="0" xr:uid="{597A87AD-068D-4438-8861-C5AC4B84C0BF}">
      <text>
        <r>
          <rPr>
            <b/>
            <sz val="9"/>
            <color indexed="81"/>
            <rFont val="Tahoma"/>
            <family val="2"/>
          </rPr>
          <t>Juan Baca:</t>
        </r>
        <r>
          <rPr>
            <sz val="9"/>
            <color indexed="81"/>
            <rFont val="Tahoma"/>
            <family val="2"/>
          </rPr>
          <t xml:space="preserve">
AQP inhibition (or rather water transport inhibition) was achieved by adding HgCl2</t>
        </r>
      </text>
    </comment>
    <comment ref="V683" authorId="0" shapeId="0" xr:uid="{12219ECA-C964-4ACB-93F8-D7D7CC1CAD8C}">
      <text>
        <r>
          <rPr>
            <b/>
            <sz val="9"/>
            <color indexed="81"/>
            <rFont val="Tahoma"/>
            <family val="2"/>
          </rPr>
          <t>Juan Baca:</t>
        </r>
        <r>
          <rPr>
            <sz val="9"/>
            <color indexed="81"/>
            <rFont val="Tahoma"/>
            <family val="2"/>
          </rPr>
          <t xml:space="preserve">
values after 90 minutes of treatment start</t>
        </r>
      </text>
    </comment>
    <comment ref="I697" authorId="0" shapeId="0" xr:uid="{B162D49A-0DC7-4B57-BACC-44A89E62818E}">
      <text>
        <r>
          <rPr>
            <b/>
            <sz val="9"/>
            <color indexed="81"/>
            <rFont val="Tahoma"/>
            <family val="2"/>
          </rPr>
          <t>Juan Baca:</t>
        </r>
        <r>
          <rPr>
            <sz val="9"/>
            <color indexed="81"/>
            <rFont val="Tahoma"/>
            <family val="2"/>
          </rPr>
          <t xml:space="preserve">
Aspen (Populus tremuloides) seedlings were germinated and grown for 6 weeks (page 966) + 3 weeks grown in nutrient solution + 10 days of treatment</t>
        </r>
      </text>
    </comment>
    <comment ref="I699" authorId="0" shapeId="0" xr:uid="{2669AE0F-A4AD-478D-A2B3-AEC318EEFD4A}">
      <text>
        <r>
          <rPr>
            <b/>
            <sz val="9"/>
            <color indexed="81"/>
            <rFont val="Tahoma"/>
            <family val="2"/>
          </rPr>
          <t>Juan Baca:</t>
        </r>
        <r>
          <rPr>
            <sz val="9"/>
            <color indexed="81"/>
            <rFont val="Tahoma"/>
            <family val="2"/>
          </rPr>
          <t xml:space="preserve">
5 month old seedling of batch one. .. (page 390, 393)</t>
        </r>
      </text>
    </comment>
    <comment ref="V699" authorId="0" shapeId="0" xr:uid="{88FBAC61-F8D7-4E61-B503-6BFED22F52DF}">
      <text>
        <r>
          <rPr>
            <b/>
            <sz val="9"/>
            <color indexed="81"/>
            <rFont val="Tahoma"/>
            <family val="2"/>
          </rPr>
          <t>Juan Baca:</t>
        </r>
        <r>
          <rPr>
            <sz val="9"/>
            <color indexed="81"/>
            <rFont val="Tahoma"/>
            <family val="2"/>
          </rPr>
          <t xml:space="preserve">
from page 393</t>
        </r>
      </text>
    </comment>
    <comment ref="AA699" authorId="0" shapeId="0" xr:uid="{ADBB1600-561F-4EF7-86EE-A4832E7293B0}">
      <text>
        <r>
          <rPr>
            <b/>
            <sz val="9"/>
            <color indexed="81"/>
            <rFont val="Tahoma"/>
            <family val="2"/>
          </rPr>
          <t>Juan Baca:</t>
        </r>
        <r>
          <rPr>
            <sz val="9"/>
            <color indexed="81"/>
            <rFont val="Tahoma"/>
            <family val="2"/>
          </rPr>
          <t xml:space="preserve">
from page 394</t>
        </r>
      </text>
    </comment>
    <comment ref="I700" authorId="0" shapeId="0" xr:uid="{42DFA4C5-B353-441D-A21E-DDB03A51FA3A}">
      <text>
        <r>
          <rPr>
            <b/>
            <sz val="9"/>
            <color indexed="81"/>
            <rFont val="Tahoma"/>
            <family val="2"/>
          </rPr>
          <t>Juan Baca:</t>
        </r>
        <r>
          <rPr>
            <sz val="9"/>
            <color indexed="81"/>
            <rFont val="Tahoma"/>
            <family val="2"/>
          </rPr>
          <t xml:space="preserve">
batch 3 trees: one year old fagus sylvatica plants (page 391, 394)</t>
        </r>
      </text>
    </comment>
    <comment ref="I701" authorId="0" shapeId="0" xr:uid="{239C3A30-8E13-4BA8-B2F1-17B98CAE8D7D}">
      <text>
        <r>
          <rPr>
            <b/>
            <sz val="9"/>
            <color indexed="81"/>
            <rFont val="Tahoma"/>
            <family val="2"/>
          </rPr>
          <t>Juan Baca:</t>
        </r>
        <r>
          <rPr>
            <sz val="9"/>
            <color indexed="81"/>
            <rFont val="Tahoma"/>
            <family val="2"/>
          </rPr>
          <t xml:space="preserve">
2 months grown in greenhouse + 1 month grown in solution (pages 691-692)</t>
        </r>
      </text>
    </comment>
    <comment ref="AA701" authorId="0" shapeId="0" xr:uid="{02C40574-1A53-4699-B6C7-C86E15C3BE64}">
      <text>
        <r>
          <rPr>
            <b/>
            <sz val="9"/>
            <color indexed="81"/>
            <rFont val="Tahoma"/>
            <family val="2"/>
          </rPr>
          <t>Juan Baca:</t>
        </r>
        <r>
          <rPr>
            <sz val="9"/>
            <color indexed="81"/>
            <rFont val="Tahoma"/>
            <family val="2"/>
          </rPr>
          <t xml:space="preserve">
data from text (page 692)</t>
        </r>
      </text>
    </comment>
    <comment ref="I705" authorId="0" shapeId="0" xr:uid="{CD13D54D-1A04-45CB-8FBD-BD32EE090967}">
      <text>
        <r>
          <rPr>
            <b/>
            <sz val="9"/>
            <color indexed="81"/>
            <rFont val="Tahoma"/>
            <family val="2"/>
          </rPr>
          <t>Juan Baca:</t>
        </r>
        <r>
          <rPr>
            <sz val="9"/>
            <color indexed="81"/>
            <rFont val="Tahoma"/>
            <family val="2"/>
          </rPr>
          <t xml:space="preserve">
2 months grown in greenhouse + 1 month grown in solution (page 742</t>
        </r>
      </text>
    </comment>
    <comment ref="AA705" authorId="0" shapeId="0" xr:uid="{E00F5CD0-B519-418B-8EA7-BEEDFCCD9928}">
      <text>
        <r>
          <rPr>
            <b/>
            <sz val="9"/>
            <color indexed="81"/>
            <rFont val="Tahoma"/>
            <family val="2"/>
          </rPr>
          <t>Juan Baca:</t>
        </r>
        <r>
          <rPr>
            <sz val="9"/>
            <color indexed="81"/>
            <rFont val="Tahoma"/>
            <family val="2"/>
          </rPr>
          <t xml:space="preserve">
data from text (page 745)</t>
        </r>
      </text>
    </comment>
    <comment ref="I707" authorId="0" shapeId="0" xr:uid="{E8ADFB21-A5FB-4BD1-9F8F-228415546131}">
      <text>
        <r>
          <rPr>
            <b/>
            <sz val="9"/>
            <color indexed="81"/>
            <rFont val="Tahoma"/>
            <family val="2"/>
          </rPr>
          <t>Juan Baca:</t>
        </r>
        <r>
          <rPr>
            <sz val="9"/>
            <color indexed="81"/>
            <rFont val="Tahoma"/>
            <family val="2"/>
          </rPr>
          <t xml:space="preserve">
Plants used in experiments were grown for 31–40 d including the time for
germination (page 1836)</t>
        </r>
      </text>
    </comment>
    <comment ref="AA707" authorId="0" shapeId="0" xr:uid="{3E3C5F39-461F-45EF-9C92-EDBA6EBBDAA8}">
      <text>
        <r>
          <rPr>
            <b/>
            <sz val="9"/>
            <color indexed="81"/>
            <rFont val="Tahoma"/>
            <family val="2"/>
          </rPr>
          <t>Juan Baca:</t>
        </r>
        <r>
          <rPr>
            <sz val="9"/>
            <color indexed="81"/>
            <rFont val="Tahoma"/>
            <family val="2"/>
          </rPr>
          <t xml:space="preserve">
all data from Table 1</t>
        </r>
      </text>
    </comment>
    <comment ref="I715" authorId="0" shapeId="0" xr:uid="{D7C7D49C-A8BE-49BE-9B09-853F8E36BBBF}">
      <text>
        <r>
          <rPr>
            <b/>
            <sz val="9"/>
            <color indexed="81"/>
            <rFont val="Tahoma"/>
            <family val="2"/>
          </rPr>
          <t>Juan Baca:</t>
        </r>
        <r>
          <rPr>
            <sz val="9"/>
            <color indexed="81"/>
            <rFont val="Tahoma"/>
            <family val="2"/>
          </rPr>
          <t xml:space="preserve">
All measurements were made from days 14–21 after the plants were
transferred to hydroponic solution (page 67) -&gt; actually more than 21 days</t>
        </r>
      </text>
    </comment>
    <comment ref="I718" authorId="0" shapeId="0" xr:uid="{B4D07E68-3142-48C3-B95B-49FE3611360A}">
      <text>
        <r>
          <rPr>
            <b/>
            <sz val="9"/>
            <color indexed="81"/>
            <rFont val="Tahoma"/>
            <family val="2"/>
          </rPr>
          <t>Juan Baca:</t>
        </r>
        <r>
          <rPr>
            <sz val="9"/>
            <color indexed="81"/>
            <rFont val="Tahoma"/>
            <family val="2"/>
          </rPr>
          <t xml:space="preserve">
Plants at the 5-leaf stage were flooded at 09:00 for 24 h (page 47) -&gt; no excat infromation about age</t>
        </r>
      </text>
    </comment>
    <comment ref="I720" authorId="0" shapeId="0" xr:uid="{D15B6BD7-C7D5-441C-86D5-25B7B37081F8}">
      <text>
        <r>
          <rPr>
            <b/>
            <sz val="9"/>
            <color indexed="81"/>
            <rFont val="Tahoma"/>
            <family val="2"/>
          </rPr>
          <t>Juan Baca:</t>
        </r>
        <r>
          <rPr>
            <sz val="9"/>
            <color indexed="81"/>
            <rFont val="Tahoma"/>
            <family val="2"/>
          </rPr>
          <t xml:space="preserve">
After 5 d of sowing,
seedlings were grown hydroponically  during 11 days (page 1071) + x days after treatment</t>
        </r>
      </text>
    </comment>
    <comment ref="I728" authorId="0" shapeId="0" xr:uid="{3965AB42-BC80-4A72-8357-EE9956C536EA}">
      <text>
        <r>
          <rPr>
            <b/>
            <sz val="9"/>
            <color indexed="81"/>
            <rFont val="Tahoma"/>
            <family val="2"/>
          </rPr>
          <t>Juan Baca:</t>
        </r>
        <r>
          <rPr>
            <sz val="9"/>
            <color indexed="81"/>
            <rFont val="Tahoma"/>
            <family val="2"/>
          </rPr>
          <t xml:space="preserve">
page 824: plants grown for about a month</t>
        </r>
      </text>
    </comment>
    <comment ref="J728" authorId="0" shapeId="0" xr:uid="{08741640-4222-4C7A-926D-37F7139967C6}">
      <text>
        <r>
          <rPr>
            <b/>
            <sz val="9"/>
            <color indexed="81"/>
            <rFont val="Tahoma"/>
            <family val="2"/>
          </rPr>
          <t>Juan Baca:</t>
        </r>
        <r>
          <rPr>
            <sz val="9"/>
            <color indexed="81"/>
            <rFont val="Tahoma"/>
            <family val="2"/>
          </rPr>
          <t xml:space="preserve">
plants either grown in a greenhouse or a growth chamber (controlled conditions)
Purpose of the study was to compare HPFM measurements with the previously common ET method</t>
        </r>
      </text>
    </comment>
    <comment ref="AB728" authorId="0" shapeId="0" xr:uid="{A66F7A5D-4BD3-429D-B004-614468C276CC}">
      <text>
        <r>
          <rPr>
            <b/>
            <sz val="9"/>
            <color indexed="81"/>
            <rFont val="Tahoma"/>
            <family val="2"/>
          </rPr>
          <t>Juan Baca:</t>
        </r>
        <r>
          <rPr>
            <sz val="9"/>
            <color indexed="81"/>
            <rFont val="Tahoma"/>
            <family val="2"/>
          </rPr>
          <t xml:space="preserve">
value reported corresponds to root + stem conductance -&gt; so underestimation of root conductance</t>
        </r>
      </text>
    </comment>
    <comment ref="AH728" authorId="0" shapeId="0" xr:uid="{C17F8B0C-338E-4D27-87EE-C64D69ED18F5}">
      <text>
        <r>
          <rPr>
            <b/>
            <sz val="9"/>
            <color indexed="81"/>
            <rFont val="Tahoma"/>
            <family val="2"/>
          </rPr>
          <t>Juan Baca:</t>
        </r>
        <r>
          <rPr>
            <sz val="9"/>
            <color indexed="81"/>
            <rFont val="Tahoma"/>
            <family val="2"/>
          </rPr>
          <t xml:space="preserve">
Leaf area per plant ranged between 0.03 m2 and 0.09 m2 (page 824)</t>
        </r>
      </text>
    </comment>
    <comment ref="B730" authorId="0" shapeId="0" xr:uid="{758C8F6F-C92C-4800-98DD-DC2BE7201534}">
      <text>
        <r>
          <rPr>
            <b/>
            <sz val="9"/>
            <color indexed="81"/>
            <rFont val="Tahoma"/>
            <family val="2"/>
          </rPr>
          <t>Juan Baca:</t>
        </r>
        <r>
          <rPr>
            <sz val="9"/>
            <color indexed="81"/>
            <rFont val="Tahoma"/>
            <family val="2"/>
          </rPr>
          <t xml:space="preserve">
variety kidney bean</t>
        </r>
      </text>
    </comment>
    <comment ref="B736" authorId="0" shapeId="0" xr:uid="{7C52C5B1-3C56-401F-AFDE-977CBDDDD6C1}">
      <text>
        <r>
          <rPr>
            <b/>
            <sz val="9"/>
            <color indexed="81"/>
            <rFont val="Tahoma"/>
            <family val="2"/>
          </rPr>
          <t>Juan Baca:</t>
        </r>
        <r>
          <rPr>
            <sz val="9"/>
            <color indexed="81"/>
            <rFont val="Tahoma"/>
            <family val="2"/>
          </rPr>
          <t xml:space="preserve">
variety kidney bean</t>
        </r>
      </text>
    </comment>
    <comment ref="B740" authorId="0" shapeId="0" xr:uid="{FADCC237-C029-4393-98CE-5D538E59FD13}">
      <text>
        <r>
          <rPr>
            <b/>
            <sz val="9"/>
            <color indexed="81"/>
            <rFont val="Tahoma"/>
            <family val="2"/>
          </rPr>
          <t>Juan Baca:</t>
        </r>
        <r>
          <rPr>
            <sz val="9"/>
            <color indexed="81"/>
            <rFont val="Tahoma"/>
            <family val="2"/>
          </rPr>
          <t xml:space="preserve">
variety kidney bean</t>
        </r>
      </text>
    </comment>
    <comment ref="I741" authorId="0" shapeId="0" xr:uid="{9CA7D015-EAAE-4A44-B903-A53EFE33ADA1}">
      <text>
        <r>
          <rPr>
            <b/>
            <sz val="9"/>
            <color indexed="81"/>
            <rFont val="Tahoma"/>
            <family val="2"/>
          </rPr>
          <t>Juan Baca:</t>
        </r>
        <r>
          <rPr>
            <sz val="9"/>
            <color indexed="81"/>
            <rFont val="Tahoma"/>
            <family val="2"/>
          </rPr>
          <t xml:space="preserve">
2 year old seedling were incoulated and studies 22 months after that (page 306)</t>
        </r>
      </text>
    </comment>
    <comment ref="AA741" authorId="0" shapeId="0" xr:uid="{777AF072-8B8A-4BE7-BA1F-AF3CD572C7B1}">
      <text>
        <r>
          <rPr>
            <b/>
            <sz val="9"/>
            <color indexed="81"/>
            <rFont val="Tahoma"/>
            <family val="2"/>
          </rPr>
          <t>Juan Baca:</t>
        </r>
        <r>
          <rPr>
            <sz val="9"/>
            <color indexed="81"/>
            <rFont val="Tahoma"/>
            <family val="2"/>
          </rPr>
          <t xml:space="preserve">
Kr values from page 309</t>
        </r>
      </text>
    </comment>
    <comment ref="AE741" authorId="0" shapeId="0" xr:uid="{B374F2D9-BA55-4D40-AD84-4DA21C14D81A}">
      <text>
        <r>
          <rPr>
            <b/>
            <sz val="9"/>
            <color indexed="81"/>
            <rFont val="Tahoma"/>
            <family val="2"/>
          </rPr>
          <t>Juan Baca:</t>
        </r>
        <r>
          <rPr>
            <sz val="9"/>
            <color indexed="81"/>
            <rFont val="Tahoma"/>
            <family val="2"/>
          </rPr>
          <t xml:space="preserve">
morphologic parameters extracted from table 1 and page 308</t>
        </r>
      </text>
    </comment>
    <comment ref="I743" authorId="0" shapeId="0" xr:uid="{2C701133-64DC-4330-A22E-A63297386F91}">
      <text>
        <r>
          <rPr>
            <b/>
            <sz val="9"/>
            <color indexed="81"/>
            <rFont val="Tahoma"/>
            <family val="2"/>
          </rPr>
          <t xml:space="preserve">Juan Baca:
</t>
        </r>
        <r>
          <rPr>
            <sz val="9"/>
            <color indexed="81"/>
            <rFont val="Tahoma"/>
            <family val="2"/>
          </rPr>
          <t>7-day old seedlings plus 4 days germination in the dark (page 875)</t>
        </r>
        <r>
          <rPr>
            <sz val="9"/>
            <color indexed="81"/>
            <rFont val="Tahoma"/>
            <family val="2"/>
          </rPr>
          <t xml:space="preserve"> 
  </t>
        </r>
      </text>
    </comment>
    <comment ref="AA743" authorId="0" shapeId="0" xr:uid="{34980852-F116-40E9-B4CB-323AC09DF7A3}">
      <text>
        <r>
          <rPr>
            <b/>
            <sz val="9"/>
            <color indexed="81"/>
            <rFont val="Tahoma"/>
            <family val="2"/>
          </rPr>
          <t>Juan Baca:</t>
        </r>
        <r>
          <rPr>
            <sz val="9"/>
            <color indexed="81"/>
            <rFont val="Tahoma"/>
            <family val="2"/>
          </rPr>
          <t xml:space="preserve">
data from table 1</t>
        </r>
      </text>
    </comment>
    <comment ref="AC743" authorId="0" shapeId="0" xr:uid="{C98786B6-5970-4D93-90C8-F19CEBE88113}">
      <text>
        <r>
          <rPr>
            <b/>
            <sz val="9"/>
            <color indexed="81"/>
            <rFont val="Tahoma"/>
            <family val="2"/>
          </rPr>
          <t>Juan Baca:</t>
        </r>
        <r>
          <rPr>
            <sz val="9"/>
            <color indexed="81"/>
            <rFont val="Tahoma"/>
            <family val="2"/>
          </rPr>
          <t xml:space="preserve">
data from text (page 876)</t>
        </r>
      </text>
    </comment>
    <comment ref="I755" authorId="0" shapeId="0" xr:uid="{DA8E7743-86A0-45EE-8170-E6736D302F51}">
      <text>
        <r>
          <rPr>
            <b/>
            <sz val="9"/>
            <color indexed="81"/>
            <rFont val="Tahoma"/>
            <family val="2"/>
          </rPr>
          <t>Juan Baca:</t>
        </r>
        <r>
          <rPr>
            <sz val="9"/>
            <color indexed="81"/>
            <rFont val="Tahoma"/>
            <family val="2"/>
          </rPr>
          <t xml:space="preserve">
 Plants employed in experiments were grown
either in hydroponic or aeroponic culture for 7 d (page 223) + 4 d germination in the dark</t>
        </r>
      </text>
    </comment>
    <comment ref="AA755" authorId="0" shapeId="0" xr:uid="{FB07861C-C2FA-402C-94DA-86DF06E24D06}">
      <text>
        <r>
          <rPr>
            <b/>
            <sz val="9"/>
            <color indexed="81"/>
            <rFont val="Tahoma"/>
            <family val="2"/>
          </rPr>
          <t>Juan Baca:</t>
        </r>
        <r>
          <rPr>
            <sz val="9"/>
            <color indexed="81"/>
            <rFont val="Tahoma"/>
            <family val="2"/>
          </rPr>
          <t xml:space="preserve">
data from table 1 (mean values)</t>
        </r>
      </text>
    </comment>
    <comment ref="AC755" authorId="0" shapeId="0" xr:uid="{B3FB4102-C3C8-4D84-B2D2-BCCF59EA3779}">
      <text>
        <r>
          <rPr>
            <b/>
            <sz val="9"/>
            <color indexed="81"/>
            <rFont val="Tahoma"/>
            <family val="2"/>
          </rPr>
          <t>Juan Baca:</t>
        </r>
        <r>
          <rPr>
            <sz val="9"/>
            <color indexed="81"/>
            <rFont val="Tahoma"/>
            <family val="2"/>
          </rPr>
          <t xml:space="preserve">
data from text (page 223)</t>
        </r>
      </text>
    </comment>
    <comment ref="I759" authorId="0" shapeId="0" xr:uid="{FBB63A94-BCA2-472B-AFA4-24EC965A56F0}">
      <text>
        <r>
          <rPr>
            <b/>
            <sz val="9"/>
            <color indexed="81"/>
            <rFont val="Tahoma"/>
            <family val="2"/>
          </rPr>
          <t>Juan Baca:</t>
        </r>
        <r>
          <rPr>
            <sz val="9"/>
            <color indexed="81"/>
            <rFont val="Tahoma"/>
            <family val="2"/>
          </rPr>
          <t xml:space="preserve">
Experiments were conducted on 6–9-month-old oak saplings (page 1256)</t>
        </r>
      </text>
    </comment>
    <comment ref="V759" authorId="0" shapeId="0" xr:uid="{BFB89BE3-C22C-4C88-A925-EDEE1D5E3F08}">
      <text>
        <r>
          <rPr>
            <b/>
            <sz val="9"/>
            <color indexed="81"/>
            <rFont val="Tahoma"/>
            <family val="2"/>
          </rPr>
          <t>Juan Baca:</t>
        </r>
        <r>
          <rPr>
            <sz val="9"/>
            <color indexed="81"/>
            <rFont val="Tahoma"/>
            <family val="2"/>
          </rPr>
          <t xml:space="preserve">
data from text (page 1257)</t>
        </r>
      </text>
    </comment>
    <comment ref="I760" authorId="0" shapeId="0" xr:uid="{47A6972C-5A61-4EF1-90BE-BB4BF5CD8468}">
      <text>
        <r>
          <rPr>
            <b/>
            <sz val="9"/>
            <color indexed="81"/>
            <rFont val="Tahoma"/>
            <family val="2"/>
          </rPr>
          <t>Juan Baca:</t>
        </r>
        <r>
          <rPr>
            <sz val="9"/>
            <color indexed="81"/>
            <rFont val="Tahoma"/>
            <family val="2"/>
          </rPr>
          <t xml:space="preserve">
one-year old trembling aspen seedlings grown for additional 1.5 months in solution in a growth chamber (pages 939-940)</t>
        </r>
      </text>
    </comment>
    <comment ref="J760" authorId="0" shapeId="0" xr:uid="{2F6A9F06-9BF4-491E-8BCC-2E9F7B18F142}">
      <text>
        <r>
          <rPr>
            <b/>
            <sz val="9"/>
            <color indexed="81"/>
            <rFont val="Tahoma"/>
            <family val="2"/>
          </rPr>
          <t>Juan Baca:</t>
        </r>
        <r>
          <rPr>
            <sz val="9"/>
            <color indexed="81"/>
            <rFont val="Tahoma"/>
            <family val="2"/>
          </rPr>
          <t xml:space="preserve">
AQP inhibition achieved by applying mercuric chloride</t>
        </r>
      </text>
    </comment>
    <comment ref="AA760" authorId="0" shapeId="0" xr:uid="{6D4BA46B-C9E5-44AD-9786-1F7A918BD1F8}">
      <text>
        <r>
          <rPr>
            <b/>
            <sz val="9"/>
            <color indexed="81"/>
            <rFont val="Tahoma"/>
            <family val="2"/>
          </rPr>
          <t>Juan Baca:</t>
        </r>
        <r>
          <rPr>
            <sz val="9"/>
            <color indexed="81"/>
            <rFont val="Tahoma"/>
            <family val="2"/>
          </rPr>
          <t xml:space="preserve">
data from text (page 942)</t>
        </r>
      </text>
    </comment>
    <comment ref="I762" authorId="0" shapeId="0" xr:uid="{32979E20-D7C7-4FCF-AAD8-F092C3F5375F}">
      <text>
        <r>
          <rPr>
            <b/>
            <sz val="9"/>
            <color indexed="81"/>
            <rFont val="Tahoma"/>
            <family val="2"/>
          </rPr>
          <t>Juan Baca:</t>
        </r>
        <r>
          <rPr>
            <sz val="9"/>
            <color indexed="81"/>
            <rFont val="Tahoma"/>
            <family val="2"/>
          </rPr>
          <t xml:space="preserve">
Details of age for each species is given in page (202)</t>
        </r>
      </text>
    </comment>
    <comment ref="AA762" authorId="0" shapeId="0" xr:uid="{5ECC2329-F51F-4FFF-8076-F8C9975DA3AF}">
      <text>
        <r>
          <rPr>
            <b/>
            <sz val="9"/>
            <color indexed="81"/>
            <rFont val="Tahoma"/>
            <family val="2"/>
          </rPr>
          <t>Juan Baca:</t>
        </r>
        <r>
          <rPr>
            <sz val="9"/>
            <color indexed="81"/>
            <rFont val="Tahoma"/>
            <family val="2"/>
          </rPr>
          <t xml:space="preserve">
data from table 1</t>
        </r>
      </text>
    </comment>
    <comment ref="I769" authorId="0" shapeId="0" xr:uid="{F3919A74-B8F3-4B85-B8F7-A1B741A61E76}">
      <text>
        <r>
          <rPr>
            <b/>
            <sz val="9"/>
            <color indexed="81"/>
            <rFont val="Tahoma"/>
            <family val="2"/>
          </rPr>
          <t>Juan Baca:</t>
        </r>
        <r>
          <rPr>
            <sz val="9"/>
            <color indexed="81"/>
            <rFont val="Tahoma"/>
            <family val="2"/>
          </rPr>
          <t xml:space="preserve">
The exudation experiments were performed with 20-d-old plants (page 1608)</t>
        </r>
      </text>
    </comment>
    <comment ref="J769" authorId="0" shapeId="0" xr:uid="{F191AE62-1C97-406A-B166-22672DFBCBE7}">
      <text>
        <r>
          <rPr>
            <b/>
            <sz val="9"/>
            <color indexed="81"/>
            <rFont val="Tahoma"/>
            <family val="2"/>
          </rPr>
          <t>Juan Baca:</t>
        </r>
        <r>
          <rPr>
            <sz val="9"/>
            <color indexed="81"/>
            <rFont val="Tahoma"/>
            <family val="2"/>
          </rPr>
          <t xml:space="preserve">
AQP inhibition achieved by applying mercuric chloride</t>
        </r>
      </text>
    </comment>
    <comment ref="W769" authorId="0" shapeId="0" xr:uid="{BEF1116C-54BC-48CB-960A-E9352634B2EF}">
      <text>
        <r>
          <rPr>
            <b/>
            <sz val="9"/>
            <color indexed="81"/>
            <rFont val="Tahoma"/>
            <charset val="1"/>
          </rPr>
          <t>Juan Baca:</t>
        </r>
        <r>
          <rPr>
            <sz val="9"/>
            <color indexed="81"/>
            <rFont val="Tahoma"/>
            <charset val="1"/>
          </rPr>
          <t xml:space="preserve">
data from table 3</t>
        </r>
      </text>
    </comment>
    <comment ref="I771" authorId="0" shapeId="0" xr:uid="{B1ABBE25-E9AB-4BB2-8489-B92AA1C21E2F}">
      <text>
        <r>
          <rPr>
            <b/>
            <sz val="9"/>
            <color indexed="81"/>
            <rFont val="Tahoma"/>
            <family val="2"/>
          </rPr>
          <t>Juan Baca:</t>
        </r>
        <r>
          <rPr>
            <sz val="9"/>
            <color indexed="81"/>
            <rFont val="Tahoma"/>
            <family val="2"/>
          </rPr>
          <t xml:space="preserve">
Experiments were replicated on five to ten 3-year-old seedlings of each species (page 372)</t>
        </r>
      </text>
    </comment>
    <comment ref="AB771" authorId="0" shapeId="0" xr:uid="{98BBC3C1-4AF3-449C-A4F3-582C3806CCE5}">
      <text>
        <r>
          <rPr>
            <b/>
            <sz val="9"/>
            <color indexed="81"/>
            <rFont val="Tahoma"/>
            <family val="2"/>
          </rPr>
          <t>Juan Baca:</t>
        </r>
        <r>
          <rPr>
            <sz val="9"/>
            <color indexed="81"/>
            <rFont val="Tahoma"/>
            <family val="2"/>
          </rPr>
          <t xml:space="preserve">
data from text (page 374)</t>
        </r>
      </text>
    </comment>
    <comment ref="AC771" authorId="0" shapeId="0" xr:uid="{C9F4F49A-A8B5-4D46-9B76-32B294B52A3B}">
      <text>
        <r>
          <rPr>
            <b/>
            <sz val="9"/>
            <color indexed="81"/>
            <rFont val="Tahoma"/>
            <family val="2"/>
          </rPr>
          <t>Juan Baca:</t>
        </r>
        <r>
          <rPr>
            <sz val="9"/>
            <color indexed="81"/>
            <rFont val="Tahoma"/>
            <family val="2"/>
          </rPr>
          <t xml:space="preserve">
morphologic data from table 1</t>
        </r>
      </text>
    </comment>
    <comment ref="I778" authorId="0" shapeId="0" xr:uid="{C99DE670-1ED1-4810-89E6-FF00744A1F29}">
      <text>
        <r>
          <rPr>
            <b/>
            <sz val="9"/>
            <color indexed="81"/>
            <rFont val="Tahoma"/>
            <family val="2"/>
          </rPr>
          <t>Juan Baca:</t>
        </r>
        <r>
          <rPr>
            <sz val="9"/>
            <color indexed="81"/>
            <rFont val="Tahoma"/>
            <family val="2"/>
          </rPr>
          <t xml:space="preserve">
5-7 year old trees (page 486)</t>
        </r>
      </text>
    </comment>
    <comment ref="J778" authorId="0" shapeId="0" xr:uid="{B07549A3-CFE0-4EF8-A51F-B7F0877A54B0}">
      <text>
        <r>
          <rPr>
            <b/>
            <sz val="9"/>
            <color indexed="81"/>
            <rFont val="Tahoma"/>
            <family val="2"/>
          </rPr>
          <t>Juan Baca:</t>
        </r>
        <r>
          <rPr>
            <sz val="9"/>
            <color indexed="81"/>
            <rFont val="Tahoma"/>
            <family val="2"/>
          </rPr>
          <t xml:space="preserve">
plants either grown in poots or form the field
in the case of the field trees, also possible variation in different spring/summer months was measured</t>
        </r>
      </text>
    </comment>
    <comment ref="AB778" authorId="0" shapeId="0" xr:uid="{3E307CC3-2553-43ED-BE16-CFE3ED2BCB7E}">
      <text>
        <r>
          <rPr>
            <b/>
            <sz val="9"/>
            <color indexed="81"/>
            <rFont val="Tahoma"/>
            <family val="2"/>
          </rPr>
          <t>Juan Baca:</t>
        </r>
        <r>
          <rPr>
            <sz val="9"/>
            <color indexed="81"/>
            <rFont val="Tahoma"/>
            <family val="2"/>
          </rPr>
          <t xml:space="preserve">
values from page 488</t>
        </r>
      </text>
    </comment>
    <comment ref="AH778" authorId="0" shapeId="0" xr:uid="{856E30BB-ABCE-4647-812B-B29B814F813E}">
      <text>
        <r>
          <rPr>
            <b/>
            <sz val="9"/>
            <color indexed="81"/>
            <rFont val="Tahoma"/>
            <family val="2"/>
          </rPr>
          <t>Juan Baca:</t>
        </r>
        <r>
          <rPr>
            <sz val="9"/>
            <color indexed="81"/>
            <rFont val="Tahoma"/>
            <family val="2"/>
          </rPr>
          <t xml:space="preserve">
morphological data from table 1</t>
        </r>
      </text>
    </comment>
    <comment ref="I781" authorId="0" shapeId="0" xr:uid="{D7131A05-71E8-4591-A953-0936029538C9}">
      <text>
        <r>
          <rPr>
            <b/>
            <sz val="9"/>
            <color indexed="81"/>
            <rFont val="Tahoma"/>
            <family val="2"/>
          </rPr>
          <t>Juan Baca:</t>
        </r>
        <r>
          <rPr>
            <sz val="9"/>
            <color indexed="81"/>
            <rFont val="Tahoma"/>
            <family val="2"/>
          </rPr>
          <t xml:space="preserve">
3 year old potted seedlings (page 487)</t>
        </r>
      </text>
    </comment>
    <comment ref="AB781" authorId="0" shapeId="0" xr:uid="{94E61FB8-1C93-4F24-BC72-C6CEE990A5BF}">
      <text>
        <r>
          <rPr>
            <b/>
            <sz val="9"/>
            <color indexed="81"/>
            <rFont val="Tahoma"/>
            <family val="2"/>
          </rPr>
          <t>Juan Baca:</t>
        </r>
        <r>
          <rPr>
            <sz val="9"/>
            <color indexed="81"/>
            <rFont val="Tahoma"/>
            <family val="2"/>
          </rPr>
          <t xml:space="preserve">
Kr data for potted tress from page 489</t>
        </r>
      </text>
    </comment>
    <comment ref="I782" authorId="0" shapeId="0" xr:uid="{58778229-1FEF-4DFD-AF81-C64CF2F5195F}">
      <text>
        <r>
          <rPr>
            <b/>
            <sz val="9"/>
            <color indexed="81"/>
            <rFont val="Tahoma"/>
            <family val="2"/>
          </rPr>
          <t>Juan Baca:</t>
        </r>
        <r>
          <rPr>
            <sz val="9"/>
            <color indexed="81"/>
            <rFont val="Tahoma"/>
            <family val="2"/>
          </rPr>
          <t xml:space="preserve">
The plants were grown for 1 year within the two CO2 treatment rooms (page 326)</t>
        </r>
      </text>
    </comment>
    <comment ref="X782" authorId="0" shapeId="0" xr:uid="{0C852ABB-A558-4CDF-B326-AA055297FFFE}">
      <text>
        <r>
          <rPr>
            <b/>
            <sz val="9"/>
            <color indexed="81"/>
            <rFont val="Tahoma"/>
            <family val="2"/>
          </rPr>
          <t>Juan Baca:</t>
        </r>
        <r>
          <rPr>
            <sz val="9"/>
            <color indexed="81"/>
            <rFont val="Tahoma"/>
            <family val="2"/>
          </rPr>
          <t xml:space="preserve">
data from table 1</t>
        </r>
      </text>
    </comment>
    <comment ref="AE782" authorId="0" shapeId="0" xr:uid="{6E41A4F4-FEC1-47CD-A56F-E1DD79A02532}">
      <text>
        <r>
          <rPr>
            <b/>
            <sz val="9"/>
            <color indexed="81"/>
            <rFont val="Tahoma"/>
            <family val="2"/>
          </rPr>
          <t>Juan Baca:</t>
        </r>
        <r>
          <rPr>
            <sz val="9"/>
            <color indexed="81"/>
            <rFont val="Tahoma"/>
            <family val="2"/>
          </rPr>
          <t xml:space="preserve">
morphological data from text (page 327)</t>
        </r>
      </text>
    </comment>
    <comment ref="I784" authorId="0" shapeId="0" xr:uid="{575FC55D-75D7-4E84-96E4-76AD4EE31DF1}">
      <text>
        <r>
          <rPr>
            <b/>
            <sz val="9"/>
            <color indexed="81"/>
            <rFont val="Tahoma"/>
            <family val="2"/>
          </rPr>
          <t>Juan Baca:</t>
        </r>
        <r>
          <rPr>
            <sz val="9"/>
            <color indexed="81"/>
            <rFont val="Tahoma"/>
            <family val="2"/>
          </rPr>
          <t xml:space="preserve">
Plants were grown for 37 d until they had approximately six to eight leaves (page 326)</t>
        </r>
      </text>
    </comment>
    <comment ref="I786" authorId="0" shapeId="0" xr:uid="{BC46DF95-FEEB-4E8E-A827-6003C6F00010}">
      <text>
        <r>
          <rPr>
            <b/>
            <sz val="9"/>
            <color indexed="81"/>
            <rFont val="Tahoma"/>
            <family val="2"/>
          </rPr>
          <t>Juan Baca:</t>
        </r>
        <r>
          <rPr>
            <sz val="9"/>
            <color indexed="81"/>
            <rFont val="Tahoma"/>
            <family val="2"/>
          </rPr>
          <t xml:space="preserve">
no clear infromation about age of plants</t>
        </r>
      </text>
    </comment>
    <comment ref="J786" authorId="0" shapeId="0" xr:uid="{26A754AF-38A4-46E4-802C-6B06A1B919D3}">
      <text>
        <r>
          <rPr>
            <b/>
            <sz val="9"/>
            <color indexed="81"/>
            <rFont val="Tahoma"/>
            <family val="2"/>
          </rPr>
          <t>Juan Baca:</t>
        </r>
        <r>
          <rPr>
            <sz val="9"/>
            <color indexed="81"/>
            <rFont val="Tahoma"/>
            <family val="2"/>
          </rPr>
          <t xml:space="preserve">
Transpiration rates refer to ambient or reduced conditions whereby
the reduction was achieved by placing transparent covers over the plants (Table 1)</t>
        </r>
      </text>
    </comment>
    <comment ref="AA786" authorId="0" shapeId="0" xr:uid="{D862B2AA-0ED1-4412-BEF6-BE6038CD1065}">
      <text>
        <r>
          <rPr>
            <b/>
            <sz val="9"/>
            <color indexed="81"/>
            <rFont val="Tahoma"/>
            <family val="2"/>
          </rPr>
          <t>Juan Baca:</t>
        </r>
        <r>
          <rPr>
            <sz val="9"/>
            <color indexed="81"/>
            <rFont val="Tahoma"/>
            <family val="2"/>
          </rPr>
          <t xml:space="preserve">
Data from Table 2</t>
        </r>
      </text>
    </comment>
    <comment ref="AC786" authorId="0" shapeId="0" xr:uid="{1DAB296D-F425-4430-AE88-9763A0F9D64D}">
      <text>
        <r>
          <rPr>
            <b/>
            <sz val="9"/>
            <color indexed="81"/>
            <rFont val="Tahoma"/>
            <family val="2"/>
          </rPr>
          <t>Juan Baca:</t>
        </r>
        <r>
          <rPr>
            <sz val="9"/>
            <color indexed="81"/>
            <rFont val="Tahoma"/>
            <family val="2"/>
          </rPr>
          <t xml:space="preserve">
the mean root surface area was Aroot = (0.0118 
0.004) m2 (n = 31 root systems) (page 53)</t>
        </r>
      </text>
    </comment>
    <comment ref="I796" authorId="0" shapeId="0" xr:uid="{FCF0ED17-7AA6-405B-A46B-92CBFD9A76FB}">
      <text>
        <r>
          <rPr>
            <b/>
            <sz val="9"/>
            <color indexed="81"/>
            <rFont val="Tahoma"/>
            <family val="2"/>
          </rPr>
          <t>Juan Baca:</t>
        </r>
        <r>
          <rPr>
            <sz val="9"/>
            <color indexed="81"/>
            <rFont val="Tahoma"/>
            <family val="2"/>
          </rPr>
          <t xml:space="preserve">
12 days germination if petri dishes + 25 days in a growth chamber + x DAT</t>
        </r>
      </text>
    </comment>
    <comment ref="J800" authorId="0" shapeId="0" xr:uid="{5D36D3FC-0AE6-47AF-B949-25AD89F54065}">
      <text>
        <r>
          <rPr>
            <b/>
            <sz val="9"/>
            <color indexed="81"/>
            <rFont val="Tahoma"/>
            <family val="2"/>
          </rPr>
          <t>Juan Baca:</t>
        </r>
        <r>
          <rPr>
            <sz val="9"/>
            <color indexed="81"/>
            <rFont val="Tahoma"/>
            <family val="2"/>
          </rPr>
          <t xml:space="preserve">
AQP inhibition achieved by applying mercuric chloride</t>
        </r>
      </text>
    </comment>
    <comment ref="AA802" authorId="0" shapeId="0" xr:uid="{E2779E35-5AED-4C24-A933-B2B99C015325}">
      <text>
        <r>
          <rPr>
            <b/>
            <sz val="9"/>
            <color indexed="81"/>
            <rFont val="Tahoma"/>
            <family val="2"/>
          </rPr>
          <t>Juan Baca:</t>
        </r>
        <r>
          <rPr>
            <sz val="9"/>
            <color indexed="81"/>
            <rFont val="Tahoma"/>
            <family val="2"/>
          </rPr>
          <t xml:space="preserve">
all data from Table 1</t>
        </r>
      </text>
    </comment>
    <comment ref="I816" authorId="0" shapeId="0" xr:uid="{31349192-7567-4FA5-9E81-9D7A72686157}">
      <text>
        <r>
          <rPr>
            <b/>
            <sz val="9"/>
            <color indexed="81"/>
            <rFont val="Tahoma"/>
            <family val="2"/>
          </rPr>
          <t>Juan Baca:</t>
        </r>
        <r>
          <rPr>
            <sz val="9"/>
            <color indexed="81"/>
            <rFont val="Tahoma"/>
            <family val="2"/>
          </rPr>
          <t xml:space="preserve">
measurements every 4-7 weeks at ages 4-16 months</t>
        </r>
      </text>
    </comment>
    <comment ref="I821" authorId="0" shapeId="0" xr:uid="{5A6049F9-E072-47E3-ABCC-25E07DF1D89B}">
      <text>
        <r>
          <rPr>
            <b/>
            <sz val="9"/>
            <color indexed="81"/>
            <rFont val="Tahoma"/>
            <family val="2"/>
          </rPr>
          <t>Juan Baca:</t>
        </r>
        <r>
          <rPr>
            <sz val="9"/>
            <color indexed="81"/>
            <rFont val="Tahoma"/>
            <family val="2"/>
          </rPr>
          <t xml:space="preserve">
Experiments were conducted on twenty 4-year-old potted seedlings of each of the four species</t>
        </r>
      </text>
    </comment>
    <comment ref="I833" authorId="0" shapeId="0" xr:uid="{546F18E5-7C2A-410A-B295-49605488F640}">
      <text>
        <r>
          <rPr>
            <b/>
            <sz val="9"/>
            <color indexed="81"/>
            <rFont val="Tahoma"/>
            <family val="2"/>
          </rPr>
          <t>Juan Baca:</t>
        </r>
        <r>
          <rPr>
            <sz val="9"/>
            <color indexed="81"/>
            <rFont val="Tahoma"/>
            <family val="2"/>
          </rPr>
          <t xml:space="preserve">
Experiments were conducted on twenty 4-year old potted seedlings of each of the six species mentioned above. (page 98)</t>
        </r>
      </text>
    </comment>
    <comment ref="I851" authorId="0" shapeId="0" xr:uid="{3295FD85-1A46-4432-AABC-8F9801075A69}">
      <text>
        <r>
          <rPr>
            <b/>
            <sz val="9"/>
            <color indexed="81"/>
            <rFont val="Tahoma"/>
            <family val="2"/>
          </rPr>
          <t>Juan Baca:</t>
        </r>
        <r>
          <rPr>
            <sz val="9"/>
            <color indexed="81"/>
            <rFont val="Tahoma"/>
            <family val="2"/>
          </rPr>
          <t xml:space="preserve">
Experiments were conducted on 300 3-yr-old potted seedlings of O. oleaster (page 26)</t>
        </r>
      </text>
    </comment>
    <comment ref="AB851" authorId="0" shapeId="0" xr:uid="{42D7CA2C-93E5-477D-AC23-D68589E742AB}">
      <text>
        <r>
          <rPr>
            <b/>
            <sz val="9"/>
            <color indexed="81"/>
            <rFont val="Tahoma"/>
            <family val="2"/>
          </rPr>
          <t>Juan Baca:</t>
        </r>
        <r>
          <rPr>
            <sz val="9"/>
            <color indexed="81"/>
            <rFont val="Tahoma"/>
            <family val="2"/>
          </rPr>
          <t xml:space="preserve">
data from text (page 27)</t>
        </r>
      </text>
    </comment>
    <comment ref="AH851" authorId="0" shapeId="0" xr:uid="{3CE2E50C-C1D3-4B04-886A-AFB1B3B4F43E}">
      <text>
        <r>
          <rPr>
            <b/>
            <sz val="9"/>
            <color indexed="81"/>
            <rFont val="Tahoma"/>
            <family val="2"/>
          </rPr>
          <t>Juan Baca:</t>
        </r>
        <r>
          <rPr>
            <sz val="9"/>
            <color indexed="81"/>
            <rFont val="Tahoma"/>
            <family val="2"/>
          </rPr>
          <t xml:space="preserve">
Data from Table 1</t>
        </r>
      </text>
    </comment>
    <comment ref="I853" authorId="0" shapeId="0" xr:uid="{520CE28A-4541-4807-8AAC-269381C64869}">
      <text>
        <r>
          <rPr>
            <b/>
            <sz val="9"/>
            <color indexed="81"/>
            <rFont val="Tahoma"/>
            <family val="2"/>
          </rPr>
          <t>Juan Baca:</t>
        </r>
        <r>
          <rPr>
            <sz val="9"/>
            <color indexed="81"/>
            <rFont val="Tahoma"/>
            <family val="2"/>
          </rPr>
          <t xml:space="preserve">
5 week-old plants trated during 7 days</t>
        </r>
      </text>
    </comment>
    <comment ref="X853" authorId="0" shapeId="0" xr:uid="{814180B1-60EC-46F3-AEE5-BC7D12D9D61B}">
      <text>
        <r>
          <rPr>
            <b/>
            <sz val="9"/>
            <color indexed="81"/>
            <rFont val="Tahoma"/>
            <family val="2"/>
          </rPr>
          <t>Juan Baca:</t>
        </r>
        <r>
          <rPr>
            <sz val="9"/>
            <color indexed="81"/>
            <rFont val="Tahoma"/>
            <family val="2"/>
          </rPr>
          <t xml:space="preserve">
data from table 1</t>
        </r>
      </text>
    </comment>
    <comment ref="I857" authorId="0" shapeId="0" xr:uid="{B43280C8-C002-40FD-A7B3-491A7B14247A}">
      <text>
        <r>
          <rPr>
            <b/>
            <sz val="9"/>
            <color indexed="81"/>
            <rFont val="Tahoma"/>
            <family val="2"/>
          </rPr>
          <t>Juan Baca:</t>
        </r>
        <r>
          <rPr>
            <sz val="9"/>
            <color indexed="81"/>
            <rFont val="Tahoma"/>
            <family val="2"/>
          </rPr>
          <t xml:space="preserve">
2 months grown in the greenhouse + 14 days of drought treatment (page 334)</t>
        </r>
      </text>
    </comment>
    <comment ref="AA857" authorId="0" shapeId="0" xr:uid="{E9F00488-BA24-44B6-A40D-FE25640ECCC8}">
      <text>
        <r>
          <rPr>
            <b/>
            <sz val="9"/>
            <color indexed="81"/>
            <rFont val="Tahoma"/>
            <family val="2"/>
          </rPr>
          <t>Juan Baca:</t>
        </r>
        <r>
          <rPr>
            <sz val="9"/>
            <color indexed="81"/>
            <rFont val="Tahoma"/>
            <family val="2"/>
          </rPr>
          <t xml:space="preserve">
data from text (page 335)</t>
        </r>
      </text>
    </comment>
    <comment ref="I859" authorId="0" shapeId="0" xr:uid="{013584AF-F861-4DE3-A3AF-16736543BBF4}">
      <text>
        <r>
          <rPr>
            <b/>
            <sz val="9"/>
            <color indexed="81"/>
            <rFont val="Tahoma"/>
            <family val="2"/>
          </rPr>
          <t>Juan Baca:</t>
        </r>
        <r>
          <rPr>
            <sz val="9"/>
            <color indexed="81"/>
            <rFont val="Tahoma"/>
            <family val="2"/>
          </rPr>
          <t xml:space="preserve">
no clear infromatiomn about age -&gt; seedlings less than 2 years old</t>
        </r>
      </text>
    </comment>
    <comment ref="AB859" authorId="0" shapeId="0" xr:uid="{69D42BCA-DD0B-4D19-B0F6-0C9C492A6855}">
      <text>
        <r>
          <rPr>
            <b/>
            <sz val="9"/>
            <color indexed="81"/>
            <rFont val="Tahoma"/>
            <family val="2"/>
          </rPr>
          <t>Juan Baca:</t>
        </r>
        <r>
          <rPr>
            <sz val="9"/>
            <color indexed="81"/>
            <rFont val="Tahoma"/>
            <family val="2"/>
          </rPr>
          <t xml:space="preserve">
data from table 2</t>
        </r>
      </text>
    </comment>
    <comment ref="I860" authorId="0" shapeId="0" xr:uid="{84BDA6BD-DA41-4E63-ABA6-15195E7C03D9}">
      <text>
        <r>
          <rPr>
            <b/>
            <sz val="9"/>
            <color indexed="81"/>
            <rFont val="Tahoma"/>
            <family val="2"/>
          </rPr>
          <t>Juan Baca:</t>
        </r>
        <r>
          <rPr>
            <sz val="9"/>
            <color indexed="81"/>
            <rFont val="Tahoma"/>
            <family val="2"/>
          </rPr>
          <t xml:space="preserve">
Plants were used for
determination of root system hydraulic conductance (K~) at
to 8 wk after emergence (page 1582)</t>
        </r>
      </text>
    </comment>
    <comment ref="I869" authorId="0" shapeId="0" xr:uid="{22A43E35-D00B-4952-AF99-84E97C5ECBA8}">
      <text>
        <r>
          <rPr>
            <b/>
            <sz val="9"/>
            <color indexed="81"/>
            <rFont val="Tahoma"/>
            <family val="2"/>
          </rPr>
          <t>Juan Baca:</t>
        </r>
        <r>
          <rPr>
            <sz val="9"/>
            <color indexed="81"/>
            <rFont val="Tahoma"/>
            <family val="2"/>
          </rPr>
          <t xml:space="preserve">
age data presented in tables 1 and 2</t>
        </r>
      </text>
    </comment>
    <comment ref="K869" authorId="0" shapeId="0" xr:uid="{600A7692-8511-418A-91F9-29DE8A73A8A9}">
      <text>
        <r>
          <rPr>
            <b/>
            <sz val="9"/>
            <color indexed="81"/>
            <rFont val="Tahoma"/>
            <family val="2"/>
          </rPr>
          <t>Juan Baca:</t>
        </r>
        <r>
          <rPr>
            <sz val="9"/>
            <color indexed="81"/>
            <rFont val="Tahoma"/>
            <family val="2"/>
          </rPr>
          <t xml:space="preserve">
the 1mM N concentration is assumed to be low N, while 5mM assumed to be sufficient (Control)</t>
        </r>
      </text>
    </comment>
    <comment ref="V869" authorId="0" shapeId="0" xr:uid="{34CA0053-528D-4578-B4FD-0364668867D2}">
      <text>
        <r>
          <rPr>
            <b/>
            <sz val="9"/>
            <color indexed="81"/>
            <rFont val="Tahoma"/>
            <family val="2"/>
          </rPr>
          <t>Juan Baca:</t>
        </r>
        <r>
          <rPr>
            <sz val="9"/>
            <color indexed="81"/>
            <rFont val="Tahoma"/>
            <family val="2"/>
          </rPr>
          <t xml:space="preserve">
conductance/conductivity data from table 2</t>
        </r>
      </text>
    </comment>
    <comment ref="AA869" authorId="0" shapeId="0" xr:uid="{84FE19D6-4AEE-4725-B9CF-CD16F7877B2E}">
      <text>
        <r>
          <rPr>
            <b/>
            <sz val="9"/>
            <color indexed="81"/>
            <rFont val="Tahoma"/>
            <family val="2"/>
          </rPr>
          <t>Juan Baca:</t>
        </r>
        <r>
          <rPr>
            <sz val="9"/>
            <color indexed="81"/>
            <rFont val="Tahoma"/>
            <family val="2"/>
          </rPr>
          <t xml:space="preserve">
hydraulic properties data from table 2</t>
        </r>
      </text>
    </comment>
    <comment ref="AC869" authorId="0" shapeId="0" xr:uid="{B034C8B7-1B90-4712-AC5D-A1B5E230899A}">
      <text>
        <r>
          <rPr>
            <b/>
            <sz val="9"/>
            <color indexed="81"/>
            <rFont val="Tahoma"/>
            <family val="2"/>
          </rPr>
          <t>Juan Baca:</t>
        </r>
        <r>
          <rPr>
            <sz val="9"/>
            <color indexed="81"/>
            <rFont val="Tahoma"/>
            <family val="2"/>
          </rPr>
          <t xml:space="preserve">
morphological data from table 1</t>
        </r>
      </text>
    </comment>
    <comment ref="I885" authorId="0" shapeId="0" xr:uid="{970965F5-C8E5-48DE-AF51-DAB934F3C8EA}">
      <text>
        <r>
          <rPr>
            <b/>
            <sz val="9"/>
            <color indexed="81"/>
            <rFont val="Tahoma"/>
            <family val="2"/>
          </rPr>
          <t>Juan Baca:</t>
        </r>
        <r>
          <rPr>
            <sz val="9"/>
            <color indexed="81"/>
            <rFont val="Tahoma"/>
            <family val="2"/>
          </rPr>
          <t xml:space="preserve">
no clear information about age; young plants</t>
        </r>
      </text>
    </comment>
    <comment ref="X885" authorId="0" shapeId="0" xr:uid="{6801F180-D702-43A5-B1A2-4B86D5B4FF5F}">
      <text>
        <r>
          <rPr>
            <b/>
            <sz val="9"/>
            <color indexed="81"/>
            <rFont val="Tahoma"/>
            <family val="2"/>
          </rPr>
          <t>Juan Baca:</t>
        </r>
        <r>
          <rPr>
            <sz val="9"/>
            <color indexed="81"/>
            <rFont val="Tahoma"/>
            <family val="2"/>
          </rPr>
          <t xml:space="preserve">
data from table 1; no significant differences were observed between the cultivars (page 564)</t>
        </r>
      </text>
    </comment>
    <comment ref="AE885" authorId="0" shapeId="0" xr:uid="{D75EDB96-AC5F-4A8B-BA7B-69A5DF6C0955}">
      <text>
        <r>
          <rPr>
            <b/>
            <sz val="9"/>
            <color indexed="81"/>
            <rFont val="Tahoma"/>
            <family val="2"/>
          </rPr>
          <t>Juan Baca:</t>
        </r>
        <r>
          <rPr>
            <sz val="9"/>
            <color indexed="81"/>
            <rFont val="Tahoma"/>
            <family val="2"/>
          </rPr>
          <t xml:space="preserve">
data from table 2</t>
        </r>
      </text>
    </comment>
    <comment ref="I889" authorId="0" shapeId="0" xr:uid="{D935FC34-0FD6-41DC-B570-157BAAADA117}">
      <text>
        <r>
          <rPr>
            <b/>
            <sz val="9"/>
            <color indexed="81"/>
            <rFont val="Tahoma"/>
            <family val="2"/>
          </rPr>
          <t>Juan Baca:</t>
        </r>
        <r>
          <rPr>
            <sz val="9"/>
            <color indexed="81"/>
            <rFont val="Tahoma"/>
            <family val="2"/>
          </rPr>
          <t xml:space="preserve">
Cherry (Prunus avium L.) seeds were germinated in
spring 1993 and grown for two years in a greenhouse at the University of Edinburgh (page 299)</t>
        </r>
      </text>
    </comment>
    <comment ref="V889" authorId="0" shapeId="0" xr:uid="{19FE5CE8-795A-4413-A5BB-9C57C53FECEF}">
      <text>
        <r>
          <rPr>
            <b/>
            <sz val="9"/>
            <color indexed="81"/>
            <rFont val="Tahoma"/>
            <family val="2"/>
          </rPr>
          <t>Juan Baca:</t>
        </r>
        <r>
          <rPr>
            <sz val="9"/>
            <color indexed="81"/>
            <rFont val="Tahoma"/>
            <family val="2"/>
          </rPr>
          <t xml:space="preserve">
all data from table 2</t>
        </r>
      </text>
    </comment>
    <comment ref="I892" authorId="0" shapeId="0" xr:uid="{DFAC2FAE-B9EF-44C0-80DB-D977F9378E6C}">
      <text>
        <r>
          <rPr>
            <b/>
            <sz val="9"/>
            <color indexed="81"/>
            <rFont val="Tahoma"/>
            <family val="2"/>
          </rPr>
          <t>Juan Baca:</t>
        </r>
        <r>
          <rPr>
            <sz val="9"/>
            <color indexed="81"/>
            <rFont val="Tahoma"/>
            <family val="2"/>
          </rPr>
          <t xml:space="preserve">
no age given, only mentioned that plamnts were flooded at 8-leaf stage (page 18)</t>
        </r>
      </text>
    </comment>
    <comment ref="V892" authorId="0" shapeId="0" xr:uid="{763787BB-02ED-4B8C-AEE1-F6E522943191}">
      <text>
        <r>
          <rPr>
            <b/>
            <sz val="9"/>
            <color indexed="81"/>
            <rFont val="Tahoma"/>
            <family val="2"/>
          </rPr>
          <t>Juan Baca:</t>
        </r>
        <r>
          <rPr>
            <sz val="9"/>
            <color indexed="81"/>
            <rFont val="Tahoma"/>
            <family val="2"/>
          </rPr>
          <t xml:space="preserve">
data extracted from text (page 19)</t>
        </r>
      </text>
    </comment>
    <comment ref="I894" authorId="0" shapeId="0" xr:uid="{C6AC8683-5D28-413E-AFAB-2B0ECB605DDF}">
      <text>
        <r>
          <rPr>
            <b/>
            <sz val="9"/>
            <color indexed="81"/>
            <rFont val="Tahoma"/>
            <family val="2"/>
          </rPr>
          <t>Juan Baca:</t>
        </r>
        <r>
          <rPr>
            <sz val="9"/>
            <color indexed="81"/>
            <rFont val="Tahoma"/>
            <family val="2"/>
          </rPr>
          <t xml:space="preserve">
Measurement
of the hydraulic conductance of the root system using the
pressure chamber technique began
when plants were 30-d-old and continued for six consecutive days (page 235)</t>
        </r>
      </text>
    </comment>
    <comment ref="V894" authorId="0" shapeId="0" xr:uid="{C8890C9F-1966-4AF1-A3F3-646120D5BA98}">
      <text>
        <r>
          <rPr>
            <b/>
            <sz val="9"/>
            <color indexed="81"/>
            <rFont val="Tahoma"/>
            <family val="2"/>
          </rPr>
          <t>Juan Baca:</t>
        </r>
        <r>
          <rPr>
            <sz val="9"/>
            <color indexed="81"/>
            <rFont val="Tahoma"/>
            <family val="2"/>
          </rPr>
          <t xml:space="preserve">
conductance and root length data from table 5</t>
        </r>
      </text>
    </comment>
    <comment ref="I896" authorId="0" shapeId="0" xr:uid="{0E148534-131A-4F7A-9541-A6F22C95A205}">
      <text>
        <r>
          <rPr>
            <b/>
            <sz val="9"/>
            <color indexed="81"/>
            <rFont val="Tahoma"/>
            <family val="2"/>
          </rPr>
          <t>Juan Baca:</t>
        </r>
        <r>
          <rPr>
            <sz val="9"/>
            <color indexed="81"/>
            <rFont val="Tahoma"/>
            <family val="2"/>
          </rPr>
          <t xml:space="preserve">
15 days of growth in nutrient solution + 5 or 7 days of N or P deprivation</t>
        </r>
      </text>
    </comment>
    <comment ref="W896" authorId="0" shapeId="0" xr:uid="{ACEAEA4D-3E88-40EE-A91E-67E4E65150F5}">
      <text>
        <r>
          <rPr>
            <b/>
            <sz val="9"/>
            <color indexed="81"/>
            <rFont val="Tahoma"/>
            <family val="2"/>
          </rPr>
          <t>Juan Baca:</t>
        </r>
        <r>
          <rPr>
            <sz val="9"/>
            <color indexed="81"/>
            <rFont val="Tahoma"/>
            <family val="2"/>
          </rPr>
          <t xml:space="preserve">
data from table 1</t>
        </r>
      </text>
    </comment>
    <comment ref="W902" authorId="0" shapeId="0" xr:uid="{89125D61-F205-4C05-B688-255BD1C5638F}">
      <text>
        <r>
          <rPr>
            <b/>
            <sz val="9"/>
            <color indexed="81"/>
            <rFont val="Tahoma"/>
            <family val="2"/>
          </rPr>
          <t>Juan Baca:</t>
        </r>
        <r>
          <rPr>
            <sz val="9"/>
            <color indexed="81"/>
            <rFont val="Tahoma"/>
            <family val="2"/>
          </rPr>
          <t xml:space="preserve">
data from table 3</t>
        </r>
      </text>
    </comment>
    <comment ref="J908" authorId="0" shapeId="0" xr:uid="{786BD400-4460-4C54-B257-9AA4B7EE2A8B}">
      <text>
        <r>
          <rPr>
            <b/>
            <sz val="9"/>
            <color indexed="81"/>
            <rFont val="Tahoma"/>
            <family val="2"/>
          </rPr>
          <t>Juan Baca:</t>
        </r>
        <r>
          <rPr>
            <sz val="9"/>
            <color indexed="81"/>
            <rFont val="Tahoma"/>
            <family val="2"/>
          </rPr>
          <t xml:space="preserve">
AQP inhibition by applying mercuric chloride; at some point  druing the experiement the addition of P or N stopped</t>
        </r>
      </text>
    </comment>
    <comment ref="W908" authorId="0" shapeId="0" xr:uid="{0960FC1F-2A7A-444F-8D33-DB35AECA849A}">
      <text>
        <r>
          <rPr>
            <b/>
            <sz val="9"/>
            <color indexed="81"/>
            <rFont val="Tahoma"/>
            <family val="2"/>
          </rPr>
          <t>Juan Baca:</t>
        </r>
        <r>
          <rPr>
            <sz val="9"/>
            <color indexed="81"/>
            <rFont val="Tahoma"/>
            <family val="2"/>
          </rPr>
          <t xml:space="preserve">
data from table 5</t>
        </r>
      </text>
    </comment>
    <comment ref="I914" authorId="0" shapeId="0" xr:uid="{64AD0A2A-246F-444B-B427-8BBC5FC45BDD}">
      <text>
        <r>
          <rPr>
            <b/>
            <sz val="9"/>
            <color indexed="81"/>
            <rFont val="Tahoma"/>
            <family val="2"/>
          </rPr>
          <t>Juan Baca:</t>
        </r>
        <r>
          <rPr>
            <sz val="9"/>
            <color indexed="81"/>
            <rFont val="Tahoma"/>
            <family val="2"/>
          </rPr>
          <t xml:space="preserve">
When plants were at the 7-8 leaf age, 30 plants of
uniform size were chosen and divided into three
groups (page 331)</t>
        </r>
      </text>
    </comment>
    <comment ref="V914" authorId="0" shapeId="0" xr:uid="{99C80999-413C-41C4-B609-FC33B0DC25B9}">
      <text>
        <r>
          <rPr>
            <b/>
            <sz val="9"/>
            <color indexed="81"/>
            <rFont val="Tahoma"/>
            <family val="2"/>
          </rPr>
          <t>Juan Baca:</t>
        </r>
        <r>
          <rPr>
            <sz val="9"/>
            <color indexed="81"/>
            <rFont val="Tahoma"/>
            <family val="2"/>
          </rPr>
          <t xml:space="preserve">
data from text (page 333)</t>
        </r>
      </text>
    </comment>
    <comment ref="I917" authorId="0" shapeId="0" xr:uid="{0F2E41FB-F3F0-4246-A41E-BF3696DA5F7E}">
      <text>
        <r>
          <rPr>
            <b/>
            <sz val="9"/>
            <color indexed="81"/>
            <rFont val="Tahoma"/>
            <family val="2"/>
          </rPr>
          <t>Juan Baca:</t>
        </r>
        <r>
          <rPr>
            <sz val="9"/>
            <color indexed="81"/>
            <rFont val="Tahoma"/>
            <family val="2"/>
          </rPr>
          <t xml:space="preserve">
To measure root L,, pressure-flux curves were determined on twelve 7-week-old seedlings. (page 109)</t>
        </r>
      </text>
    </comment>
    <comment ref="K917" authorId="0" shapeId="0" xr:uid="{40F8A3ED-BE80-46F4-90A5-5CC248233DE5}">
      <text>
        <r>
          <rPr>
            <b/>
            <sz val="9"/>
            <color indexed="81"/>
            <rFont val="Tahoma"/>
            <family val="2"/>
          </rPr>
          <t>Juan Baca:</t>
        </r>
        <r>
          <rPr>
            <sz val="9"/>
            <color indexed="81"/>
            <rFont val="Tahoma"/>
            <family val="2"/>
          </rPr>
          <t xml:space="preserve">
AQP inhibition by application of mercuric chloride</t>
        </r>
      </text>
    </comment>
    <comment ref="AA917" authorId="0" shapeId="0" xr:uid="{EAA1F19D-CD31-49B0-9BCD-D9FDDC5CD91E}">
      <text>
        <r>
          <rPr>
            <b/>
            <sz val="9"/>
            <color indexed="81"/>
            <rFont val="Tahoma"/>
            <family val="2"/>
          </rPr>
          <t>Juan Baca:</t>
        </r>
        <r>
          <rPr>
            <sz val="9"/>
            <color indexed="81"/>
            <rFont val="Tahoma"/>
            <family val="2"/>
          </rPr>
          <t xml:space="preserve">
data from table 1</t>
        </r>
      </text>
    </comment>
    <comment ref="AG917" authorId="0" shapeId="0" xr:uid="{58AE6231-A0A3-4200-A17B-40251C6DCE30}">
      <text>
        <r>
          <rPr>
            <b/>
            <sz val="9"/>
            <color indexed="81"/>
            <rFont val="Tahoma"/>
            <family val="2"/>
          </rPr>
          <t>Juan Baca:</t>
        </r>
        <r>
          <rPr>
            <sz val="9"/>
            <color indexed="81"/>
            <rFont val="Tahoma"/>
            <family val="2"/>
          </rPr>
          <t xml:space="preserve">
An average root radius of
0.2 mm was obtained by sampling root cross-sections (page 109)</t>
        </r>
      </text>
    </comment>
    <comment ref="I919" authorId="0" shapeId="0" xr:uid="{257B26FD-8659-4E2E-9C1A-562344E18BEB}">
      <text>
        <r>
          <rPr>
            <b/>
            <sz val="9"/>
            <color indexed="81"/>
            <rFont val="Tahoma"/>
            <family val="2"/>
          </rPr>
          <t>Juan Baca:</t>
        </r>
        <r>
          <rPr>
            <sz val="9"/>
            <color indexed="81"/>
            <rFont val="Tahoma"/>
            <family val="2"/>
          </rPr>
          <t xml:space="preserve">
Two-year-old Norway spruce (Picea abies (L.) Karst.)seedlings from a local source were obtained from a private nursery in Bayreuth, FRG (page 91) </t>
        </r>
      </text>
    </comment>
    <comment ref="AA919" authorId="0" shapeId="0" xr:uid="{5AD03E5F-90F5-4455-B47B-113FDA92B176}">
      <text>
        <r>
          <rPr>
            <b/>
            <sz val="9"/>
            <color indexed="81"/>
            <rFont val="Tahoma"/>
            <family val="2"/>
          </rPr>
          <t>Juan Baca:</t>
        </r>
        <r>
          <rPr>
            <sz val="9"/>
            <color indexed="81"/>
            <rFont val="Tahoma"/>
            <family val="2"/>
          </rPr>
          <t xml:space="preserve">
min, average and max values calculated from Table 1</t>
        </r>
      </text>
    </comment>
    <comment ref="I925" authorId="0" shapeId="0" xr:uid="{DE1F3B1F-FAF6-4498-8553-466EB3DE80B4}">
      <text>
        <r>
          <rPr>
            <b/>
            <sz val="9"/>
            <color indexed="81"/>
            <rFont val="Tahoma"/>
            <family val="2"/>
          </rPr>
          <t>Juan Baca:</t>
        </r>
        <r>
          <rPr>
            <sz val="9"/>
            <color indexed="81"/>
            <rFont val="Tahoma"/>
            <family val="2"/>
          </rPr>
          <t xml:space="preserve">
no age given, only mentioned that plamnts were flooded at 8-leaf stage (page 1018)</t>
        </r>
      </text>
    </comment>
    <comment ref="I931" authorId="0" shapeId="0" xr:uid="{455F4F37-A717-4D73-BEF1-1F076590A4F7}">
      <text>
        <r>
          <rPr>
            <b/>
            <sz val="9"/>
            <color indexed="81"/>
            <rFont val="Tahoma"/>
            <family val="2"/>
          </rPr>
          <t>Juan Baca:</t>
        </r>
        <r>
          <rPr>
            <sz val="9"/>
            <color indexed="81"/>
            <rFont val="Tahoma"/>
            <family val="2"/>
          </rPr>
          <t xml:space="preserve">
Seedlings of Norway spruce (Picea abies (L.) Karst.; age: two years) were grown as described previously (page 1415)</t>
        </r>
      </text>
    </comment>
    <comment ref="AA931" authorId="0" shapeId="0" xr:uid="{81659A19-746C-414B-B5EC-36FAD1CF231D}">
      <text>
        <r>
          <rPr>
            <b/>
            <sz val="9"/>
            <color indexed="81"/>
            <rFont val="Tahoma"/>
            <family val="2"/>
          </rPr>
          <t>Juan Baca:</t>
        </r>
        <r>
          <rPr>
            <sz val="9"/>
            <color indexed="81"/>
            <rFont val="Tahoma"/>
            <family val="2"/>
          </rPr>
          <t xml:space="preserve">
data from table 2</t>
        </r>
      </text>
    </comment>
    <comment ref="AC931" authorId="0" shapeId="0" xr:uid="{EFE16302-1471-44B1-9C50-34E9FB185BE9}">
      <text>
        <r>
          <rPr>
            <b/>
            <sz val="9"/>
            <color indexed="81"/>
            <rFont val="Tahoma"/>
            <family val="2"/>
          </rPr>
          <t>Juan Baca:</t>
        </r>
        <r>
          <rPr>
            <sz val="9"/>
            <color indexed="81"/>
            <rFont val="Tahoma"/>
            <family val="2"/>
          </rPr>
          <t xml:space="preserve">
data from table1</t>
        </r>
      </text>
    </comment>
    <comment ref="AC934" authorId="0" shapeId="0" xr:uid="{04D24ABE-409F-4C22-A3B0-A6701044740C}">
      <text>
        <r>
          <rPr>
            <b/>
            <sz val="9"/>
            <color indexed="81"/>
            <rFont val="Tahoma"/>
            <family val="2"/>
          </rPr>
          <t>Juan Baca:</t>
        </r>
        <r>
          <rPr>
            <sz val="9"/>
            <color indexed="81"/>
            <rFont val="Tahoma"/>
            <family val="2"/>
          </rPr>
          <t xml:space="preserve">
larger area under stop-flow experiments (Table 1)</t>
        </r>
      </text>
    </comment>
    <comment ref="I939" authorId="0" shapeId="0" xr:uid="{CA895C39-8B13-49D0-9860-EFB872115EDA}">
      <text>
        <r>
          <rPr>
            <b/>
            <sz val="9"/>
            <color indexed="81"/>
            <rFont val="Tahoma"/>
            <family val="2"/>
          </rPr>
          <t>Juan Baca:</t>
        </r>
        <r>
          <rPr>
            <sz val="9"/>
            <color indexed="81"/>
            <rFont val="Tahoma"/>
            <family val="2"/>
          </rPr>
          <t xml:space="preserve">
One-month-old plants, whose shoot-roots had not yet developed, were used for whole sett-root system measurements  (page 1210)</t>
        </r>
      </text>
    </comment>
    <comment ref="AB939" authorId="0" shapeId="0" xr:uid="{1E906415-00D1-4FE4-9AFB-77007D579F63}">
      <text>
        <r>
          <rPr>
            <b/>
            <sz val="9"/>
            <color indexed="81"/>
            <rFont val="Tahoma"/>
            <family val="2"/>
          </rPr>
          <t>Juan Baca:</t>
        </r>
        <r>
          <rPr>
            <sz val="9"/>
            <color indexed="81"/>
            <rFont val="Tahoma"/>
            <family val="2"/>
          </rPr>
          <t xml:space="preserve">
data from table 1</t>
        </r>
      </text>
    </comment>
    <comment ref="AH939" authorId="0" shapeId="0" xr:uid="{274EE17F-3DC0-4D5A-AD29-F20854C9AB84}">
      <text>
        <r>
          <rPr>
            <b/>
            <sz val="9"/>
            <color indexed="81"/>
            <rFont val="Tahoma"/>
            <family val="2"/>
          </rPr>
          <t>Juan Baca:</t>
        </r>
        <r>
          <rPr>
            <sz val="9"/>
            <color indexed="81"/>
            <rFont val="Tahoma"/>
            <family val="2"/>
          </rPr>
          <t xml:space="preserve">
plant leaf area ranged form 0.6-0.8 m2/plant (legend table 1)</t>
        </r>
      </text>
    </comment>
    <comment ref="I941" authorId="0" shapeId="0" xr:uid="{F898F999-7F78-4D55-B236-013CD2028D98}">
      <text>
        <r>
          <rPr>
            <b/>
            <sz val="9"/>
            <color indexed="81"/>
            <rFont val="Tahoma"/>
            <family val="2"/>
          </rPr>
          <t>Juan Baca:</t>
        </r>
        <r>
          <rPr>
            <sz val="9"/>
            <color indexed="81"/>
            <rFont val="Tahoma"/>
            <family val="2"/>
          </rPr>
          <t xml:space="preserve">
36 days of growth before temperature was changed</t>
        </r>
      </text>
    </comment>
    <comment ref="I949" authorId="0" shapeId="0" xr:uid="{1ADD3286-6B05-4990-81C3-0185A1629563}">
      <text>
        <r>
          <rPr>
            <b/>
            <sz val="9"/>
            <color indexed="81"/>
            <rFont val="Tahoma"/>
            <family val="2"/>
          </rPr>
          <t>Juan Baca:</t>
        </r>
        <r>
          <rPr>
            <sz val="9"/>
            <color indexed="81"/>
            <rFont val="Tahoma"/>
            <family val="2"/>
          </rPr>
          <t xml:space="preserve">
3 days germination + 2 days in the dark + number of days after S-treatment start</t>
        </r>
      </text>
    </comment>
    <comment ref="J949" authorId="0" shapeId="0" xr:uid="{18AB5421-24BF-4738-A7F9-BBE6CEACCF8B}">
      <text>
        <r>
          <rPr>
            <b/>
            <sz val="9"/>
            <color indexed="81"/>
            <rFont val="Tahoma"/>
            <family val="2"/>
          </rPr>
          <t>Juan Baca:</t>
        </r>
        <r>
          <rPr>
            <sz val="9"/>
            <color indexed="81"/>
            <rFont val="Tahoma"/>
            <family val="2"/>
          </rPr>
          <t xml:space="preserve">
described as nutrient deprivation in the text -&gt; at some point S is not added anymore</t>
        </r>
      </text>
    </comment>
    <comment ref="I957" authorId="0" shapeId="0" xr:uid="{B40EF3B2-2189-4EED-A75E-98A0BB186949}">
      <text>
        <r>
          <rPr>
            <b/>
            <sz val="9"/>
            <color indexed="81"/>
            <rFont val="Tahoma"/>
            <family val="2"/>
          </rPr>
          <t>Juan Baca:</t>
        </r>
        <r>
          <rPr>
            <sz val="9"/>
            <color indexed="81"/>
            <rFont val="Tahoma"/>
            <family val="2"/>
          </rPr>
          <t xml:space="preserve">
data from table 1</t>
        </r>
      </text>
    </comment>
    <comment ref="AD957" authorId="0" shapeId="0" xr:uid="{97E56C35-486F-440E-A97D-4234FF5B8ECF}">
      <text>
        <r>
          <rPr>
            <b/>
            <sz val="9"/>
            <color indexed="81"/>
            <rFont val="Tahoma"/>
            <family val="2"/>
          </rPr>
          <t>Juan Baca:</t>
        </r>
        <r>
          <rPr>
            <sz val="9"/>
            <color indexed="81"/>
            <rFont val="Tahoma"/>
            <family val="2"/>
          </rPr>
          <t xml:space="preserve">
data from table 1</t>
        </r>
      </text>
    </comment>
    <comment ref="I961" authorId="0" shapeId="0" xr:uid="{619B2580-19C5-41AB-84AB-D64DF3308A9F}">
      <text>
        <r>
          <rPr>
            <b/>
            <sz val="9"/>
            <color indexed="81"/>
            <rFont val="Tahoma"/>
            <family val="2"/>
          </rPr>
          <t>Juan Baca:</t>
        </r>
        <r>
          <rPr>
            <sz val="9"/>
            <color indexed="81"/>
            <rFont val="Tahoma"/>
            <family val="2"/>
          </rPr>
          <t xml:space="preserve">
data from table 1</t>
        </r>
      </text>
    </comment>
    <comment ref="I965" authorId="0" shapeId="0" xr:uid="{D0201EEA-B2D3-48D2-B0EC-F55F9DC51563}">
      <text>
        <r>
          <rPr>
            <b/>
            <sz val="9"/>
            <color indexed="81"/>
            <rFont val="Tahoma"/>
            <family val="2"/>
          </rPr>
          <t>Juan Baca:</t>
        </r>
        <r>
          <rPr>
            <sz val="9"/>
            <color indexed="81"/>
            <rFont val="Tahoma"/>
            <family val="2"/>
          </rPr>
          <t xml:space="preserve">
Ten days after
germination, when leaf2 had just emerged, the seedlings were sprayed with a fine mist of water and then sprayed with urediniospores of Puccinia hordei + 24 h in dark + 24 h in light + 7 days after inoculation + 4-8 days after infection (page 408)</t>
        </r>
      </text>
    </comment>
    <comment ref="AC965" authorId="0" shapeId="0" xr:uid="{717FA85D-3405-42EE-9C49-D12E9F5C52C0}">
      <text>
        <r>
          <rPr>
            <b/>
            <sz val="9"/>
            <color indexed="81"/>
            <rFont val="Tahoma"/>
            <family val="2"/>
          </rPr>
          <t>Juan Baca:</t>
        </r>
        <r>
          <rPr>
            <sz val="9"/>
            <color indexed="81"/>
            <rFont val="Tahoma"/>
            <family val="2"/>
          </rPr>
          <t xml:space="preserve">
from table 2</t>
        </r>
      </text>
    </comment>
    <comment ref="I975" authorId="0" shapeId="0" xr:uid="{ACA63DC2-53A7-4B57-9EDF-413C6D8B739B}">
      <text>
        <r>
          <rPr>
            <b/>
            <sz val="9"/>
            <color indexed="81"/>
            <rFont val="Tahoma"/>
            <family val="2"/>
          </rPr>
          <t>Juan Baca:</t>
        </r>
        <r>
          <rPr>
            <sz val="9"/>
            <color indexed="81"/>
            <rFont val="Tahoma"/>
            <family val="2"/>
          </rPr>
          <t xml:space="preserve">
Measurements were taken on seedlings in this
complete factorial design after nine months (page 276)</t>
        </r>
      </text>
    </comment>
    <comment ref="V975" authorId="0" shapeId="0" xr:uid="{251E10F2-1F59-49BB-B9BD-6A8499A0A9BF}">
      <text>
        <r>
          <rPr>
            <b/>
            <sz val="9"/>
            <color indexed="81"/>
            <rFont val="Tahoma"/>
            <family val="2"/>
          </rPr>
          <t>Juan Baca:</t>
        </r>
        <r>
          <rPr>
            <sz val="9"/>
            <color indexed="81"/>
            <rFont val="Tahoma"/>
            <family val="2"/>
          </rPr>
          <t xml:space="preserve">
Data from table 4</t>
        </r>
      </text>
    </comment>
    <comment ref="Y975" authorId="0" shapeId="0" xr:uid="{F55BC6B1-3814-46DA-B11A-C7B7109C9866}">
      <text>
        <r>
          <rPr>
            <b/>
            <sz val="9"/>
            <color indexed="81"/>
            <rFont val="Tahoma"/>
            <family val="2"/>
          </rPr>
          <t>Juan Baca:</t>
        </r>
        <r>
          <rPr>
            <sz val="9"/>
            <color indexed="81"/>
            <rFont val="Tahoma"/>
            <family val="2"/>
          </rPr>
          <t xml:space="preserve">
Data from table 4</t>
        </r>
      </text>
    </comment>
    <comment ref="AD975" authorId="0" shapeId="0" xr:uid="{BAEE09DF-CFB4-42A2-8928-2290473512D9}">
      <text>
        <r>
          <rPr>
            <b/>
            <sz val="9"/>
            <color indexed="81"/>
            <rFont val="Tahoma"/>
            <family val="2"/>
          </rPr>
          <t>Juan Baca:</t>
        </r>
        <r>
          <rPr>
            <sz val="9"/>
            <color indexed="81"/>
            <rFont val="Tahoma"/>
            <family val="2"/>
          </rPr>
          <t xml:space="preserve">
Morphological data from Table 1; total root length referes to fine roots</t>
        </r>
      </text>
    </comment>
    <comment ref="V981" authorId="0" shapeId="0" xr:uid="{AAE1752A-2F97-48FB-8FC7-1627CBC2F295}">
      <text>
        <r>
          <rPr>
            <b/>
            <sz val="9"/>
            <color indexed="81"/>
            <rFont val="Tahoma"/>
            <family val="2"/>
          </rPr>
          <t>Juan Baca:</t>
        </r>
        <r>
          <rPr>
            <sz val="9"/>
            <color indexed="81"/>
            <rFont val="Tahoma"/>
            <family val="2"/>
          </rPr>
          <t xml:space="preserve">
Data from table 5
</t>
        </r>
      </text>
    </comment>
    <comment ref="Y981" authorId="0" shapeId="0" xr:uid="{501C0631-8D0D-4B9D-8C85-13920C9A278F}">
      <text>
        <r>
          <rPr>
            <b/>
            <sz val="9"/>
            <color indexed="81"/>
            <rFont val="Tahoma"/>
            <family val="2"/>
          </rPr>
          <t>Juan Baca:</t>
        </r>
        <r>
          <rPr>
            <sz val="9"/>
            <color indexed="81"/>
            <rFont val="Tahoma"/>
            <family val="2"/>
          </rPr>
          <t xml:space="preserve">
Data from table 5
</t>
        </r>
      </text>
    </comment>
    <comment ref="AD981" authorId="0" shapeId="0" xr:uid="{7FFDBD03-17B8-439A-8891-165F2CF9164C}">
      <text>
        <r>
          <rPr>
            <b/>
            <sz val="9"/>
            <color indexed="81"/>
            <rFont val="Tahoma"/>
            <family val="2"/>
          </rPr>
          <t>Juan Baca:</t>
        </r>
        <r>
          <rPr>
            <sz val="9"/>
            <color indexed="81"/>
            <rFont val="Tahoma"/>
            <family val="2"/>
          </rPr>
          <t xml:space="preserve">
Morphological data from Table 2; total root length referes to fine roots</t>
        </r>
      </text>
    </comment>
    <comment ref="I984" authorId="0" shapeId="0" xr:uid="{B5E52A6F-D00C-419D-8149-37BD5156E3A2}">
      <text>
        <r>
          <rPr>
            <b/>
            <sz val="9"/>
            <color indexed="81"/>
            <rFont val="Tahoma"/>
            <family val="2"/>
          </rPr>
          <t>Juan Baca:</t>
        </r>
        <r>
          <rPr>
            <sz val="9"/>
            <color indexed="81"/>
            <rFont val="Tahoma"/>
            <family val="2"/>
          </rPr>
          <t xml:space="preserve">
Lp determinations began on the 48th day of treatment and
continued through the 63rd day. (page 660). First, 21 days germinated and 7 days acclimation in the chamber</t>
        </r>
      </text>
    </comment>
    <comment ref="V984" authorId="0" shapeId="0" xr:uid="{5FFAEE88-C937-4292-80CB-D5E4D1E440EF}">
      <text>
        <r>
          <rPr>
            <b/>
            <sz val="9"/>
            <color indexed="81"/>
            <rFont val="Tahoma"/>
            <family val="2"/>
          </rPr>
          <t>Juan Baca:</t>
        </r>
        <r>
          <rPr>
            <sz val="9"/>
            <color indexed="81"/>
            <rFont val="Tahoma"/>
            <family val="2"/>
          </rPr>
          <t xml:space="preserve">
All data from Table 3</t>
        </r>
      </text>
    </comment>
    <comment ref="I990" authorId="0" shapeId="0" xr:uid="{92338B01-7DC6-4827-BDC6-2D30CF355068}">
      <text>
        <r>
          <rPr>
            <b/>
            <sz val="9"/>
            <color indexed="81"/>
            <rFont val="Tahoma"/>
            <family val="2"/>
          </rPr>
          <t>Juan Baca:</t>
        </r>
        <r>
          <rPr>
            <sz val="9"/>
            <color indexed="81"/>
            <rFont val="Tahoma"/>
            <family val="2"/>
          </rPr>
          <t xml:space="preserve">
7 days germination and growth in Peat-Lite, then 14 days growth in chamber + 4 days treatments</t>
        </r>
      </text>
    </comment>
    <comment ref="AG990" authorId="0" shapeId="0" xr:uid="{87122707-60FB-4459-80B6-81A6665EB99E}">
      <text>
        <r>
          <rPr>
            <b/>
            <sz val="9"/>
            <color indexed="81"/>
            <rFont val="Tahoma"/>
            <family val="2"/>
          </rPr>
          <t>Juan Baca:</t>
        </r>
        <r>
          <rPr>
            <sz val="9"/>
            <color indexed="81"/>
            <rFont val="Tahoma"/>
            <family val="2"/>
          </rPr>
          <t xml:space="preserve">
Because a preliminary analysis of the distribution of root radii among treatments revealed no consistent differences in root thickness
among salinized and control plants, an approximate radius of
0.2 mm was taken (page 1263)</t>
        </r>
      </text>
    </comment>
    <comment ref="I996" authorId="0" shapeId="0" xr:uid="{300CC0B5-29EC-4FEA-A268-42ED518440AE}">
      <text>
        <r>
          <rPr>
            <b/>
            <sz val="9"/>
            <color indexed="81"/>
            <rFont val="Tahoma"/>
            <family val="2"/>
          </rPr>
          <t>Juan Baca:</t>
        </r>
        <r>
          <rPr>
            <sz val="9"/>
            <color indexed="81"/>
            <rFont val="Tahoma"/>
            <family val="2"/>
          </rPr>
          <t xml:space="preserve">
one year old black spruce seedling were used (page 74)</t>
        </r>
      </text>
    </comment>
    <comment ref="J996" authorId="0" shapeId="0" xr:uid="{1614C9A0-CD9E-4AC4-9344-227EC8024A7C}">
      <text>
        <r>
          <rPr>
            <b/>
            <sz val="9"/>
            <color indexed="81"/>
            <rFont val="Tahoma"/>
            <family val="2"/>
          </rPr>
          <t>Juan Baca:</t>
        </r>
        <r>
          <rPr>
            <sz val="9"/>
            <color indexed="81"/>
            <rFont val="Tahoma"/>
            <family val="2"/>
          </rPr>
          <t xml:space="preserve">
as a proxy for new root development after thawing</t>
        </r>
      </text>
    </comment>
    <comment ref="Z996" authorId="0" shapeId="0" xr:uid="{238DE87A-1F66-435C-89B9-05AA1894EC94}">
      <text>
        <r>
          <rPr>
            <b/>
            <sz val="9"/>
            <color indexed="81"/>
            <rFont val="Tahoma"/>
            <family val="2"/>
          </rPr>
          <t>Juan Baca:</t>
        </r>
        <r>
          <rPr>
            <sz val="9"/>
            <color indexed="81"/>
            <rFont val="Tahoma"/>
            <family val="2"/>
          </rPr>
          <t xml:space="preserve">
data from table 1</t>
        </r>
      </text>
    </comment>
    <comment ref="I1002" authorId="0" shapeId="0" xr:uid="{D2479C80-EE94-44BB-9033-DA9F53FC8408}">
      <text>
        <r>
          <rPr>
            <b/>
            <sz val="9"/>
            <color indexed="81"/>
            <rFont val="Tahoma"/>
            <family val="2"/>
          </rPr>
          <t>Juan Baca:</t>
        </r>
        <r>
          <rPr>
            <sz val="9"/>
            <color indexed="81"/>
            <rFont val="Tahoma"/>
            <family val="2"/>
          </rPr>
          <t xml:space="preserve">
no clear infromation about age</t>
        </r>
      </text>
    </comment>
    <comment ref="I1010" authorId="0" shapeId="0" xr:uid="{AD7AEDC4-C530-43A3-8F86-E510D0C31AEA}">
      <text>
        <r>
          <rPr>
            <b/>
            <sz val="9"/>
            <color indexed="81"/>
            <rFont val="Tahoma"/>
            <family val="2"/>
          </rPr>
          <t>Juan Baca:</t>
        </r>
        <r>
          <rPr>
            <sz val="9"/>
            <color indexed="81"/>
            <rFont val="Tahoma"/>
            <family val="2"/>
          </rPr>
          <t xml:space="preserve">
Whole root systems (shoot removed but
caryopsis still attached) and single roots were excised when seedlings were d~10 d old and before root branching had occurred (page 2)</t>
        </r>
      </text>
    </comment>
    <comment ref="AA1010" authorId="0" shapeId="0" xr:uid="{5F9DC6F3-D45D-4DF0-A7B1-144883CBA946}">
      <text>
        <r>
          <rPr>
            <b/>
            <sz val="9"/>
            <color indexed="81"/>
            <rFont val="Tahoma"/>
            <family val="2"/>
          </rPr>
          <t>Juan Baca:</t>
        </r>
        <r>
          <rPr>
            <sz val="9"/>
            <color indexed="81"/>
            <rFont val="Tahoma"/>
            <family val="2"/>
          </rPr>
          <t xml:space="preserve">
data from text (page 3)</t>
        </r>
      </text>
    </comment>
    <comment ref="I1011" authorId="0" shapeId="0" xr:uid="{C16EEC8F-D984-4632-B4E2-432378578D59}">
      <text>
        <r>
          <rPr>
            <b/>
            <sz val="9"/>
            <color indexed="81"/>
            <rFont val="Tahoma"/>
            <family val="2"/>
          </rPr>
          <t>Juan Baca:</t>
        </r>
        <r>
          <rPr>
            <sz val="9"/>
            <color indexed="81"/>
            <rFont val="Tahoma"/>
            <family val="2"/>
          </rPr>
          <t xml:space="preserve">
age classes form table 1</t>
        </r>
      </text>
    </comment>
    <comment ref="Y1011" authorId="0" shapeId="0" xr:uid="{EB19964A-60F6-4715-BE55-98ED64F85AA2}">
      <text>
        <r>
          <rPr>
            <b/>
            <sz val="9"/>
            <color indexed="81"/>
            <rFont val="Tahoma"/>
            <family val="2"/>
          </rPr>
          <t>Juan Baca:</t>
        </r>
        <r>
          <rPr>
            <sz val="9"/>
            <color indexed="81"/>
            <rFont val="Tahoma"/>
            <family val="2"/>
          </rPr>
          <t xml:space="preserve">
data from table 1</t>
        </r>
      </text>
    </comment>
    <comment ref="I1019" authorId="0" shapeId="0" xr:uid="{F24AF196-F1AC-4A2C-8117-16C93313A43F}">
      <text>
        <r>
          <rPr>
            <b/>
            <sz val="9"/>
            <color indexed="81"/>
            <rFont val="Tahoma"/>
            <family val="2"/>
          </rPr>
          <t>Juan Baca:</t>
        </r>
        <r>
          <rPr>
            <sz val="9"/>
            <color indexed="81"/>
            <rFont val="Tahoma"/>
            <family val="2"/>
          </rPr>
          <t xml:space="preserve">
no clear infromation about plant age</t>
        </r>
      </text>
    </comment>
    <comment ref="AC1019" authorId="0" shapeId="0" xr:uid="{22F7CDAB-2D78-4B21-B9C7-7F8669B7E179}">
      <text>
        <r>
          <rPr>
            <b/>
            <sz val="9"/>
            <color indexed="81"/>
            <rFont val="Tahoma"/>
            <family val="2"/>
          </rPr>
          <t>Juan Baca:</t>
        </r>
        <r>
          <rPr>
            <sz val="9"/>
            <color indexed="81"/>
            <rFont val="Tahoma"/>
            <family val="2"/>
          </rPr>
          <t xml:space="preserve">
morpho data from text (page 752)</t>
        </r>
      </text>
    </comment>
    <comment ref="I1033" authorId="0" shapeId="0" xr:uid="{71B33C30-74A1-4887-85A3-490F8AA461CB}">
      <text>
        <r>
          <rPr>
            <b/>
            <sz val="9"/>
            <color indexed="81"/>
            <rFont val="Tahoma"/>
            <family val="2"/>
          </rPr>
          <t>Juan Baca:</t>
        </r>
        <r>
          <rPr>
            <sz val="9"/>
            <color indexed="81"/>
            <rFont val="Tahoma"/>
            <family val="2"/>
          </rPr>
          <t xml:space="preserve">
no information about the age</t>
        </r>
      </text>
    </comment>
    <comment ref="X1033" authorId="0" shapeId="0" xr:uid="{9DD1F829-0CAD-4DB8-ADC1-4574D8B86F2D}">
      <text>
        <r>
          <rPr>
            <b/>
            <sz val="9"/>
            <color indexed="81"/>
            <rFont val="Tahoma"/>
            <family val="2"/>
          </rPr>
          <t>Juan Baca:</t>
        </r>
        <r>
          <rPr>
            <sz val="9"/>
            <color indexed="81"/>
            <rFont val="Tahoma"/>
            <family val="2"/>
          </rPr>
          <t xml:space="preserve">
data from text (page 170)</t>
        </r>
      </text>
    </comment>
    <comment ref="AA1033" authorId="0" shapeId="0" xr:uid="{123C8A6E-6D4C-468D-BE78-E4D17FA4364C}">
      <text>
        <r>
          <rPr>
            <b/>
            <sz val="9"/>
            <color indexed="81"/>
            <rFont val="Tahoma"/>
            <family val="2"/>
          </rPr>
          <t>Juan Baca:</t>
        </r>
        <r>
          <rPr>
            <sz val="9"/>
            <color indexed="81"/>
            <rFont val="Tahoma"/>
            <family val="2"/>
          </rPr>
          <t xml:space="preserve">
data from text (page 173)</t>
        </r>
      </text>
    </comment>
    <comment ref="AC1033" authorId="0" shapeId="0" xr:uid="{06504630-967E-4E01-9143-8B65BB26E59D}">
      <text>
        <r>
          <rPr>
            <b/>
            <sz val="9"/>
            <color indexed="81"/>
            <rFont val="Tahoma"/>
            <family val="2"/>
          </rPr>
          <t>Juan Baca:</t>
        </r>
        <r>
          <rPr>
            <sz val="9"/>
            <color indexed="81"/>
            <rFont val="Tahoma"/>
            <family val="2"/>
          </rPr>
          <t xml:space="preserve">
data from text (page 173)</t>
        </r>
      </text>
    </comment>
    <comment ref="I1034" authorId="0" shapeId="0" xr:uid="{586B7FA9-F475-4647-8948-3E9927AE770A}">
      <text>
        <r>
          <rPr>
            <b/>
            <sz val="9"/>
            <color indexed="81"/>
            <rFont val="Tahoma"/>
            <family val="2"/>
          </rPr>
          <t>Juan Baca:</t>
        </r>
        <r>
          <rPr>
            <sz val="9"/>
            <color indexed="81"/>
            <rFont val="Tahoma"/>
            <family val="2"/>
          </rPr>
          <t xml:space="preserve">
Four weeks old plants grown in soil (page 230)</t>
        </r>
      </text>
    </comment>
    <comment ref="Z1034" authorId="0" shapeId="0" xr:uid="{8638128C-DDC0-406F-8CFF-8B0120EAF00F}">
      <text>
        <r>
          <rPr>
            <b/>
            <sz val="9"/>
            <color indexed="81"/>
            <rFont val="Tahoma"/>
            <family val="2"/>
          </rPr>
          <t>Juan Baca:</t>
        </r>
        <r>
          <rPr>
            <sz val="9"/>
            <color indexed="81"/>
            <rFont val="Tahoma"/>
            <family val="2"/>
          </rPr>
          <t xml:space="preserve">
data from table 5 (expressed originally in cm3/(Mpa*s*cm3 root volume)</t>
        </r>
      </text>
    </comment>
    <comment ref="AE1034" authorId="0" shapeId="0" xr:uid="{9D223323-93AE-48ED-89B4-D7C8DDBE5F95}">
      <text>
        <r>
          <rPr>
            <b/>
            <sz val="9"/>
            <color indexed="81"/>
            <rFont val="Tahoma"/>
            <family val="2"/>
          </rPr>
          <t>Juan Baca:</t>
        </r>
        <r>
          <rPr>
            <sz val="9"/>
            <color indexed="81"/>
            <rFont val="Tahoma"/>
            <family val="2"/>
          </rPr>
          <t xml:space="preserve">
morphological data from table 1</t>
        </r>
      </text>
    </comment>
    <comment ref="I1040" authorId="0" shapeId="0" xr:uid="{0556FBFC-099D-45D9-AF1E-D91C1010813F}">
      <text>
        <r>
          <rPr>
            <b/>
            <sz val="9"/>
            <color indexed="81"/>
            <rFont val="Tahoma"/>
            <family val="2"/>
          </rPr>
          <t>Juan Baca:</t>
        </r>
        <r>
          <rPr>
            <sz val="9"/>
            <color indexed="81"/>
            <rFont val="Tahoma"/>
            <family val="2"/>
          </rPr>
          <t xml:space="preserve">
aged of plants used in the study = 4 weeks (Table 1)</t>
        </r>
      </text>
    </comment>
    <comment ref="AA1040" authorId="0" shapeId="0" xr:uid="{9687E4B5-76DE-478B-80E6-B1C75F5E9C94}">
      <text>
        <r>
          <rPr>
            <b/>
            <sz val="9"/>
            <color indexed="81"/>
            <rFont val="Tahoma"/>
            <family val="2"/>
          </rPr>
          <t>Juan Baca:</t>
        </r>
        <r>
          <rPr>
            <sz val="9"/>
            <color indexed="81"/>
            <rFont val="Tahoma"/>
            <family val="2"/>
          </rPr>
          <t xml:space="preserve">
data from table 4 (measured at 0.207 Mpa)</t>
        </r>
      </text>
    </comment>
    <comment ref="B1041" authorId="0" shapeId="0" xr:uid="{6BF9F6B2-2748-41A0-901D-93C7D0FB7B64}">
      <text>
        <r>
          <rPr>
            <b/>
            <sz val="9"/>
            <color indexed="81"/>
            <rFont val="Tahoma"/>
            <family val="2"/>
          </rPr>
          <t>Juan Baca:</t>
        </r>
        <r>
          <rPr>
            <sz val="9"/>
            <color indexed="81"/>
            <rFont val="Tahoma"/>
            <family val="2"/>
          </rPr>
          <t xml:space="preserve">
variety kidney bean</t>
        </r>
      </text>
    </comment>
    <comment ref="I1043" authorId="0" shapeId="0" xr:uid="{8556EFEF-EB68-4BA5-B3EF-C5FAF3B276A0}">
      <text>
        <r>
          <rPr>
            <b/>
            <sz val="9"/>
            <color indexed="81"/>
            <rFont val="Tahoma"/>
            <family val="2"/>
          </rPr>
          <t>Juan Baca:</t>
        </r>
        <r>
          <rPr>
            <sz val="9"/>
            <color indexed="81"/>
            <rFont val="Tahoma"/>
            <family val="2"/>
          </rPr>
          <t xml:space="preserve">
They were used for experiments when 4-6 d old and the primary
root was 5-10 cm long (page 231)</t>
        </r>
      </text>
    </comment>
    <comment ref="AA1043" authorId="0" shapeId="0" xr:uid="{BDBC6E3C-A8B0-4040-9E8B-B89E22EFCAA8}">
      <text>
        <r>
          <rPr>
            <b/>
            <sz val="9"/>
            <color indexed="81"/>
            <rFont val="Tahoma"/>
            <family val="2"/>
          </rPr>
          <t>Juan Baca:</t>
        </r>
        <r>
          <rPr>
            <sz val="9"/>
            <color indexed="81"/>
            <rFont val="Tahoma"/>
            <family val="2"/>
          </rPr>
          <t xml:space="preserve">
data from table 2</t>
        </r>
      </text>
    </comment>
    <comment ref="I1044" authorId="0" shapeId="0" xr:uid="{D8E12401-7097-48E7-B1EA-5F7419DEB727}">
      <text>
        <r>
          <rPr>
            <b/>
            <sz val="9"/>
            <color indexed="81"/>
            <rFont val="Tahoma"/>
            <family val="2"/>
          </rPr>
          <t>Juan Baca:</t>
        </r>
        <r>
          <rPr>
            <sz val="9"/>
            <color indexed="81"/>
            <rFont val="Tahoma"/>
            <family val="2"/>
          </rPr>
          <t xml:space="preserve">
Loblolly pine seedlings (8 months old)  + treatemnts that took at least 4 weeks (page 560)</t>
        </r>
      </text>
    </comment>
    <comment ref="K1044" authorId="0" shapeId="0" xr:uid="{0658DC52-C01C-4CEA-B9C6-2F28FA629419}">
      <text>
        <r>
          <rPr>
            <b/>
            <sz val="9"/>
            <color indexed="81"/>
            <rFont val="Tahoma"/>
            <family val="2"/>
          </rPr>
          <t>Juan Baca:</t>
        </r>
        <r>
          <rPr>
            <sz val="9"/>
            <color indexed="81"/>
            <rFont val="Tahoma"/>
            <family val="2"/>
          </rPr>
          <t xml:space="preserve">
"average root" (including brown and white roots and no mycorrhiza</t>
        </r>
      </text>
    </comment>
    <comment ref="AA1044" authorId="0" shapeId="0" xr:uid="{397314C5-B1AF-4ACF-AC3F-2C4BA0EF7136}">
      <text>
        <r>
          <rPr>
            <b/>
            <sz val="9"/>
            <color indexed="81"/>
            <rFont val="Tahoma"/>
            <family val="2"/>
          </rPr>
          <t>Juan Baca:</t>
        </r>
        <r>
          <rPr>
            <sz val="9"/>
            <color indexed="81"/>
            <rFont val="Tahoma"/>
            <family val="2"/>
          </rPr>
          <t xml:space="preserve">
data from table 1</t>
        </r>
      </text>
    </comment>
    <comment ref="AA1045" authorId="0" shapeId="0" xr:uid="{7761D486-11A1-4D6F-A64F-37A6B51EDF96}">
      <text>
        <r>
          <rPr>
            <b/>
            <sz val="9"/>
            <color indexed="81"/>
            <rFont val="Tahoma"/>
            <family val="2"/>
          </rPr>
          <t>Juan Baca:</t>
        </r>
        <r>
          <rPr>
            <sz val="9"/>
            <color indexed="81"/>
            <rFont val="Tahoma"/>
            <family val="2"/>
          </rPr>
          <t xml:space="preserve">
data from text (page 564)</t>
        </r>
      </text>
    </comment>
    <comment ref="I1049" authorId="0" shapeId="0" xr:uid="{FAB1D9D5-34AB-43A5-A7B4-B9280CDC4067}">
      <text>
        <r>
          <rPr>
            <b/>
            <sz val="9"/>
            <color indexed="81"/>
            <rFont val="Tahoma"/>
            <family val="2"/>
          </rPr>
          <t>Juan Baca:</t>
        </r>
        <r>
          <rPr>
            <sz val="9"/>
            <color indexed="81"/>
            <rFont val="Tahoma"/>
            <family val="2"/>
          </rPr>
          <t xml:space="preserve">
plant age data from Fig. 4</t>
        </r>
      </text>
    </comment>
    <comment ref="I1063" authorId="0" shapeId="0" xr:uid="{67BA76F0-D4D2-4A6E-81D0-384D2C2C8C79}">
      <text>
        <r>
          <rPr>
            <b/>
            <sz val="9"/>
            <color indexed="81"/>
            <rFont val="Tahoma"/>
            <family val="2"/>
          </rPr>
          <t>Juan Baca:</t>
        </r>
        <r>
          <rPr>
            <sz val="9"/>
            <color indexed="81"/>
            <rFont val="Tahoma"/>
            <family val="2"/>
          </rPr>
          <t xml:space="preserve">
The plants were used 45 to 60 days after germination. (page 1014)</t>
        </r>
      </text>
    </comment>
    <comment ref="AA1063" authorId="0" shapeId="0" xr:uid="{C586EA17-A2B5-4493-9E53-7C81A11D99F6}">
      <text>
        <r>
          <rPr>
            <b/>
            <sz val="9"/>
            <color indexed="81"/>
            <rFont val="Tahoma"/>
            <family val="2"/>
          </rPr>
          <t>Juan Baca:</t>
        </r>
        <r>
          <rPr>
            <sz val="9"/>
            <color indexed="81"/>
            <rFont val="Tahoma"/>
            <family val="2"/>
          </rPr>
          <t xml:space="preserve">
data from table 1</t>
        </r>
      </text>
    </comment>
    <comment ref="I1064" authorId="0" shapeId="0" xr:uid="{833E9C68-9F1F-4845-A5B0-6D6147CCAA79}">
      <text>
        <r>
          <rPr>
            <b/>
            <sz val="9"/>
            <color indexed="81"/>
            <rFont val="Tahoma"/>
            <family val="2"/>
          </rPr>
          <t>Juan Baca:</t>
        </r>
        <r>
          <rPr>
            <sz val="9"/>
            <color indexed="81"/>
            <rFont val="Tahoma"/>
            <family val="2"/>
          </rPr>
          <t xml:space="preserve">
age data from table 3</t>
        </r>
      </text>
    </comment>
    <comment ref="AA1064" authorId="0" shapeId="0" xr:uid="{63CAC329-EB4D-4114-B11C-A4829178C582}">
      <text>
        <r>
          <rPr>
            <b/>
            <sz val="9"/>
            <color indexed="81"/>
            <rFont val="Tahoma"/>
            <family val="2"/>
          </rPr>
          <t>Juan Baca:</t>
        </r>
        <r>
          <rPr>
            <sz val="9"/>
            <color indexed="81"/>
            <rFont val="Tahoma"/>
            <family val="2"/>
          </rPr>
          <t xml:space="preserve">
all coducttance/ conductivity data from table 4  </t>
        </r>
      </text>
    </comment>
    <comment ref="AC1064" authorId="0" shapeId="0" xr:uid="{E356B181-DF20-4607-9795-DC254520BBD8}">
      <text>
        <r>
          <rPr>
            <b/>
            <sz val="9"/>
            <color indexed="81"/>
            <rFont val="Tahoma"/>
            <family val="2"/>
          </rPr>
          <t>Juan Baca:</t>
        </r>
        <r>
          <rPr>
            <sz val="9"/>
            <color indexed="81"/>
            <rFont val="Tahoma"/>
            <family val="2"/>
          </rPr>
          <t xml:space="preserve">
morphological data from table 3 -&gt; ranges (not mean valuies) reported</t>
        </r>
      </text>
    </comment>
  </commentList>
</comments>
</file>

<file path=xl/sharedStrings.xml><?xml version="1.0" encoding="utf-8"?>
<sst xmlns="http://schemas.openxmlformats.org/spreadsheetml/2006/main" count="17899" uniqueCount="783">
  <si>
    <t>Reference</t>
  </si>
  <si>
    <t>Species</t>
  </si>
  <si>
    <t>Genus</t>
  </si>
  <si>
    <t>Family</t>
  </si>
  <si>
    <t>Photo_pathway</t>
  </si>
  <si>
    <t>Age_days</t>
  </si>
  <si>
    <t xml:space="preserve">Root_section </t>
  </si>
  <si>
    <t>Conductance</t>
  </si>
  <si>
    <t>Conductivity</t>
  </si>
  <si>
    <t>Surface_area_root_cm2</t>
  </si>
  <si>
    <t>Total_root_length_cm</t>
  </si>
  <si>
    <t>root_DW_g</t>
  </si>
  <si>
    <t>root_FW_g</t>
  </si>
  <si>
    <t>root_diameter_mm</t>
  </si>
  <si>
    <t>Surface_area_leaf_m2</t>
  </si>
  <si>
    <t>Kodama_etal_2021_Plant Prod Sci</t>
  </si>
  <si>
    <t>Barley</t>
  </si>
  <si>
    <t>Hordeum</t>
  </si>
  <si>
    <t>Poaceae</t>
  </si>
  <si>
    <t>C3</t>
  </si>
  <si>
    <t>C3 grass</t>
  </si>
  <si>
    <t>Rodriguez-Dominguez&amp;Brodribb_2020_NewPhytol</t>
  </si>
  <si>
    <t>Olea europea</t>
  </si>
  <si>
    <t>Olea</t>
  </si>
  <si>
    <t>Oleaceae</t>
  </si>
  <si>
    <t>BET Temperate</t>
  </si>
  <si>
    <t>Water stress levels</t>
  </si>
  <si>
    <t>Rehydration technique</t>
  </si>
  <si>
    <t>Grondin_etal_2020_PLoS One</t>
  </si>
  <si>
    <t>Pearl millet</t>
  </si>
  <si>
    <t>Cenchrus</t>
  </si>
  <si>
    <t>C4</t>
  </si>
  <si>
    <t>C4 grass</t>
  </si>
  <si>
    <t>Gavassi_etal_2020_Environ Exp Bot</t>
  </si>
  <si>
    <t>Tomato</t>
  </si>
  <si>
    <t>Solanum</t>
  </si>
  <si>
    <t>Solanaceae</t>
  </si>
  <si>
    <t>C3 crop dicot</t>
  </si>
  <si>
    <t>Aluminium toxicity</t>
  </si>
  <si>
    <t>Control</t>
  </si>
  <si>
    <t>Al_25um</t>
  </si>
  <si>
    <t>Al_50um</t>
  </si>
  <si>
    <t>Al_100um</t>
  </si>
  <si>
    <t>Dayer_etal_2020_Front Plant Sci</t>
  </si>
  <si>
    <t>Grapevine</t>
  </si>
  <si>
    <t>Vitis</t>
  </si>
  <si>
    <t>Vitaceae</t>
  </si>
  <si>
    <t>HPFM</t>
  </si>
  <si>
    <t>Shi_etal_2016_Front Plant Sci</t>
  </si>
  <si>
    <t>Drought_Silicon</t>
  </si>
  <si>
    <t>Silicon</t>
  </si>
  <si>
    <t>Drought</t>
  </si>
  <si>
    <t>Niu_etal_2016_J Exp Biol</t>
  </si>
  <si>
    <t>Maize</t>
  </si>
  <si>
    <t>Zea</t>
  </si>
  <si>
    <t>Meng_etal_2016_Ann Bot</t>
  </si>
  <si>
    <t>Rice</t>
  </si>
  <si>
    <t>Oryza</t>
  </si>
  <si>
    <t>Grondin_etal_2016_Plant Cell Env</t>
  </si>
  <si>
    <t>Kaneko_etal_2015_Plant Cell Physiol</t>
  </si>
  <si>
    <t>Barrios-Masias_etal_2015_J Exp Biol</t>
  </si>
  <si>
    <t>Liu_etal_2014_J Exp Biol</t>
  </si>
  <si>
    <t>Sorghum bicolor</t>
  </si>
  <si>
    <t>Sorghum</t>
  </si>
  <si>
    <t>Osmotic stress</t>
  </si>
  <si>
    <t>Adiredjo_etal_2014_Bot Stud</t>
  </si>
  <si>
    <t>Sunflower</t>
  </si>
  <si>
    <t>Helianthus</t>
  </si>
  <si>
    <t>Asteraceae</t>
  </si>
  <si>
    <t>Suku_etal_2013_Ann Bot</t>
  </si>
  <si>
    <t>Populus</t>
  </si>
  <si>
    <t>Salicaceae</t>
  </si>
  <si>
    <t>BDT Temperate</t>
  </si>
  <si>
    <t>Perrone_etal_2012_Plant Physiol</t>
  </si>
  <si>
    <t>Wild type</t>
  </si>
  <si>
    <t>Sakurai-Ishikawa_etal_2011_Plant Cell Env</t>
  </si>
  <si>
    <t>Kudoyarova_etal_2011_Planta</t>
  </si>
  <si>
    <t>Durum wheat</t>
  </si>
  <si>
    <t>Triticum</t>
  </si>
  <si>
    <t>ABA treated</t>
  </si>
  <si>
    <t>Hu_etal_2011_J Exp Biol</t>
  </si>
  <si>
    <t>FPRI</t>
  </si>
  <si>
    <t>APRI</t>
  </si>
  <si>
    <t>Horie_etal_2011_Plant Cell Physiol</t>
  </si>
  <si>
    <t>Salt stress</t>
  </si>
  <si>
    <t>Nedjimi_2009_Flora</t>
  </si>
  <si>
    <t>Lygeum spartum</t>
  </si>
  <si>
    <t>Lygeum</t>
  </si>
  <si>
    <t>Matsuo_etal_2009_Plant Soil</t>
  </si>
  <si>
    <t>Li_etal_2009_Environ Exp Bot</t>
  </si>
  <si>
    <t>Medicago falcata</t>
  </si>
  <si>
    <t>Medicago</t>
  </si>
  <si>
    <t>Fabaceae</t>
  </si>
  <si>
    <t>Murai-Hatano_etal_2008_Plant Cell Physiol</t>
  </si>
  <si>
    <t>Root temperature</t>
  </si>
  <si>
    <t>Gloser_etal_2007_J Exp Biol</t>
  </si>
  <si>
    <t>Nitrogen</t>
  </si>
  <si>
    <t>Beaudette_etal_2007_J Exp Biol</t>
  </si>
  <si>
    <t>Pisum sativa</t>
  </si>
  <si>
    <t>Pisum</t>
  </si>
  <si>
    <t>Araki_2006_Field Crops Res</t>
  </si>
  <si>
    <t>Soybean</t>
  </si>
  <si>
    <t>Glycine</t>
  </si>
  <si>
    <t>Flooded</t>
  </si>
  <si>
    <t>Zhao_etal_2005_J Integr Plant Biol</t>
  </si>
  <si>
    <t>Wheat</t>
  </si>
  <si>
    <t>Triticum boeoticum</t>
  </si>
  <si>
    <t>Triticum monococcum</t>
  </si>
  <si>
    <t>Triticum dicoccides</t>
  </si>
  <si>
    <t>Triticum dicoccon</t>
  </si>
  <si>
    <t>Triticum vulgare</t>
  </si>
  <si>
    <t>Triticum aestivum</t>
  </si>
  <si>
    <t>Trillo&amp;Fernandez_2005_Plant Soil</t>
  </si>
  <si>
    <t>Shimizu_etal_2005_Oecologia</t>
  </si>
  <si>
    <t>Shorea balangeran</t>
  </si>
  <si>
    <t>Shorea</t>
  </si>
  <si>
    <t>Dipterocarpaceae</t>
  </si>
  <si>
    <t>BET Tropical</t>
  </si>
  <si>
    <t>Shorea acuminata</t>
  </si>
  <si>
    <t>Shorea johorensis</t>
  </si>
  <si>
    <t>Shorea multiflora</t>
  </si>
  <si>
    <t>Macaranga gigantea</t>
  </si>
  <si>
    <t>Macaranga</t>
  </si>
  <si>
    <t>Euphorbiaceae</t>
  </si>
  <si>
    <t>Trema orientalis</t>
  </si>
  <si>
    <t>Trema</t>
  </si>
  <si>
    <t>Cannabaceae</t>
  </si>
  <si>
    <t>Siemens&amp;Zwiazek_2004_Physiol Plant</t>
  </si>
  <si>
    <t>Populus tremuloides</t>
  </si>
  <si>
    <t>BDT Boreal</t>
  </si>
  <si>
    <t>Ranathunge_etal_2003_Planta</t>
  </si>
  <si>
    <t>Wan_etal_2001_Tree Physiol</t>
  </si>
  <si>
    <t>Wan&amp;Zwiazek_2001_Planta</t>
  </si>
  <si>
    <t>Miyamoto_etal_2001_J Exp Biol</t>
  </si>
  <si>
    <t>Else_etal_2001_Physiol Plant</t>
  </si>
  <si>
    <t>Ricinus communis</t>
  </si>
  <si>
    <t>Ricinus</t>
  </si>
  <si>
    <t>Shrub</t>
  </si>
  <si>
    <t>BDS Temperate</t>
  </si>
  <si>
    <t>Flooding</t>
  </si>
  <si>
    <t>Cochard_etal_2000_J Exp Biol</t>
  </si>
  <si>
    <t>Quercus rubur</t>
  </si>
  <si>
    <t>Quercus</t>
  </si>
  <si>
    <t>Fagaceae</t>
  </si>
  <si>
    <t>Wan&amp;Zwiazek_1999_Plant Physiol</t>
  </si>
  <si>
    <t>Rieger&amp;Litvin_1999_J Exp Biol</t>
  </si>
  <si>
    <t>Asparagus</t>
  </si>
  <si>
    <t xml:space="preserve">	Asparagaceae</t>
  </si>
  <si>
    <t>Dendrobium</t>
  </si>
  <si>
    <t>Orchidaceae</t>
  </si>
  <si>
    <t>Peach</t>
  </si>
  <si>
    <t>Prunus</t>
  </si>
  <si>
    <t>Rosaceae</t>
  </si>
  <si>
    <t>Sour orange</t>
  </si>
  <si>
    <t>Citrus</t>
  </si>
  <si>
    <t>Rutaceae</t>
  </si>
  <si>
    <t>Huxman_etal_1999_New Phytol</t>
  </si>
  <si>
    <t>Larrea tridentata</t>
  </si>
  <si>
    <t>Larrea</t>
  </si>
  <si>
    <t>Zygophyllaceae</t>
  </si>
  <si>
    <t>BES Temperate</t>
  </si>
  <si>
    <t>Henzler_etal_1999_Planta</t>
  </si>
  <si>
    <t>Lotus japonicus</t>
  </si>
  <si>
    <t>Lotus</t>
  </si>
  <si>
    <t>Zimmermann&amp;Steudle_1998_Planta</t>
  </si>
  <si>
    <t>Hydroponic</t>
  </si>
  <si>
    <t>Aeroponics</t>
  </si>
  <si>
    <t>Nardini_etal_1998_Plant Ecol</t>
  </si>
  <si>
    <t>Fagus sylvatica</t>
  </si>
  <si>
    <t>Fagus</t>
  </si>
  <si>
    <t>Spring</t>
  </si>
  <si>
    <t>Summer</t>
  </si>
  <si>
    <t>Autumn</t>
  </si>
  <si>
    <t>Quercus ilex</t>
  </si>
  <si>
    <t>Quercus suber</t>
  </si>
  <si>
    <t>Quercus pubescens</t>
  </si>
  <si>
    <t>Acer campestre</t>
  </si>
  <si>
    <t>Acer</t>
  </si>
  <si>
    <t>Sapindaceae</t>
  </si>
  <si>
    <t>Castanea sativa</t>
  </si>
  <si>
    <t>Castanea</t>
  </si>
  <si>
    <t>Fraxinus ornus</t>
  </si>
  <si>
    <t>Fraxinus</t>
  </si>
  <si>
    <t>Fraxinus oxycarpa</t>
  </si>
  <si>
    <t>Ceratonia siliqua</t>
  </si>
  <si>
    <t xml:space="preserve">Ceratonia </t>
  </si>
  <si>
    <t>Olea oleaster</t>
  </si>
  <si>
    <t>Lo Gullo_etal_1998_New Phytol</t>
  </si>
  <si>
    <t>Yang&amp;Grantz_1996_Crop Sci</t>
  </si>
  <si>
    <t>Pima cotton</t>
  </si>
  <si>
    <t>Gossypium</t>
  </si>
  <si>
    <t>Malvaceae</t>
  </si>
  <si>
    <t>Jackson_etal_1996_Ann Bot</t>
  </si>
  <si>
    <t>Gallardo_etal_1996_J Exp Biol</t>
  </si>
  <si>
    <t>Narrow-leafed lupin</t>
  </si>
  <si>
    <t>Lupinus</t>
  </si>
  <si>
    <t>Maggio&amp;Joly_1995_Plant Physiol</t>
  </si>
  <si>
    <t>Hallgren_etal_1995_Book Chapter</t>
  </si>
  <si>
    <t>Picea abies</t>
  </si>
  <si>
    <t>Picea</t>
  </si>
  <si>
    <t>Pinaceae</t>
  </si>
  <si>
    <t>NET Temperate</t>
  </si>
  <si>
    <t>Pressure probe</t>
  </si>
  <si>
    <t>Pressure chamber</t>
  </si>
  <si>
    <t>Else_etal_1995_Plant Physiol</t>
  </si>
  <si>
    <t>Bolger_eatl_1992_Environ Exp Bot</t>
  </si>
  <si>
    <t>Cotton</t>
  </si>
  <si>
    <t>Berryman_etal_1991_Physiol Mol Plant Pathol</t>
  </si>
  <si>
    <t>Rust infection</t>
  </si>
  <si>
    <t>Infected</t>
  </si>
  <si>
    <t>Coleman_etal_1990_New Phytol</t>
  </si>
  <si>
    <t>Pseudotsuga menziesii</t>
  </si>
  <si>
    <t>Pseudotsuga</t>
  </si>
  <si>
    <t>Mycorrhiza</t>
  </si>
  <si>
    <t>NM</t>
  </si>
  <si>
    <t>Kruger&amp;Sucoff_1989_J Exp Biol</t>
  </si>
  <si>
    <t>Quercus rubra</t>
  </si>
  <si>
    <t>Joly_1989_Plant Physiol</t>
  </si>
  <si>
    <t>Tissera&amp;Ayres_1988_Physiol Mol Plant Pathol</t>
  </si>
  <si>
    <t>Vicia faba</t>
  </si>
  <si>
    <t>Vicia</t>
  </si>
  <si>
    <t>Andersen_etal_1988_New Phytol</t>
  </si>
  <si>
    <t>Fraxinus pennsylvanica</t>
  </si>
  <si>
    <t>Fiscus_1986_Plant Physiol</t>
  </si>
  <si>
    <t>Phaseolus vulgaris</t>
  </si>
  <si>
    <t>Phaseolus</t>
  </si>
  <si>
    <t>Miller_1985_Plant Physiol</t>
  </si>
  <si>
    <t>Fiscus&amp;Markhart_1979_Plant Physiol</t>
  </si>
  <si>
    <t>Tan_etal_2021_BMC Plant Biol</t>
  </si>
  <si>
    <t>Hypoxia</t>
  </si>
  <si>
    <t>Rodríguez-Gamir_etal_2019_Plant Cell Env</t>
  </si>
  <si>
    <t>Pinus radiata</t>
  </si>
  <si>
    <t>Pinus</t>
  </si>
  <si>
    <t>Ding_etal_2019_ Plant Physiol Biochem</t>
  </si>
  <si>
    <t>Korhonen_etal_2018_Tree Physiol</t>
  </si>
  <si>
    <t>Pinus sylvestris</t>
  </si>
  <si>
    <t>Geng_etal_2018_Plant Physiol</t>
  </si>
  <si>
    <t>Apple</t>
  </si>
  <si>
    <t>Malus</t>
  </si>
  <si>
    <t>Rodriguez-Gamir_etal_2016_PLoS One</t>
  </si>
  <si>
    <t>Poncirus trifoliata</t>
  </si>
  <si>
    <t>Cleopatra mandarin</t>
  </si>
  <si>
    <t>Ding_etal_2015_Plant Sci</t>
  </si>
  <si>
    <t>Vandeleur_etal_2014_Plant Cell Env</t>
  </si>
  <si>
    <t>Shoot-toped</t>
  </si>
  <si>
    <t>Defoliation</t>
  </si>
  <si>
    <t>Yang_etal_2013_Agric Water Manag</t>
  </si>
  <si>
    <t>Pear</t>
  </si>
  <si>
    <t>Pyrus</t>
  </si>
  <si>
    <t>Yang_etal_2012_Plant Cell Physiol</t>
  </si>
  <si>
    <t>Yang_etal_2011_Sci Hortic</t>
  </si>
  <si>
    <t>Yi_etal_2008_Environ Exp Bot</t>
  </si>
  <si>
    <t>Betula papyrifera</t>
  </si>
  <si>
    <t>Betulaceae</t>
  </si>
  <si>
    <t>Calvo Polanco_etal_2008_Plant Soil</t>
  </si>
  <si>
    <t>Ulmus americana</t>
  </si>
  <si>
    <t>Ulmus</t>
  </si>
  <si>
    <t>Ulmaceae</t>
  </si>
  <si>
    <t>Marjanovic_etal_2005_Planta</t>
  </si>
  <si>
    <t>Populus tremula x tremuloides</t>
  </si>
  <si>
    <t>Trifilo_etal_2004_Tree Physiol</t>
  </si>
  <si>
    <t>Ailanthus altissima</t>
  </si>
  <si>
    <t>Ailanthus</t>
  </si>
  <si>
    <t xml:space="preserve"> 	Simaroubaceae</t>
  </si>
  <si>
    <t>Islam&amp;macdonald_2004_Trees</t>
  </si>
  <si>
    <t>Picea mariana</t>
  </si>
  <si>
    <t>NET Boreal</t>
  </si>
  <si>
    <t>Larix laricina</t>
  </si>
  <si>
    <t>Larix</t>
  </si>
  <si>
    <t>NDT Boreal</t>
  </si>
  <si>
    <t>Tyree_etal_2003_Plant Physiol</t>
  </si>
  <si>
    <t>Calophyllum longifolium</t>
  </si>
  <si>
    <t>Clusiaceae</t>
  </si>
  <si>
    <t>Virola surinamensis</t>
  </si>
  <si>
    <t>Virola</t>
  </si>
  <si>
    <t>Myristicaceae</t>
  </si>
  <si>
    <t>Licania platypus</t>
  </si>
  <si>
    <t>Licania</t>
  </si>
  <si>
    <t>Chrysoblancaceae</t>
  </si>
  <si>
    <t>Dipteryx panamensis</t>
  </si>
  <si>
    <t>Dypterix</t>
  </si>
  <si>
    <t>Ouratea lucens</t>
  </si>
  <si>
    <t>Ochnaceae</t>
  </si>
  <si>
    <t>Kyllo_etal_2003_New Phytol</t>
  </si>
  <si>
    <t>Psychotria acuminata</t>
  </si>
  <si>
    <t>Palicourea</t>
  </si>
  <si>
    <t>Rubiaceae</t>
  </si>
  <si>
    <t xml:space="preserve">Psychotria marginata </t>
  </si>
  <si>
    <t>Piper culebranum</t>
  </si>
  <si>
    <t>Piper</t>
  </si>
  <si>
    <t>Piperaceae</t>
  </si>
  <si>
    <t>Piper aequale</t>
  </si>
  <si>
    <t>Piper cordulatum</t>
  </si>
  <si>
    <t>Siefritz_etal_2002_Plant Cell</t>
  </si>
  <si>
    <t>Tobacco</t>
  </si>
  <si>
    <t>Nicotiana</t>
  </si>
  <si>
    <t>Muhsin&amp;Zwiazek_2002_Plant Soil</t>
  </si>
  <si>
    <t>Bogeat-Triboulot_etal_2002_Ann For Sci</t>
  </si>
  <si>
    <t>Quercus robur</t>
  </si>
  <si>
    <t>Tsuda&amp;Tyree_2000_J Exp Biol</t>
  </si>
  <si>
    <t xml:space="preserve">Eggplant </t>
  </si>
  <si>
    <t>Green pepper</t>
  </si>
  <si>
    <t>Capsicum</t>
  </si>
  <si>
    <t>Nardini_etal_2000_Ann For Sci</t>
  </si>
  <si>
    <t>Nardini&amp;Pitt_1999_New Phytol</t>
  </si>
  <si>
    <t>Tyree_etal_1998_Oecologia</t>
  </si>
  <si>
    <t>Trichilia tuberculata</t>
  </si>
  <si>
    <t>Trichilia</t>
  </si>
  <si>
    <t>Meliaceae</t>
  </si>
  <si>
    <t>Pouteria reticulata</t>
  </si>
  <si>
    <t>Puteria</t>
  </si>
  <si>
    <t>Sapotaceae</t>
  </si>
  <si>
    <t>Gustavia superba</t>
  </si>
  <si>
    <t>Gustavia</t>
  </si>
  <si>
    <t>Rhizophoraceae</t>
  </si>
  <si>
    <t>Apeiba membranacea</t>
  </si>
  <si>
    <t>Apeiba</t>
  </si>
  <si>
    <t>Tiliaceae</t>
  </si>
  <si>
    <t>Miconia argentea</t>
  </si>
  <si>
    <t>Miconia</t>
  </si>
  <si>
    <t>Melastomataceae</t>
  </si>
  <si>
    <t>Creek_etal_2018_Plant Cell Env</t>
  </si>
  <si>
    <t>Vysotskaya_etal_2010_AoB Plants</t>
  </si>
  <si>
    <t>Rodriguez-Gamir_etal_2010_Physiol Plant</t>
  </si>
  <si>
    <t>Ruiz-Lozano_etal_2009_Plant Mol Biol</t>
  </si>
  <si>
    <t>Vandeleur_etal_2009_Plant Physiol</t>
  </si>
  <si>
    <t>Mahdieh_etal_2008_Plant Cell Physiol</t>
  </si>
  <si>
    <t>Thompson_etal_2007_Plant Physiol</t>
  </si>
  <si>
    <t>Aroca_etal_2006_Ann Bot</t>
  </si>
  <si>
    <t>Lian_etal_2004_Plant Cell Physiol</t>
  </si>
  <si>
    <t>Navarro_etal_2003_Plant Growth Regul</t>
  </si>
  <si>
    <t>Martre_etal_2001_Plant Cell Env</t>
  </si>
  <si>
    <t>Freundl_etal_2000_Planta</t>
  </si>
  <si>
    <t>Quintero_etal_1999_J Exp Biol</t>
  </si>
  <si>
    <t>Carvajal_1999_Physiol Plant</t>
  </si>
  <si>
    <t>Steudle&amp;Meshcheryakov_1996_J Exp Biol</t>
  </si>
  <si>
    <t>Carvajal_etal_1996_Planta</t>
  </si>
  <si>
    <t>Saliendra&amp;Meinzer_1992_J Exp Biol</t>
  </si>
  <si>
    <t>Sands_etal_1982_Aust J Plant Physiol</t>
  </si>
  <si>
    <t>Newman_1973_New Phytol</t>
  </si>
  <si>
    <t>50%_LI</t>
  </si>
  <si>
    <t>50%_UI</t>
  </si>
  <si>
    <t>50%conductivity_loss</t>
  </si>
  <si>
    <t>Acacia aneura</t>
  </si>
  <si>
    <t>Acacia</t>
  </si>
  <si>
    <t>Eucalyptus coolabah</t>
  </si>
  <si>
    <t>Eucalyptus populnea</t>
  </si>
  <si>
    <t>Myrtaceae</t>
  </si>
  <si>
    <t>Eucalyptus</t>
  </si>
  <si>
    <t>&gt;50%_lowerInterval</t>
  </si>
  <si>
    <t>&gt;50%conductivity_loss</t>
  </si>
  <si>
    <t>&gt;50%_upperInterval</t>
  </si>
  <si>
    <t>Root exudation</t>
  </si>
  <si>
    <t>M</t>
  </si>
  <si>
    <t>ABA</t>
  </si>
  <si>
    <t>Transgenic</t>
  </si>
  <si>
    <t>Pepper</t>
  </si>
  <si>
    <t>Festuca arundinacea</t>
  </si>
  <si>
    <t>Festuca</t>
  </si>
  <si>
    <t>Vacuum</t>
  </si>
  <si>
    <t>Paprika pepper</t>
  </si>
  <si>
    <t>Quercus petraea</t>
  </si>
  <si>
    <t>Sugarcane</t>
  </si>
  <si>
    <t>Saccharum</t>
  </si>
  <si>
    <t>Pressure vessel</t>
  </si>
  <si>
    <t>Pinus taeda</t>
  </si>
  <si>
    <t>Zhang&amp;Zwiazek_2016_PlantBiol</t>
  </si>
  <si>
    <t>Betula</t>
  </si>
  <si>
    <t>Cornus sericea</t>
  </si>
  <si>
    <t xml:space="preserve">Cornus </t>
  </si>
  <si>
    <t>Cornaceae</t>
  </si>
  <si>
    <t>BDS Boreal</t>
  </si>
  <si>
    <t>ph5</t>
  </si>
  <si>
    <t>ph7</t>
  </si>
  <si>
    <t>ph9</t>
  </si>
  <si>
    <t>Calvo Polanco_etal_2014_Plant Cell Physiol</t>
  </si>
  <si>
    <t>Calvo Polanco_etal_2012_BMC Plant Biol</t>
  </si>
  <si>
    <t>Colombo&amp;Asselstine_1989_Tree Physiol</t>
  </si>
  <si>
    <t>Hernandez&amp;Orioli_1985_Plant Soil</t>
  </si>
  <si>
    <t>Root_volume_cm3</t>
  </si>
  <si>
    <t>Fricke_etal_2014_Funct Plant Biol</t>
  </si>
  <si>
    <t>Knipfer_etal_2011_J Exp Biol</t>
  </si>
  <si>
    <t>Parent_etal_2009_Plant Physiol</t>
  </si>
  <si>
    <t>Mu_etal_2006_Bot Stud</t>
  </si>
  <si>
    <t>Low P</t>
  </si>
  <si>
    <t>Low N</t>
  </si>
  <si>
    <t>Smith&amp;Roberts_2003_Plant Soil</t>
  </si>
  <si>
    <t>Grevillea robusta</t>
  </si>
  <si>
    <t>Grevillea</t>
  </si>
  <si>
    <t>Proteaceae</t>
  </si>
  <si>
    <t>Zhang_etal_1995_New Phytol</t>
  </si>
  <si>
    <t>Fiscus_1977_Plant Physiol</t>
  </si>
  <si>
    <t>Hose_etal_2000_Planta</t>
  </si>
  <si>
    <t>Rudinger_etal_1994_J Exp Biol</t>
  </si>
  <si>
    <t>Brar_etal_1991_Agron J</t>
  </si>
  <si>
    <t>Bramley_etal_2009_Plant Physiol</t>
  </si>
  <si>
    <t>Yellow lupin</t>
  </si>
  <si>
    <t>Siemens&amp;Zwiazek_2008_Mycorrhiza</t>
  </si>
  <si>
    <t>Populus balsamifera</t>
  </si>
  <si>
    <t>Knipfer&amp;Fricke_2011_J Exp Biol</t>
  </si>
  <si>
    <t>Lee_et_al_2004_Physiol Plant</t>
  </si>
  <si>
    <t>Cucumis</t>
  </si>
  <si>
    <t>Cucurbitaceae</t>
  </si>
  <si>
    <t>Cucumber</t>
  </si>
  <si>
    <t>Calophyllum</t>
  </si>
  <si>
    <t>Ouratea</t>
  </si>
  <si>
    <t>AQP</t>
  </si>
  <si>
    <t>Gas exchange system</t>
  </si>
  <si>
    <t>Nardini_etal_1998_Plant Biosyst</t>
  </si>
  <si>
    <t>Karmoker_etal_1991_Planta</t>
  </si>
  <si>
    <t>Value_type</t>
  </si>
  <si>
    <t>treatment min</t>
  </si>
  <si>
    <t>treatment average</t>
  </si>
  <si>
    <t>treatment max</t>
  </si>
  <si>
    <t>Light</t>
  </si>
  <si>
    <t>OUC613</t>
  </si>
  <si>
    <t>OUE812</t>
  </si>
  <si>
    <t>IP4952</t>
  </si>
  <si>
    <t>IP17150</t>
  </si>
  <si>
    <t>Hebeloma</t>
  </si>
  <si>
    <t>S. luteus</t>
  </si>
  <si>
    <t>LDHT</t>
  </si>
  <si>
    <t>SDLT</t>
  </si>
  <si>
    <t>Conductivity loss</t>
  </si>
  <si>
    <t>Hipoxia_Ethylene</t>
  </si>
  <si>
    <t>Drought_Isohydricity</t>
  </si>
  <si>
    <t>Azucena</t>
  </si>
  <si>
    <t>Moroberekan</t>
  </si>
  <si>
    <t>FR13 A</t>
  </si>
  <si>
    <t>Dular</t>
  </si>
  <si>
    <t>IR64</t>
  </si>
  <si>
    <t>Swarna</t>
  </si>
  <si>
    <t>U070</t>
  </si>
  <si>
    <t>A627</t>
  </si>
  <si>
    <t>C613</t>
  </si>
  <si>
    <t>I186</t>
  </si>
  <si>
    <t>101-14</t>
  </si>
  <si>
    <t>110R</t>
  </si>
  <si>
    <t>Shanyou63</t>
  </si>
  <si>
    <t>Yangdao6</t>
  </si>
  <si>
    <t>Defoliation50%</t>
  </si>
  <si>
    <t>Defoliation75%</t>
  </si>
  <si>
    <t>Shoot topping</t>
  </si>
  <si>
    <t>Defoliation_Girdling</t>
  </si>
  <si>
    <t>Girdling</t>
  </si>
  <si>
    <t>RIL043</t>
  </si>
  <si>
    <t>RIL127</t>
  </si>
  <si>
    <t>RIL149</t>
  </si>
  <si>
    <t>RIL200</t>
  </si>
  <si>
    <t>Salt stress 100mM</t>
  </si>
  <si>
    <t>Salt stress 200mM</t>
  </si>
  <si>
    <t>T-1</t>
  </si>
  <si>
    <t>20-45</t>
  </si>
  <si>
    <t>Beodien</t>
  </si>
  <si>
    <t>Sensho</t>
  </si>
  <si>
    <t>Koshihikari</t>
  </si>
  <si>
    <t>H69-8235</t>
  </si>
  <si>
    <t>H65-7052</t>
  </si>
  <si>
    <t>Laccaria</t>
  </si>
  <si>
    <t>Thelephora</t>
  </si>
  <si>
    <t>Rhizopogon</t>
  </si>
  <si>
    <t>Chardonnay</t>
  </si>
  <si>
    <t>Grenache</t>
  </si>
  <si>
    <t>AQP_ABA</t>
  </si>
  <si>
    <t>ABA inhibited</t>
  </si>
  <si>
    <t>ABA enhanced</t>
  </si>
  <si>
    <t>Hydroponics</t>
  </si>
  <si>
    <t>Soil</t>
  </si>
  <si>
    <t>Irrigation</t>
  </si>
  <si>
    <t>Water saving</t>
  </si>
  <si>
    <t xml:space="preserve">Hebeloma </t>
  </si>
  <si>
    <t>Wilcoxina</t>
  </si>
  <si>
    <t>Hebeloma+Laccaria</t>
  </si>
  <si>
    <t>Soil compactation</t>
  </si>
  <si>
    <t>ABA treated 1um</t>
  </si>
  <si>
    <t>ABA treated 10um</t>
  </si>
  <si>
    <t>ABA treated 100um</t>
  </si>
  <si>
    <t>Drought moderate</t>
  </si>
  <si>
    <t>Shade</t>
  </si>
  <si>
    <t>Sun</t>
  </si>
  <si>
    <t>Drought severe</t>
  </si>
  <si>
    <t>Dessication</t>
  </si>
  <si>
    <t>Wilted</t>
  </si>
  <si>
    <t>Wilted slightly</t>
  </si>
  <si>
    <t>Wilted severely</t>
  </si>
  <si>
    <t>High light</t>
  </si>
  <si>
    <t>Low light</t>
  </si>
  <si>
    <t>Greenhouse</t>
  </si>
  <si>
    <t>Chamber</t>
  </si>
  <si>
    <t>Potted</t>
  </si>
  <si>
    <t>CO2</t>
  </si>
  <si>
    <t>Pre-dawn</t>
  </si>
  <si>
    <t>Mid-morning</t>
  </si>
  <si>
    <t>Mid-afternoon</t>
  </si>
  <si>
    <t>End of day</t>
  </si>
  <si>
    <t>Day</t>
  </si>
  <si>
    <t>Night</t>
  </si>
  <si>
    <t>Midday</t>
  </si>
  <si>
    <t>Tr suppresed</t>
  </si>
  <si>
    <t>Tr reduced</t>
  </si>
  <si>
    <t>Reduced temp</t>
  </si>
  <si>
    <t>Hydroponcis</t>
  </si>
  <si>
    <t>Sand</t>
  </si>
  <si>
    <t>P 1um</t>
  </si>
  <si>
    <t>P 10um</t>
  </si>
  <si>
    <t>P 100um</t>
  </si>
  <si>
    <t>Aluminium toxicity_Calcium concentration</t>
  </si>
  <si>
    <t>Calcium low</t>
  </si>
  <si>
    <t>Al medium</t>
  </si>
  <si>
    <t>Al high</t>
  </si>
  <si>
    <t>G90</t>
  </si>
  <si>
    <t>G97</t>
  </si>
  <si>
    <t>R4</t>
  </si>
  <si>
    <t>Brown roots (suberized)</t>
  </si>
  <si>
    <t>White roots (unsuberized)</t>
  </si>
  <si>
    <t>Suberization</t>
  </si>
  <si>
    <t>Irrigation_Water amount</t>
  </si>
  <si>
    <t>Irrigation_Nutrients</t>
  </si>
  <si>
    <t>Barigah_etal_2006_Tree Physiol</t>
  </si>
  <si>
    <t>4% full sunlight</t>
  </si>
  <si>
    <t>Acer pseudoplatanus</t>
  </si>
  <si>
    <t>Betula pendula</t>
  </si>
  <si>
    <t>Fraxinus excelsior</t>
  </si>
  <si>
    <t>16% full sunlight</t>
  </si>
  <si>
    <t>36% full sunlight</t>
  </si>
  <si>
    <t>Marchiol_etal_1996_J Environ Qual</t>
  </si>
  <si>
    <t>Illini</t>
  </si>
  <si>
    <t>Richard</t>
  </si>
  <si>
    <t>Cadmium treated</t>
  </si>
  <si>
    <t>Tyree_etal_2002_J Exp Biol</t>
  </si>
  <si>
    <t xml:space="preserve">Licania platypus </t>
  </si>
  <si>
    <t>Chrysobalanceae</t>
  </si>
  <si>
    <t>Nardini&amp;Tyree_1999_Ann For Sci</t>
  </si>
  <si>
    <t>Quercus alba</t>
  </si>
  <si>
    <t>Quercus cerris</t>
  </si>
  <si>
    <t>Gartwaite_etal_2006_J Exp Bot</t>
  </si>
  <si>
    <t>Stagnant</t>
  </si>
  <si>
    <t>Hordeum marinum</t>
  </si>
  <si>
    <t>Fennel&amp;Markhart_1998_J Exp Bot</t>
  </si>
  <si>
    <t>Spinach</t>
  </si>
  <si>
    <t>Spinacia</t>
  </si>
  <si>
    <t>Amaranthaceae</t>
  </si>
  <si>
    <t>Harbin</t>
  </si>
  <si>
    <t>Bloomsdale</t>
  </si>
  <si>
    <t>Magnani_etal_1996_Planta</t>
  </si>
  <si>
    <t>Cherry</t>
  </si>
  <si>
    <t>Pressure clamp</t>
  </si>
  <si>
    <t>Henry_etal_2016_Ann Bot</t>
  </si>
  <si>
    <t>N22</t>
  </si>
  <si>
    <t>MTU1010</t>
  </si>
  <si>
    <t>Liu_etal_2014_Planta</t>
  </si>
  <si>
    <t>Henry_etal_2012_J Exp Bot</t>
  </si>
  <si>
    <t>Jimenez-Casas&amp;Zwiazek_2014_Ann For Sci</t>
  </si>
  <si>
    <t>Pinus leiophylla</t>
  </si>
  <si>
    <t>Salt stress 150mM</t>
  </si>
  <si>
    <t>Salt stress 30mM</t>
  </si>
  <si>
    <t>Salt stress 60mM</t>
  </si>
  <si>
    <t>Salt stress 90mM</t>
  </si>
  <si>
    <t>Salt steess -0.13MPa</t>
  </si>
  <si>
    <t>Salt steess -0.17MPa</t>
  </si>
  <si>
    <t>Salt steess -0.20MPa</t>
  </si>
  <si>
    <t>Salt steess -0.23MPa</t>
  </si>
  <si>
    <t>Salt steess -0.26MPa</t>
  </si>
  <si>
    <t>Apostol_etal_2004_Plant Soil</t>
  </si>
  <si>
    <t xml:space="preserve">Pinus banksiana </t>
  </si>
  <si>
    <t>Salt stress_Naphtenic acid</t>
  </si>
  <si>
    <t>Naphtenic acid</t>
  </si>
  <si>
    <t>Sharipova_etal_2016_Ann Bot</t>
  </si>
  <si>
    <t>Steptoe</t>
  </si>
  <si>
    <t>Az34</t>
  </si>
  <si>
    <t>Barzana_etal_2012_Ann Bot</t>
  </si>
  <si>
    <t>Melkonian_etal_2004_J Exp Bot</t>
  </si>
  <si>
    <t>Reduced temperature</t>
  </si>
  <si>
    <t>Rasheed-Depardieu_etal_2015_Plant Physiol Biochem</t>
  </si>
  <si>
    <t>Waterlogging</t>
  </si>
  <si>
    <t>Voicu&amp;Zwiazek_2004_Plant Cell Env</t>
  </si>
  <si>
    <t>Hess_etal_2015_Ann Appl Biol</t>
  </si>
  <si>
    <t>Brassica</t>
  </si>
  <si>
    <t>Brassicaceae</t>
  </si>
  <si>
    <t>Li_etal_2020_Physiol Plant</t>
  </si>
  <si>
    <t>Leymus chinensis</t>
  </si>
  <si>
    <t>Leymus</t>
  </si>
  <si>
    <t>No P</t>
  </si>
  <si>
    <t>Aroca_etal_2001_Plant Physiol Biochem</t>
  </si>
  <si>
    <t>Penjalinan</t>
  </si>
  <si>
    <t>Z7</t>
  </si>
  <si>
    <t>Liu_etal_2020_Plant Soil</t>
  </si>
  <si>
    <t>Brassica napus</t>
  </si>
  <si>
    <t>Watanabe_etal_2020_Plant Prod Sci</t>
  </si>
  <si>
    <t>IRAT 109</t>
  </si>
  <si>
    <t>Taichung 65</t>
  </si>
  <si>
    <t>Osmotic stress-0.2MPa</t>
  </si>
  <si>
    <t>Osmotic stress-0.4MPa</t>
  </si>
  <si>
    <t>Osmotic stress-0.6MPa</t>
  </si>
  <si>
    <t>Nutrient limitation</t>
  </si>
  <si>
    <t>AQP_Nutrient limitation</t>
  </si>
  <si>
    <t>Drought_Nutrient limitation</t>
  </si>
  <si>
    <t>No S</t>
  </si>
  <si>
    <t>No N</t>
  </si>
  <si>
    <t>Nutrient limitation_Transpiration</t>
  </si>
  <si>
    <t>Phosphorus application</t>
  </si>
  <si>
    <t>Fruit trees</t>
  </si>
  <si>
    <t>Tropical trees</t>
  </si>
  <si>
    <t>Tsuda&amp;Tyree_1997_Tree Physiol</t>
  </si>
  <si>
    <t>Acer saccharinum</t>
  </si>
  <si>
    <t>Zwienicki&amp;Boersma_1997_J Exp Bot</t>
  </si>
  <si>
    <t>Grünhofer_et_al_2021_Plant Methods</t>
  </si>
  <si>
    <t>P. alba x P. tremula</t>
  </si>
  <si>
    <t>Osmotic solutions</t>
  </si>
  <si>
    <t>Gonzalez‑Benecke_etal_2022_New Forests</t>
  </si>
  <si>
    <t>Liu_etal_2022_Front Plant Sci</t>
  </si>
  <si>
    <t>Elymus sibiricus</t>
  </si>
  <si>
    <t>Elymus</t>
  </si>
  <si>
    <t>drought-sensitive</t>
  </si>
  <si>
    <t>drought-tolerant</t>
  </si>
  <si>
    <t>Hydrostatic</t>
  </si>
  <si>
    <t>Osmotic</t>
  </si>
  <si>
    <t>Driving_force</t>
  </si>
  <si>
    <t>PFT_CLM</t>
  </si>
  <si>
    <t>PFT</t>
  </si>
  <si>
    <t>NET</t>
  </si>
  <si>
    <t>Crop woody</t>
  </si>
  <si>
    <t>Crop forb</t>
  </si>
  <si>
    <t>Crop monocot</t>
  </si>
  <si>
    <t>BDT</t>
  </si>
  <si>
    <t>BET</t>
  </si>
  <si>
    <t>Crop legume</t>
  </si>
  <si>
    <t>NDT</t>
  </si>
  <si>
    <t>Isohydric</t>
  </si>
  <si>
    <t>Anisohydric</t>
  </si>
  <si>
    <t>Ehtylene</t>
  </si>
  <si>
    <t>Salt stress_Genotype</t>
  </si>
  <si>
    <t>Drought_Genotype</t>
  </si>
  <si>
    <t>Waterlogging_Growth stage</t>
  </si>
  <si>
    <t>Seedling</t>
  </si>
  <si>
    <t>Flowering</t>
  </si>
  <si>
    <t>Podding</t>
  </si>
  <si>
    <t>AQP_Genotype</t>
  </si>
  <si>
    <t>Wild type (normal)</t>
  </si>
  <si>
    <t>RNAi1 (root development underexpressed)</t>
  </si>
  <si>
    <t>OE23 (root development overexpressed)</t>
  </si>
  <si>
    <t>RNAi57 (root development underexpressed)</t>
  </si>
  <si>
    <t>OE18 (root development underexpressed)</t>
  </si>
  <si>
    <t>OE1 (root development overexpressed)</t>
  </si>
  <si>
    <t>OE19 (root development overexpressed)</t>
  </si>
  <si>
    <t>AQP_ABA_Genotype</t>
  </si>
  <si>
    <t>Drought_VPD_Genotype</t>
  </si>
  <si>
    <t>Drought_AQP_Genotype</t>
  </si>
  <si>
    <t>Ammonium</t>
  </si>
  <si>
    <t>Nitrate</t>
  </si>
  <si>
    <t>Drought_Nitrogen form_Genotype</t>
  </si>
  <si>
    <t>Flooding_Mycorrhiza</t>
  </si>
  <si>
    <t>W1</t>
  </si>
  <si>
    <t>W2</t>
  </si>
  <si>
    <t>W3</t>
  </si>
  <si>
    <t>ADI</t>
  </si>
  <si>
    <t>FDI</t>
  </si>
  <si>
    <t>N1</t>
  </si>
  <si>
    <t>Drought_Mycorrhiza</t>
  </si>
  <si>
    <t>N2</t>
  </si>
  <si>
    <t>P1</t>
  </si>
  <si>
    <t>CK</t>
  </si>
  <si>
    <t>CDI</t>
  </si>
  <si>
    <t>Drought_ABA_Mycorrhiza</t>
  </si>
  <si>
    <t>Irrigation_Culture_Genotype</t>
  </si>
  <si>
    <t>Salt stress_Mycorrhiza</t>
  </si>
  <si>
    <t>Salt stress_Soil compactation_Mycorrhiza</t>
  </si>
  <si>
    <t>Root-zone O2_Culture</t>
  </si>
  <si>
    <t>CO2-</t>
  </si>
  <si>
    <t>CO2+</t>
  </si>
  <si>
    <t>O2-</t>
  </si>
  <si>
    <t>AQP_Shading</t>
  </si>
  <si>
    <t>AQP_Mycorrhiza</t>
  </si>
  <si>
    <t>Root temperature_Genotype</t>
  </si>
  <si>
    <t>ABA_Culture</t>
  </si>
  <si>
    <t>April</t>
  </si>
  <si>
    <t>July</t>
  </si>
  <si>
    <t>Oct</t>
  </si>
  <si>
    <t>Field</t>
  </si>
  <si>
    <t>Transpiration_Diurnal cycle</t>
  </si>
  <si>
    <t>Cadmium sensitivity_Genotype</t>
  </si>
  <si>
    <t>0cm</t>
  </si>
  <si>
    <t>5.4cm</t>
  </si>
  <si>
    <t>77.1cm</t>
  </si>
  <si>
    <t>88.2cm</t>
  </si>
  <si>
    <t>152.4cm</t>
  </si>
  <si>
    <t>0.5 hours</t>
  </si>
  <si>
    <t>3.5 hours</t>
  </si>
  <si>
    <t>9.5 hours</t>
  </si>
  <si>
    <t>10.5 hours</t>
  </si>
  <si>
    <t>12.5 hours</t>
  </si>
  <si>
    <t>13.5 hours</t>
  </si>
  <si>
    <t>14.5 hours</t>
  </si>
  <si>
    <t>15.5 hours</t>
  </si>
  <si>
    <t>16.5 hours</t>
  </si>
  <si>
    <t>18.5 hours</t>
  </si>
  <si>
    <t>19.5 hours</t>
  </si>
  <si>
    <t>20.5 hours</t>
  </si>
  <si>
    <t>21.5 hours</t>
  </si>
  <si>
    <t>23.5 hours</t>
  </si>
  <si>
    <t>Suberization_Mycorrhiza</t>
  </si>
  <si>
    <t>Drought_Genotype_Diurnal cycle</t>
  </si>
  <si>
    <t>Nutrient limitation_Diurnal cycle</t>
  </si>
  <si>
    <t>whole</t>
  </si>
  <si>
    <t>Elevated</t>
  </si>
  <si>
    <t>0.85VPD</t>
  </si>
  <si>
    <t>1.32VPD</t>
  </si>
  <si>
    <t>2.55VPD</t>
  </si>
  <si>
    <t>3.97VPD</t>
  </si>
  <si>
    <t>whole root system</t>
  </si>
  <si>
    <t>AQPenhancement</t>
  </si>
  <si>
    <t>AQPinhibition</t>
  </si>
  <si>
    <t>Graminoid</t>
  </si>
  <si>
    <t>Tree</t>
  </si>
  <si>
    <t>Crop</t>
  </si>
  <si>
    <t>Growth_form</t>
  </si>
  <si>
    <t>Other</t>
  </si>
  <si>
    <t>Conductance_FW</t>
  </si>
  <si>
    <t>Conductance_DW</t>
  </si>
  <si>
    <t>Conductance_rootL</t>
  </si>
  <si>
    <t>Conductance_rootV</t>
  </si>
  <si>
    <t>Drought_Genotype_Diurnal cycleExxpNr</t>
  </si>
  <si>
    <t>Jones_etal_1988_Planta</t>
  </si>
  <si>
    <t>Back-flow technique</t>
  </si>
  <si>
    <t>Ruggiero&amp;Angelino_2007_Ital J Agron</t>
  </si>
  <si>
    <t>AQP_Fertilization</t>
  </si>
  <si>
    <t>Non-fertilized</t>
  </si>
  <si>
    <t>Hernandez-Espinoza&amp;Barrios-Masias_2020_Sci Hortic</t>
  </si>
  <si>
    <t>Drought_Rootstock</t>
  </si>
  <si>
    <t>Osmotic stress_Silicon</t>
  </si>
  <si>
    <t>Pre-dawnExp2a</t>
  </si>
  <si>
    <t>MiddayExp2a</t>
  </si>
  <si>
    <t>Mid-afternoonExp2a</t>
  </si>
  <si>
    <t>Pre-dawnExp2b</t>
  </si>
  <si>
    <t>MiddayExp2b</t>
  </si>
  <si>
    <t>Mid-afternoonExp2b</t>
  </si>
  <si>
    <t>Salt stress_Stress solution</t>
  </si>
  <si>
    <t>NaCl</t>
  </si>
  <si>
    <t>Sorbitol</t>
  </si>
  <si>
    <t>O2_CO2_Growth stage</t>
  </si>
  <si>
    <t>Vegetative</t>
  </si>
  <si>
    <t>Anthesis</t>
  </si>
  <si>
    <t>Vysotskaya_etal_2004_Plan Physiol Biochem</t>
  </si>
  <si>
    <t>Salt stress_Salt type</t>
  </si>
  <si>
    <t>Na2SO4</t>
  </si>
  <si>
    <t>Lucena_etal_2003_Physiol Plant</t>
  </si>
  <si>
    <t>Root temperature_Mycorrhiza</t>
  </si>
  <si>
    <t>Muhsin&amp;Zwiazek_2002_New Phytol</t>
  </si>
  <si>
    <t>Picea glauca</t>
  </si>
  <si>
    <t>Kamaluddin&amp;Zwiazek_2002_Plant Physiol</t>
  </si>
  <si>
    <t>Dark</t>
  </si>
  <si>
    <t>Salim&amp;Pitman_1983_J Exp Biol</t>
  </si>
  <si>
    <t>Jones_etal_1983_Planta</t>
  </si>
  <si>
    <t>Conductance_measured_calculated</t>
  </si>
  <si>
    <t>Calculated</t>
  </si>
  <si>
    <t>Measured</t>
  </si>
  <si>
    <t>Measurement_method</t>
  </si>
  <si>
    <t>Root_type</t>
  </si>
  <si>
    <t>2.5MPa</t>
  </si>
  <si>
    <t>4MPa</t>
  </si>
  <si>
    <t>Culture</t>
  </si>
  <si>
    <t>Treatment_level1</t>
  </si>
  <si>
    <t>Treatment_level2</t>
  </si>
  <si>
    <t>Treatment_level3</t>
  </si>
  <si>
    <t>Growth environment</t>
  </si>
  <si>
    <t>Growth environment_month</t>
  </si>
  <si>
    <t>Genotype</t>
  </si>
  <si>
    <t>Diurnal cycle</t>
  </si>
  <si>
    <t>Evolution genotype</t>
  </si>
  <si>
    <t>Culture_Genotype</t>
  </si>
  <si>
    <t>Diurnal trend</t>
  </si>
  <si>
    <t>Hardening_Mycorrhiza</t>
  </si>
  <si>
    <t>pH</t>
  </si>
  <si>
    <t>Irradiance</t>
  </si>
  <si>
    <t>Irradiance_Mycorrhiza</t>
  </si>
  <si>
    <t>Season</t>
  </si>
  <si>
    <t>White root length</t>
  </si>
  <si>
    <t>Treatment_type1</t>
  </si>
  <si>
    <t>No treatment</t>
  </si>
  <si>
    <t>Treatment_type2</t>
  </si>
  <si>
    <t>Experimental_treatment</t>
  </si>
  <si>
    <t>Conductance_leafA</t>
  </si>
  <si>
    <t>Treatment_type3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</si>
</sst>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E+00"/>
    <numFmt numFmtId="166" formatCode="0.000"/>
    <numFmt numFmtId="167" formatCode="0.0000"/>
  </numFmts>
  <fonts count="7" x14ac:knownFonts="1">
    <font>
      <sz val="11"/>
      <color theme="1"/>
      <name val="Calibri"/>
      <family val="2"/>
      <scheme val="minor"/>
    </font>
    <font>
      <b/>
      <sz val="9"/>
      <color indexed="81"/>
      <name val="Tahoma"/>
      <family val="2"/>
    </font>
    <font>
      <sz val="9"/>
      <color indexed="81"/>
      <name val="Tahoma"/>
      <family val="2"/>
    </font>
    <font>
      <sz val="7"/>
      <color rgb="FF000000"/>
      <name val="AdvOT596495f2"/>
    </font>
    <font>
      <sz val="8"/>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11" fontId="0" fillId="0" borderId="0" xfId="0" applyNumberFormat="1"/>
    <xf numFmtId="2"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applyAlignment="1">
      <alignment wrapText="1"/>
    </xf>
    <xf numFmtId="0" fontId="3" fillId="0" borderId="0" xfId="0" applyFont="1"/>
    <xf numFmtId="0" fontId="0" fillId="0" borderId="0" xfId="0" applyAlignment="1">
      <alignment vertical="center" wrapText="1"/>
    </xf>
    <xf numFmtId="1" fontId="0" fillId="0" borderId="0" xfId="0" applyNumberFormat="1"/>
    <xf numFmtId="167" fontId="0" fillId="0" borderId="0" xfId="0" applyNumberFormat="1"/>
    <xf numFmtId="0" fontId="0" fillId="2" borderId="0" xfId="0" applyFill="1"/>
  </cellXfs>
  <cellStyles count="1">
    <cellStyle name="Normal" xfId="0" builtinId="0"/>
  </cellStyles>
  <dxfs count="1">
    <dxf>
      <fill>
        <patternFill patternType="solid">
          <fgColor rgb="FFD9E1F2"/>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6" Type="http://schemas.openxmlformats.org/officeDocument/2006/relationships/externalLink" Target="externalLinks/externalLink1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sharedStrings" Target="sharedStrings.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calcChain" Target="calcChain.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theme" Target="theme/theme1.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Adiredjo_etal_2014_Fig2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Li_etal_2020_Fig2ac.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Users/j.baca/sciebo/literature%20review/HPFM/Digitalization/Tsuda&amp;Tyree_2000_Fig1.xlsx" TargetMode="External"/></Relationships>
</file>

<file path=xl/externalLinks/_rels/externalLink101.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Nardini&amp;Tyree_1999_Fig1.xlsx" TargetMode="External"/><Relationship Id="rId1" Type="http://schemas.openxmlformats.org/officeDocument/2006/relationships/externalLinkPath" Target="/Users/j.baca/sciebo/literature%20review/Total%20root%20conductance/Digitalization/Nardini&amp;Tyree_1999_Fig1.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Carvajal_etal_1999_Fig1b.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Carvajal_etal_1999_Fig3b.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Users/j.baca/sciebo/literature%20review/HPFM/Digitalization/Tyree_etal_1998_Fig4a.xlsx"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Users/j.baca/sciebo/literature%20review/HPFM/Digitalization/Tyree_etal_1998_Fig3a.xlsx"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Users/j.baca/sciebo/literature%20review/HPFM/Digitalization/Tyree_etal_1998_Fig4b.xlsx"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Nardini_etal_1998_Fig3.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Nardini_etal_1998b_Fig4.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Yang&amp;Grantz_1996_Fig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Li_etal_2020_Fig1d.xlsx" TargetMode="External"/></Relationships>
</file>

<file path=xl/externalLinks/_rels/externalLink110.xml.rels><?xml version="1.0" encoding="UTF-8" standalone="yes"?>
<Relationships xmlns="http://schemas.openxmlformats.org/package/2006/relationships"><Relationship Id="rId2" Type="http://schemas.openxmlformats.org/officeDocument/2006/relationships/externalLinkPath" Target="file:///C:\Users\j.baca\sciebo\literature%20review\Pressure%20chamber\Digitalization\Else_etal_1995_Fig3.xlsx" TargetMode="External"/><Relationship Id="rId1" Type="http://schemas.openxmlformats.org/officeDocument/2006/relationships/externalLinkPath" Target="/Users/j.baca/sciebo/literature%20review/Pressure%20chamber/Digitalization/Else_etal_1995_Fig3.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Bolger_etal_1992_Fig2.xlsx"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Bolger_etal_1992_Fig6.xlsx" TargetMode="External"/></Relationships>
</file>

<file path=xl/externalLinks/_rels/externalLink113.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Karkomer_etal_1991_Fig2b.xlsx" TargetMode="External"/><Relationship Id="rId1" Type="http://schemas.openxmlformats.org/officeDocument/2006/relationships/externalLinkPath" Target="/Users/j.baca/sciebo/literature%20review/Total%20root%20conductance/Digitalization/Karkomer_etal_1991_Fig2b.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Brar_etal_1991_Fig1.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Berryman_etal_1991_Fig2.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Joly_1989_Fig2.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Tissera&amp;Ayres_1988_Fig2.xlsx"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Fiscus_1986_Fig5.xlsx" TargetMode="External"/></Relationships>
</file>

<file path=xl/externalLinks/_rels/externalLink119.xml.rels><?xml version="1.0" encoding="UTF-8" standalone="yes"?>
<Relationships xmlns="http://schemas.openxmlformats.org/package/2006/relationships"><Relationship Id="rId2" Type="http://schemas.openxmlformats.org/officeDocument/2006/relationships/externalLinkPath" Target="file:///C:\Users\j.baca\sciebo\literature%20review\Pressure%20chamber\Digitalization\Fiscus&amp;Markhart_1979_Fig4.xlsx" TargetMode="External"/><Relationship Id="rId1" Type="http://schemas.openxmlformats.org/officeDocument/2006/relationships/externalLinkPath" Target="/Users/j.baca/sciebo/literature%20review/Pressure%20chamber/Digitalization/Fiscus&amp;Markhart_1979_Fig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Hernandes&amp;Barrios_2020_Fig1.xlsx" TargetMode="External"/><Relationship Id="rId1" Type="http://schemas.openxmlformats.org/officeDocument/2006/relationships/externalLinkPath" Target="/Users/j.baca/sciebo/literature%20review/Total%20root%20conductance/Digitalization/Hernandes&amp;Barrios_2020_Fig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Gavassi_etal_2020_Fig3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Dayer_etal_2020_Fig5b.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baca/sciebo/literature%20review/HPFM/Digitalization/Rodriguez-Gamir_etal_2019_Fig2f.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baca/sciebo/literature%20review/HPFM/Digitalization/Ding_etal_2019_Fig4.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C:\Users\j.baca\sciebo\literature%20review\HPFM\Digitalization\Geng_etal_2018_Fig3.xlsx" TargetMode="External"/><Relationship Id="rId1" Type="http://schemas.openxmlformats.org/officeDocument/2006/relationships/externalLinkPath" Target="/Users/j.baca/sciebo/literature%20review/HPFM/Digitalization/Geng_etal_2018_Fig3.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j.baca\sciebo\literature%20review\HPFM\Digitalization\Geng_etal_2018_Fig2c.xlsx" TargetMode="External"/><Relationship Id="rId1" Type="http://schemas.openxmlformats.org/officeDocument/2006/relationships/externalLinkPath" Target="/Users/j.baca/sciebo/literature%20review/HPFM/Digitalization/Geng_etal_2018_Fig2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Creek_etal_2018_Fig2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Adiredjo_etal_2014_Fig2b.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Creek_etal_2018_Fig2b.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Creek_etal_2018_Fig2c.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Shi_etal_2016_Fig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Niu_etal_2016_Fig1a_c.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Niu_etal_2016_Fig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Henry_etal_2016_Fig2b.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Henry_etal_2016_FigS2b.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Henry_etal_2016_Fig2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Henry_etal_2016_FigS2a.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Rasheed-Depardieu_etal_2015_Fig4cd.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Liu_etal_2022_Fig3b_e.xlsx" TargetMode="External"/><Relationship Id="rId1" Type="http://schemas.openxmlformats.org/officeDocument/2006/relationships/externalLinkPath" Target="/Users/j.baca/sciebo/literature%20review/Total%20root%20conductance/Digitalization/Liu_etal_2022_Fig3b_e.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Kaneko_etal_2015_FigS1.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baca/sciebo/literature%20review/HPFM/Digitalization/Ding_etal_2015_Fig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Barrios-Masias_etal_2015_Fig5.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Barrios-Masias_etal_2015_Fig4c.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baca/sciebo/literature%20review/HPFM/Digitalization/Liu_etal_2014_Fig2a.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baca/sciebo/literature%20review/HPFM/Digitalization/Liu_etal_2014_Fig4.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Liu_etal_2014_Fig7b.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Liu_etal_2014_Fig7c.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Jimenez-Casas&amp;Zwiazek_2014_Fig4c.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Fricke_etal_2014_Fig2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baca/sciebo/literature%20review/HPFM/Digitalization/Tan_etal_2021_Fig2.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Fricke_etal_2014_Fig2a.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Calvo-Polanco_etal_2014_Fig1.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baca/sciebo/literature%20review/HPFM/Digitalization/Yang_etal_2013_Fig5.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Suku_etal_2013_Fig4e.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Suku_etal_2013_Fig3a.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Suku_etal_2013_Fig3c.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baca/sciebo/literature%20review/HPFM/Digitalization/Yang_etal_2012_Fig5.xlsx" TargetMode="External"/></Relationships>
</file>

<file path=xl/externalLinks/_rels/externalLink47.xml.rels><?xml version="1.0" encoding="UTF-8" standalone="yes"?>
<Relationships xmlns="http://schemas.openxmlformats.org/package/2006/relationships"><Relationship Id="rId2" Type="http://schemas.openxmlformats.org/officeDocument/2006/relationships/externalLinkPath" Target="file:///C:\Users\j.baca\sciebo\literature%20review\Pressure%20chamber\Digitalization\Perrone_etal_2012_Fig7a.xlsx" TargetMode="External"/><Relationship Id="rId1" Type="http://schemas.openxmlformats.org/officeDocument/2006/relationships/externalLinkPath" Target="/Users/j.baca/sciebo/literature%20review/Pressure%20chamber/Digitalization/Perrone_etal_2012_Fig7a.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Perrone_etal_2012_Fig6.xlsx" TargetMode="External"/></Relationships>
</file>

<file path=xl/externalLinks/_rels/externalLink49.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Henry_etal_2012_Fig3ab.xlsx" TargetMode="External"/><Relationship Id="rId1" Type="http://schemas.openxmlformats.org/officeDocument/2006/relationships/externalLinkPath" Target="/Users/j.baca/sciebo/literature%20review/Total%20root%20conductance/Digitalization/Henry_etal_2012_Fig3a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Kodama_etal_2021_Fig3a.xlsx"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Henry_etal_2012_Fig3cd.xlsx" TargetMode="External"/><Relationship Id="rId1" Type="http://schemas.openxmlformats.org/officeDocument/2006/relationships/externalLinkPath" Target="/Users/j.baca/sciebo/literature%20review/Total%20root%20conductance/Digitalization/Henry_etal_2012_Fig3cd.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Barzana_etal_2012_Fig1e.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Barzana_etal_2012_Fig2e.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j.baca/sciebo/literature%20review/HPFM/Digitalization/Yang_etal_2011_Fig2a.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Hu_etal_2011_Fig4.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Hu_etal_2011_Fig9a.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Horie_etal_2011_Fig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Vandeleur_etal_2009_Fig2.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Ruiz-Lozano_etal_2009_Fig1b.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Parent_etal_2009_Fig5b.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Kodama_etal_2021_Fig3c.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Parent_etal_2009_Fig5c.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j.baca/sciebo/literature%20review/HPFM/Digitalization/Yi_etal_2010_Fig2c.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j.baca/sciebo/literature%20review/HPFM/Digitalization/Yi_etal_2010_Fig1a.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Users/j.baca/sciebo/literature%20review/HPFM/Digitalization/Yi_etal_2010_Fig1e.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Siemens&amp;Zwiazek_2008_Fig3c.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Siemens&amp;Zwiazek_2008_Fig3b.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Mahdieh_etal_2008_Fig2b.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sers/j.baca/sciebo/literature%20review/HPFM/Digitalization/Calvo-Polanco_etal_2008_Fig4.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Calvo-Polanco_etal_2008_Fig1ab.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Thompson_etal_2007_Fig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Kodama_etal_2021_Fig3b.xlsx" TargetMode="External"/></Relationships>
</file>

<file path=xl/externalLinks/_rels/externalLink70.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Ruggiero&amp;Angelino_2007_Fig2.xlsx" TargetMode="External"/><Relationship Id="rId1" Type="http://schemas.openxmlformats.org/officeDocument/2006/relationships/externalLinkPath" Target="/Users/j.baca/sciebo/literature%20review/Total%20root%20conductance/Digitalization/Ruggiero&amp;Angelino_2007_Fig2.xlsx" TargetMode="External"/></Relationships>
</file>

<file path=xl/externalLinks/_rels/externalLink71.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Ruggiero&amp;Angelino_2007_Fig1.xlsx" TargetMode="External"/><Relationship Id="rId1" Type="http://schemas.openxmlformats.org/officeDocument/2006/relationships/externalLinkPath" Target="/Users/j.baca/sciebo/literature%20review/Total%20root%20conductance/Digitalization/Ruggiero&amp;Angelino_2007_Fig1.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Beaudette_etal_2007_Fig2.xlsx" TargetMode="External"/></Relationships>
</file>

<file path=xl/externalLinks/_rels/externalLink73.xml.rels><?xml version="1.0" encoding="UTF-8" standalone="yes"?>
<Relationships xmlns="http://schemas.openxmlformats.org/package/2006/relationships"><Relationship Id="rId2" Type="http://schemas.openxmlformats.org/officeDocument/2006/relationships/externalLinkPath" Target="file:///C:\Users\j.baca\sciebo\literature%20review\Pressure%20chamber\Digitalization\Beaudette_etal_2007_Fig3.xlsx" TargetMode="External"/><Relationship Id="rId1" Type="http://schemas.openxmlformats.org/officeDocument/2006/relationships/externalLinkPath" Target="/Users/j.baca/sciebo/literature%20review/Pressure%20chamber/Digitalization/Beaudette_etal_2007_Fig3.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Mu_eatl_2006_Fig1b.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Aroca_etal_2006_Fig3b.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Shimidzu_etal_2005_Fig1a.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Shimidzu_etal_2005_Fig1d.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j.baca/sciebo/literature%20review/HPFM/Digitalization/Marjanovic_etal_2005_Fig1.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Voicu&amp;Zwiazek_2004_Fig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Rodriguez-Dominguez&amp;Brodribb_2020_Fig2.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Siemens&amp;Zwiazek_2004_Fig1.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Melkonian_etal_2004_Fig1d.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Users/j.baca/sciebo/literature%20review/HPFM/Digitalization/Islam&amp;Macdonald_2004_Fig2a.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Apostol_etal_2004_Fig1b.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Users/j.baca/sciebo/literature%20review/HPFM/Digitalization/Tyree_etal_2003_Fig4.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Navarro_etal_2003_Fig4c.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Users/j.baca/sciebo/literature%20review/HPFM/Digitalization/Kyllo_etal_2003_Fig2b.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j.baca/sciebo/literature%20review/HPFM/Digitalization/Kyllo_etal_2003_Fig2a.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Users/j.baca/sciebo/literature%20review/HPFM/Digitalization/Kyllo_etal_2003_Fig2c.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Kyllo_etal_2003_Fig1a.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Liu_etal_2020_Fig3d-f.xlsx" TargetMode="External"/><Relationship Id="rId1" Type="http://schemas.openxmlformats.org/officeDocument/2006/relationships/externalLinkPath" Target="/Users/j.baca/sciebo/literature%20review/Total%20root%20conductance/Digitalization/Liu_etal_2020_Fig3d-f.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Kyllo_etal_2003_Fig1b.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Tyree_etal_2002_Fig5c.xlsx" TargetMode="External"/></Relationships>
</file>

<file path=xl/externalLinks/_rels/externalLink92.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Muhsin&amp;Zwiazek_2002_PlantSoil_Fig3c.xlsx" TargetMode="External"/><Relationship Id="rId1" Type="http://schemas.openxmlformats.org/officeDocument/2006/relationships/externalLinkPath" Target="/Users/j.baca/sciebo/literature%20review/Total%20root%20conductance/Digitalization/Muhsin&amp;Zwiazek_2002_PlantSoil_Fig3c.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Users/j.baca/sciebo/literature%20review/HPFM/Digitalization/Muhsin&amp;Zwiazek_2002_Fig5.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Users/j.baca/sciebo/literature%20review/HPFM/Digitalization/Muhsin&amp;Zwiazek_2002_Fig4.xlsx" TargetMode="External"/></Relationships>
</file>

<file path=xl/externalLinks/_rels/externalLink95.xml.rels><?xml version="1.0" encoding="UTF-8" standalone="yes"?>
<Relationships xmlns="http://schemas.openxmlformats.org/package/2006/relationships"><Relationship Id="rId2" Type="http://schemas.openxmlformats.org/officeDocument/2006/relationships/externalLinkPath" Target="file:///C:\Users\j.baca\sciebo\literature%20review\Total%20root%20conductance\Digitalization\Kamaluddin&amp;Zwiazek_2002_Fig1b.xlsx" TargetMode="External"/><Relationship Id="rId1" Type="http://schemas.openxmlformats.org/officeDocument/2006/relationships/externalLinkPath" Target="/Users/j.baca/sciebo/literature%20review/Total%20root%20conductance/Digitalization/Kamaluddin&amp;Zwiazek_2002_Fig1b.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Martre_etal_2001_Fig6a.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Martre_etal_2001_Fig6b.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Users/j.baca/sciebo/literature%20review/Pressure%20chamber/Digitalization/Else_etal_2001_Fig3b.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Users/j.baca/sciebo/literature%20review/Total%20root%20conductance/Digitalization/Aroca_etal_2001_Fig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iredjo_etal_2014_Fig2a"/>
    </sheetNames>
    <sheetDataSet>
      <sheetData sheetId="0">
        <row r="2">
          <cell r="B2">
            <v>1.00421052631578E-9</v>
          </cell>
        </row>
        <row r="3">
          <cell r="B3">
            <v>7.5315789473684101E-10</v>
          </cell>
        </row>
        <row r="4">
          <cell r="B4">
            <v>1.20315789473684E-9</v>
          </cell>
        </row>
        <row r="5">
          <cell r="B5">
            <v>1.0089473684210499E-9</v>
          </cell>
        </row>
        <row r="6">
          <cell r="B6">
            <v>4.5947368421052599E-10</v>
          </cell>
        </row>
        <row r="7">
          <cell r="B7">
            <v>2.7473684210526199E-10</v>
          </cell>
        </row>
        <row r="8">
          <cell r="B8">
            <v>3.4578947368420999E-10</v>
          </cell>
        </row>
        <row r="9">
          <cell r="B9">
            <v>3.3157894736842102E-10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_etal_2020_Fig2ac"/>
    </sheetNames>
    <sheetDataSet>
      <sheetData sheetId="0">
        <row r="2">
          <cell r="B2">
            <v>1.9267751479289902E-8</v>
          </cell>
        </row>
        <row r="3">
          <cell r="B3">
            <v>1.4201183431952601E-8</v>
          </cell>
        </row>
        <row r="4">
          <cell r="B4">
            <v>1.13165680473372E-8</v>
          </cell>
        </row>
        <row r="5">
          <cell r="B5">
            <v>1.6678994082840201E-8</v>
          </cell>
        </row>
        <row r="6">
          <cell r="B6">
            <v>7.1375739644970398E-9</v>
          </cell>
        </row>
        <row r="7">
          <cell r="B7">
            <v>5.8431952662721597E-9</v>
          </cell>
        </row>
        <row r="8">
          <cell r="B8">
            <v>3.3653846153846098E-9</v>
          </cell>
        </row>
        <row r="9">
          <cell r="B9">
            <v>5.6582840236686396E-9</v>
          </cell>
        </row>
        <row r="10">
          <cell r="B10">
            <v>4.7707100591715896E-9</v>
          </cell>
        </row>
      </sheetData>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suda&amp;Tyree_2000_Fig1"/>
    </sheetNames>
    <sheetDataSet>
      <sheetData sheetId="0">
        <row r="2">
          <cell r="D2">
            <v>1.5589472992905398E-7</v>
          </cell>
        </row>
        <row r="3">
          <cell r="D3">
            <v>2.8254002913746099E-7</v>
          </cell>
        </row>
        <row r="4">
          <cell r="D4">
            <v>1.1548142685215098E-7</v>
          </cell>
        </row>
        <row r="5">
          <cell r="D5">
            <v>3.0106745578761799E-7</v>
          </cell>
        </row>
        <row r="6">
          <cell r="D6">
            <v>1.53773214967029E-7</v>
          </cell>
        </row>
        <row r="7">
          <cell r="D7">
            <v>1.2421839424198499E-7</v>
          </cell>
        </row>
        <row r="8">
          <cell r="D8">
            <v>1.2203977300206297E-7</v>
          </cell>
        </row>
        <row r="9">
          <cell r="D9">
            <v>2.1722448136294198E-7</v>
          </cell>
        </row>
        <row r="10">
          <cell r="D10">
            <v>1.587752075308E-7</v>
          </cell>
        </row>
        <row r="11">
          <cell r="D11">
            <v>2.4670985842890596E-7</v>
          </cell>
        </row>
        <row r="12">
          <cell r="D12">
            <v>1.46580922480414E-7</v>
          </cell>
        </row>
        <row r="13">
          <cell r="D13">
            <v>1.016708141115E-7</v>
          </cell>
        </row>
        <row r="14">
          <cell r="D14">
            <v>7.0112585735514989E-8</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A2">
            <v>3.9495060373216199E-8</v>
          </cell>
        </row>
        <row r="3">
          <cell r="A3">
            <v>3.7497255762897899E-8</v>
          </cell>
        </row>
        <row r="4">
          <cell r="A4">
            <v>1.99780461031833E-8</v>
          </cell>
        </row>
        <row r="6">
          <cell r="A6">
            <v>8.0680570801317198E-8</v>
          </cell>
        </row>
        <row r="7">
          <cell r="A7">
            <v>3.1964873765093201E-8</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vajal_etal_1999_Fig1b"/>
    </sheetNames>
    <sheetDataSet>
      <sheetData sheetId="0">
        <row r="2">
          <cell r="C2">
            <v>1.3610358325805472E-10</v>
          </cell>
        </row>
        <row r="3">
          <cell r="C3">
            <v>1.9512195121951222E-10</v>
          </cell>
        </row>
        <row r="4">
          <cell r="C4">
            <v>3.0111412225232777E-11</v>
          </cell>
        </row>
        <row r="5">
          <cell r="C5">
            <v>1.5657934357120945E-11</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vajal_etal_1999_Fig3b"/>
    </sheetNames>
    <sheetDataSet>
      <sheetData sheetId="0">
        <row r="2">
          <cell r="C2">
            <v>2.4987181004220388E-10</v>
          </cell>
        </row>
        <row r="3">
          <cell r="C3">
            <v>1.0442551177375445E-10</v>
          </cell>
        </row>
      </sheetData>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1998_Fig4a"/>
    </sheetNames>
    <sheetDataSet>
      <sheetData sheetId="0">
        <row r="2">
          <cell r="C2">
            <v>1.1043771043771E-9</v>
          </cell>
        </row>
        <row r="3">
          <cell r="C3">
            <v>6.4646464646464608E-10</v>
          </cell>
        </row>
        <row r="4">
          <cell r="C4">
            <v>4.5117845117845202E-10</v>
          </cell>
        </row>
        <row r="5">
          <cell r="C5">
            <v>3.3265993265993205E-9</v>
          </cell>
        </row>
        <row r="6">
          <cell r="C6">
            <v>1.8720538720538701E-9</v>
          </cell>
        </row>
      </sheetData>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1998_Fig3a"/>
    </sheetNames>
    <sheetDataSet>
      <sheetData sheetId="0">
        <row r="2">
          <cell r="C2">
            <v>1.47026431718061E-7</v>
          </cell>
        </row>
        <row r="3">
          <cell r="C3">
            <v>8.0396475770925095E-8</v>
          </cell>
        </row>
        <row r="4">
          <cell r="C4">
            <v>1.8447136563876601E-7</v>
          </cell>
        </row>
        <row r="5">
          <cell r="C5">
            <v>2.4339207048458099E-7</v>
          </cell>
        </row>
        <row r="6">
          <cell r="C6">
            <v>7.48898678414096E-8</v>
          </cell>
        </row>
      </sheetData>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1998_Fig4b"/>
    </sheetNames>
    <sheetDataSet>
      <sheetData sheetId="0">
        <row r="2">
          <cell r="C2">
            <v>2.8571428571428503E-8</v>
          </cell>
        </row>
        <row r="3">
          <cell r="C3">
            <v>2.04081632653061E-8</v>
          </cell>
        </row>
        <row r="4">
          <cell r="C4">
            <v>3.2838589981447102E-8</v>
          </cell>
        </row>
        <row r="5">
          <cell r="C5">
            <v>8.8311688311688216E-8</v>
          </cell>
        </row>
        <row r="6">
          <cell r="C6">
            <v>7.1799628942485998E-8</v>
          </cell>
        </row>
      </sheetData>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rdini_etal_1998_Fig3"/>
    </sheetNames>
    <sheetDataSet>
      <sheetData sheetId="0">
        <row r="2">
          <cell r="B2">
            <v>1.1386426920487E-7</v>
          </cell>
          <cell r="D2">
            <v>1.8734052814530298E-2</v>
          </cell>
        </row>
        <row r="3">
          <cell r="B3">
            <v>9.0657906710102494E-8</v>
          </cell>
          <cell r="D3">
            <v>1.6909021420641601E-2</v>
          </cell>
        </row>
        <row r="4">
          <cell r="B4">
            <v>2.81605911150745E-8</v>
          </cell>
          <cell r="D4">
            <v>3.55852002839099E-2</v>
          </cell>
        </row>
        <row r="5">
          <cell r="B5">
            <v>3.5113146619422699E-8</v>
          </cell>
          <cell r="D5">
            <v>9.3693693693693691E-3</v>
          </cell>
        </row>
        <row r="6">
          <cell r="B6">
            <v>2.2835262040283001E-8</v>
          </cell>
          <cell r="D6">
            <v>1.2972972972972899E-2</v>
          </cell>
        </row>
        <row r="7">
          <cell r="B7">
            <v>3.62257655144685E-9</v>
          </cell>
          <cell r="D7">
            <v>1.09309309309309E-2</v>
          </cell>
        </row>
        <row r="8">
          <cell r="B8">
            <v>2.3580056284710999E-8</v>
          </cell>
          <cell r="D8">
            <v>3.7213159664283998E-2</v>
          </cell>
        </row>
        <row r="9">
          <cell r="B9">
            <v>1.8430752372176399E-8</v>
          </cell>
          <cell r="D9">
            <v>3.2554977212163397E-2</v>
          </cell>
        </row>
        <row r="10">
          <cell r="B10">
            <v>3.05314671381964E-8</v>
          </cell>
          <cell r="D10">
            <v>2.6519562672776498E-2</v>
          </cell>
        </row>
        <row r="11">
          <cell r="B11">
            <v>1.04543538106694E-8</v>
          </cell>
          <cell r="D11">
            <v>2.5684878847250698E-2</v>
          </cell>
        </row>
        <row r="12">
          <cell r="B12">
            <v>2.1434240222216601E-8</v>
          </cell>
          <cell r="D12">
            <v>2.8098509461570796E-2</v>
          </cell>
        </row>
        <row r="13">
          <cell r="B13">
            <v>4.8761191438706099E-9</v>
          </cell>
          <cell r="D13">
            <v>1.50730388631234E-2</v>
          </cell>
        </row>
      </sheetData>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rdini_etal_1998b_Fig4"/>
    </sheetNames>
    <sheetDataSet>
      <sheetData sheetId="0">
        <row r="2">
          <cell r="A2">
            <v>1.0320396521088501E-7</v>
          </cell>
          <cell r="B2">
            <v>4.3513513513513498E-3</v>
          </cell>
        </row>
        <row r="3">
          <cell r="A3">
            <v>1.6915739268680399E-7</v>
          </cell>
          <cell r="B3">
            <v>7.8378378378378306E-3</v>
          </cell>
        </row>
        <row r="4">
          <cell r="A4">
            <v>4.4245768259608998E-7</v>
          </cell>
          <cell r="B4">
            <v>3.24324324324324E-3</v>
          </cell>
        </row>
        <row r="5">
          <cell r="A5">
            <v>1.2010054657586401E-8</v>
          </cell>
          <cell r="B5">
            <v>3.4507935580042601E-2</v>
          </cell>
        </row>
        <row r="6">
          <cell r="A6">
            <v>4.3308099260515003E-8</v>
          </cell>
          <cell r="B6">
            <v>4.07213632245053E-2</v>
          </cell>
        </row>
        <row r="7">
          <cell r="A7">
            <v>6.1168756515554596E-8</v>
          </cell>
          <cell r="B7">
            <v>3.3538713354572799E-2</v>
          </cell>
        </row>
        <row r="8">
          <cell r="A8">
            <v>1.39226519337016E-8</v>
          </cell>
          <cell r="B8">
            <v>2.35494814384026E-2</v>
          </cell>
        </row>
        <row r="9">
          <cell r="A9">
            <v>4.4751381215469598E-8</v>
          </cell>
          <cell r="B9">
            <v>5.39905011146651E-2</v>
          </cell>
        </row>
        <row r="10">
          <cell r="A10">
            <v>8.3204419889502802E-8</v>
          </cell>
          <cell r="B10">
            <v>3.48046912862265E-2</v>
          </cell>
        </row>
        <row r="11">
          <cell r="A11">
            <v>8.78180989209544E-9</v>
          </cell>
          <cell r="B11">
            <v>3.3817187051453E-2</v>
          </cell>
        </row>
        <row r="12">
          <cell r="A12">
            <v>2.5724345227038599E-8</v>
          </cell>
          <cell r="B12">
            <v>2.69214272446343E-2</v>
          </cell>
        </row>
        <row r="13">
          <cell r="A13">
            <v>3.1878957766932899E-8</v>
          </cell>
          <cell r="B13">
            <v>2.5474932031949199E-2</v>
          </cell>
        </row>
        <row r="14">
          <cell r="A14">
            <v>4.9165379189898701E-9</v>
          </cell>
          <cell r="B14">
            <v>2.65244844495197E-2</v>
          </cell>
        </row>
        <row r="15">
          <cell r="A15">
            <v>1.1871935245516299E-8</v>
          </cell>
          <cell r="B15">
            <v>2.5093705917914901E-2</v>
          </cell>
        </row>
        <row r="16">
          <cell r="A16">
            <v>3.6872271109021397E-8</v>
          </cell>
          <cell r="B16">
            <v>1.8508094310472199E-2</v>
          </cell>
        </row>
        <row r="17">
          <cell r="A17">
            <v>9.1097266071068695E-8</v>
          </cell>
          <cell r="B17">
            <v>2.4806878484583801E-2</v>
          </cell>
        </row>
        <row r="18">
          <cell r="A18">
            <v>9.2054980855780197E-8</v>
          </cell>
          <cell r="B18">
            <v>1.5935379861624199E-2</v>
          </cell>
        </row>
        <row r="19">
          <cell r="A19">
            <v>1.2021260159870999E-7</v>
          </cell>
          <cell r="B19">
            <v>1.13078524887485E-2</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ang&amp;Grantz_1996_Fig7"/>
    </sheetNames>
    <sheetDataSet>
      <sheetData sheetId="0">
        <row r="8">
          <cell r="C8">
            <v>5.9264501866277498E-2</v>
          </cell>
          <cell r="D8">
            <v>2.41858786133791E-9</v>
          </cell>
        </row>
        <row r="9">
          <cell r="C9">
            <v>0.1190892908447397</v>
          </cell>
          <cell r="D9">
            <v>7.0663911070891223E-9</v>
          </cell>
        </row>
        <row r="10">
          <cell r="C10">
            <v>0.202214005030185</v>
          </cell>
          <cell r="D10">
            <v>1.54333314763407E-8</v>
          </cell>
        </row>
        <row r="19">
          <cell r="C19">
            <v>7.7928550852835093E-2</v>
          </cell>
          <cell r="D19">
            <v>4.2634080523726196E-9</v>
          </cell>
        </row>
        <row r="20">
          <cell r="C20">
            <v>0.11593217618815889</v>
          </cell>
          <cell r="D20">
            <v>6.8037203342866557E-9</v>
          </cell>
        </row>
        <row r="21">
          <cell r="C21">
            <v>0.15123446410591901</v>
          </cell>
          <cell r="D21">
            <v>9.2215781628546201E-9</v>
          </cell>
        </row>
        <row r="31">
          <cell r="C31">
            <v>7.7544272287647195E-2</v>
          </cell>
          <cell r="D31">
            <v>5.0874484967645304E-9</v>
          </cell>
        </row>
        <row r="32">
          <cell r="C32">
            <v>0.11905980353924644</v>
          </cell>
          <cell r="D32">
            <v>9.6078854546604429E-9</v>
          </cell>
        </row>
        <row r="33">
          <cell r="C33">
            <v>0.15287985575244201</v>
          </cell>
          <cell r="D33">
            <v>1.1611946531296399E-8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_etal_2020_Fig1d"/>
    </sheetNames>
    <sheetDataSet>
      <sheetData sheetId="0">
        <row r="2">
          <cell r="B2">
            <v>18.3297180043383</v>
          </cell>
        </row>
        <row r="3">
          <cell r="B3">
            <v>18.275488069414301</v>
          </cell>
        </row>
        <row r="4">
          <cell r="B4">
            <v>15.5639913232104</v>
          </cell>
        </row>
      </sheetData>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lse_etal_1995_Fig3"/>
    </sheetNames>
    <sheetDataSet>
      <sheetData sheetId="0">
        <row r="10">
          <cell r="C10">
            <v>1.22532294832826E-8</v>
          </cell>
        </row>
        <row r="11">
          <cell r="C11">
            <v>2.1334288938012293E-8</v>
          </cell>
        </row>
        <row r="12">
          <cell r="C12">
            <v>2.7930851063829699E-8</v>
          </cell>
        </row>
        <row r="21">
          <cell r="C21">
            <v>1.2253292806484201E-8</v>
          </cell>
        </row>
        <row r="22">
          <cell r="C22">
            <v>1.9709323477940437E-8</v>
          </cell>
        </row>
        <row r="23">
          <cell r="C23">
            <v>3.0500000000000002E-8</v>
          </cell>
        </row>
      </sheetData>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lger_etal_1992_Fig2"/>
    </sheetNames>
    <sheetDataSet>
      <sheetData sheetId="0">
        <row r="2">
          <cell r="B2">
            <v>4.7544409613375101E-11</v>
          </cell>
        </row>
        <row r="3">
          <cell r="B3">
            <v>5.7993730407523498E-11</v>
          </cell>
        </row>
        <row r="4">
          <cell r="B4">
            <v>7.6280041797283098E-11</v>
          </cell>
        </row>
        <row r="5">
          <cell r="B5">
            <v>9.63079066527342E-11</v>
          </cell>
        </row>
        <row r="6">
          <cell r="B6">
            <v>1.18077324973876E-10</v>
          </cell>
        </row>
        <row r="7">
          <cell r="B7">
            <v>1.3984674329501901E-10</v>
          </cell>
        </row>
        <row r="8">
          <cell r="B8">
            <v>1.9296412399860599E-10</v>
          </cell>
        </row>
        <row r="9">
          <cell r="B9">
            <v>2.5304771856495899E-10</v>
          </cell>
        </row>
      </sheetData>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lger_etal_1992_Fig6"/>
    </sheetNames>
    <sheetDataSet>
      <sheetData sheetId="0">
        <row r="2">
          <cell r="B2">
            <v>100.64935064935</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arkomer_etal_1991_Fig2b"/>
    </sheetNames>
    <sheetDataSet>
      <sheetData sheetId="0">
        <row r="2">
          <cell r="C2">
            <v>1.0194352768610195E-10</v>
          </cell>
        </row>
        <row r="3">
          <cell r="C3">
            <v>9.5892922625595842E-11</v>
          </cell>
        </row>
        <row r="4">
          <cell r="C4">
            <v>7.6640997433076388E-11</v>
          </cell>
        </row>
        <row r="5">
          <cell r="C5">
            <v>9.1125779244591103E-11</v>
          </cell>
        </row>
        <row r="6">
          <cell r="C6">
            <v>7.9941327466079719E-11</v>
          </cell>
        </row>
        <row r="7">
          <cell r="C7">
            <v>6.3806380638063603E-11</v>
          </cell>
        </row>
        <row r="8">
          <cell r="C8">
            <v>2.1268793546021275E-11</v>
          </cell>
        </row>
        <row r="9">
          <cell r="C9">
            <v>2.273560689402272E-11</v>
          </cell>
        </row>
      </sheetData>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r_etal_1991_Fig1"/>
    </sheetNames>
    <sheetDataSet>
      <sheetData sheetId="0">
        <row r="2">
          <cell r="C2">
            <v>5.7975439978985998E-10</v>
          </cell>
        </row>
        <row r="3">
          <cell r="C3">
            <v>4.0244943525085338E-10</v>
          </cell>
        </row>
        <row r="4">
          <cell r="C4">
            <v>2.6536643026004667E-10</v>
          </cell>
        </row>
        <row r="5">
          <cell r="C5">
            <v>3.5812319411610164E-10</v>
          </cell>
        </row>
        <row r="6">
          <cell r="C6">
            <v>1.6604281586551082E-10</v>
          </cell>
        </row>
        <row r="7">
          <cell r="C7">
            <v>6.8360914105594835E-11</v>
          </cell>
        </row>
        <row r="8">
          <cell r="C8">
            <v>7.4927764644076502E-11</v>
          </cell>
        </row>
        <row r="9">
          <cell r="C9">
            <v>4.6197793538219003E-11</v>
          </cell>
        </row>
      </sheetData>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rryman_etal_1991_Fig2"/>
    </sheetNames>
    <sheetDataSet>
      <sheetData sheetId="0">
        <row r="2">
          <cell r="B2">
            <v>2.4226289517470898E-7</v>
          </cell>
        </row>
        <row r="3">
          <cell r="B3">
            <v>2.5757071547420901E-7</v>
          </cell>
        </row>
        <row r="4">
          <cell r="B4">
            <v>3.3810316139767003E-7</v>
          </cell>
        </row>
        <row r="5">
          <cell r="B5">
            <v>3.9534109816971698E-7</v>
          </cell>
        </row>
        <row r="6">
          <cell r="B6">
            <v>3.9733777038269498E-7</v>
          </cell>
        </row>
        <row r="7">
          <cell r="B7">
            <v>2.6422628951747002E-7</v>
          </cell>
        </row>
        <row r="8">
          <cell r="B8">
            <v>1.5108153078202999E-7</v>
          </cell>
        </row>
        <row r="9">
          <cell r="B9">
            <v>1.8768718801996599E-7</v>
          </cell>
        </row>
        <row r="10">
          <cell r="B10">
            <v>2.3161397670549E-7</v>
          </cell>
        </row>
        <row r="11">
          <cell r="B11">
            <v>3.72712146422629E-7</v>
          </cell>
        </row>
      </sheetData>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ly_1989_Fig2"/>
    </sheetNames>
    <sheetDataSet>
      <sheetData sheetId="0">
        <row r="2">
          <cell r="B2">
            <v>6.68870523415977E-7</v>
          </cell>
        </row>
        <row r="3">
          <cell r="B3">
            <v>4.4187327823691401E-7</v>
          </cell>
        </row>
        <row r="4">
          <cell r="B4">
            <v>4.9586776859504103E-7</v>
          </cell>
        </row>
        <row r="5">
          <cell r="B5">
            <v>2.9531680440771298E-7</v>
          </cell>
        </row>
        <row r="6">
          <cell r="B6">
            <v>2.4022038567493098E-7</v>
          </cell>
        </row>
        <row r="7">
          <cell r="B7">
            <v>1.9173553719008201E-7</v>
          </cell>
        </row>
      </sheetData>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ssera&amp;Ayres_1988_Fig2"/>
    </sheetNames>
    <sheetDataSet>
      <sheetData sheetId="0">
        <row r="2">
          <cell r="B2">
            <v>6.9653299916457694E-8</v>
          </cell>
        </row>
        <row r="3">
          <cell r="B3">
            <v>7.5657894736842101E-8</v>
          </cell>
        </row>
        <row r="4">
          <cell r="B4">
            <v>9.0016708437761004E-8</v>
          </cell>
        </row>
        <row r="5">
          <cell r="B5">
            <v>9.4193817878028306E-8</v>
          </cell>
        </row>
        <row r="6">
          <cell r="B6">
            <v>1.09596908939014E-7</v>
          </cell>
        </row>
        <row r="7">
          <cell r="B7">
            <v>1.09335839598997E-7</v>
          </cell>
        </row>
        <row r="8">
          <cell r="B8">
            <v>1.5006265664160301E-7</v>
          </cell>
        </row>
        <row r="9">
          <cell r="B9">
            <v>1.5058479532163701E-7</v>
          </cell>
        </row>
      </sheetData>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scus_1986_Fig5"/>
    </sheetNames>
    <sheetDataSet>
      <sheetData sheetId="0">
        <row r="2">
          <cell r="B2">
            <v>3.1637036404346302E-7</v>
          </cell>
        </row>
        <row r="3">
          <cell r="B3">
            <v>2.9820113599619301E-7</v>
          </cell>
        </row>
        <row r="4">
          <cell r="B4">
            <v>3.0496769548957002E-7</v>
          </cell>
        </row>
        <row r="5">
          <cell r="B5">
            <v>3.2391113361682302E-7</v>
          </cell>
        </row>
        <row r="6">
          <cell r="B6">
            <v>3.0490363555387399E-7</v>
          </cell>
        </row>
        <row r="7">
          <cell r="B7">
            <v>3.1522460633644198E-7</v>
          </cell>
        </row>
        <row r="8">
          <cell r="B8">
            <v>3.1261645181167599E-7</v>
          </cell>
        </row>
        <row r="9">
          <cell r="B9">
            <v>3.13889414248149E-7</v>
          </cell>
        </row>
        <row r="10">
          <cell r="B10">
            <v>2.9791927227912998E-7</v>
          </cell>
        </row>
        <row r="11">
          <cell r="B11">
            <v>2.8623748543399002E-7</v>
          </cell>
        </row>
        <row r="12">
          <cell r="B12">
            <v>2.8664655388050597E-7</v>
          </cell>
        </row>
        <row r="13">
          <cell r="B13">
            <v>2.8059014453141602E-7</v>
          </cell>
        </row>
        <row r="14">
          <cell r="B14">
            <v>2.8962168032261799E-7</v>
          </cell>
        </row>
        <row r="15">
          <cell r="B15">
            <v>2.53802109707215E-7</v>
          </cell>
        </row>
      </sheetData>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scus&amp;Markhart_1979_Fig4"/>
    </sheetNames>
    <sheetDataSet>
      <sheetData sheetId="0">
        <row r="2">
          <cell r="A2">
            <v>6</v>
          </cell>
          <cell r="B2">
            <v>114.18004346665501</v>
          </cell>
          <cell r="C2">
            <v>8.3632292101567302E-8</v>
          </cell>
        </row>
        <row r="3">
          <cell r="A3">
            <v>10</v>
          </cell>
          <cell r="B3">
            <v>180.905174057268</v>
          </cell>
          <cell r="C3">
            <v>2.1594337116180199E-7</v>
          </cell>
        </row>
        <row r="4">
          <cell r="A4">
            <v>11</v>
          </cell>
          <cell r="B4">
            <v>127.52506958477802</v>
          </cell>
          <cell r="C4">
            <v>6.1048544426310299E-7</v>
          </cell>
        </row>
        <row r="5">
          <cell r="A5">
            <v>12</v>
          </cell>
          <cell r="B5">
            <v>274.32035688412697</v>
          </cell>
          <cell r="C5">
            <v>4.0484533343454599E-7</v>
          </cell>
        </row>
        <row r="6">
          <cell r="A6">
            <v>18</v>
          </cell>
          <cell r="B6">
            <v>968.26171502649902</v>
          </cell>
          <cell r="C6">
            <v>4.6143621664705601E-7</v>
          </cell>
        </row>
        <row r="7">
          <cell r="A7">
            <v>19</v>
          </cell>
          <cell r="B7">
            <v>1155.0920806802101</v>
          </cell>
          <cell r="C7">
            <v>5.0447717007628895E-7</v>
          </cell>
        </row>
        <row r="8">
          <cell r="A8">
            <v>25</v>
          </cell>
          <cell r="B8">
            <v>2369.4894574293598</v>
          </cell>
          <cell r="C8">
            <v>3.5303677838083999E-7</v>
          </cell>
        </row>
        <row r="9">
          <cell r="A9">
            <v>27</v>
          </cell>
          <cell r="B9">
            <v>2236.0391962481403</v>
          </cell>
          <cell r="C9">
            <v>2.0956693361672999E-7</v>
          </cell>
        </row>
        <row r="10">
          <cell r="A10">
            <v>28</v>
          </cell>
          <cell r="B10">
            <v>2796.53029320928</v>
          </cell>
          <cell r="C10">
            <v>2.6217254336356998E-7</v>
          </cell>
        </row>
        <row r="11">
          <cell r="A11">
            <v>32</v>
          </cell>
          <cell r="B11">
            <v>3383.7114424066799</v>
          </cell>
          <cell r="C11">
            <v>2.6217254336356998E-7</v>
          </cell>
        </row>
        <row r="12">
          <cell r="A12">
            <v>33</v>
          </cell>
          <cell r="B12">
            <v>4878.3543676364006</v>
          </cell>
          <cell r="C12">
            <v>1.20296807985728E-7</v>
          </cell>
        </row>
        <row r="13">
          <cell r="A13">
            <v>39</v>
          </cell>
          <cell r="B13">
            <v>5372.1203340069305</v>
          </cell>
          <cell r="C13">
            <v>1.8406118343644399E-7</v>
          </cell>
        </row>
        <row r="14">
          <cell r="A14">
            <v>40</v>
          </cell>
          <cell r="B14">
            <v>5759.1260914324903</v>
          </cell>
          <cell r="C14">
            <v>1.87249402208979E-7</v>
          </cell>
        </row>
        <row r="15">
          <cell r="A15">
            <v>41</v>
          </cell>
          <cell r="B15">
            <v>6960.1784420635204</v>
          </cell>
          <cell r="C15">
            <v>2.4144912134208799E-7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rnandes&amp;Barrios_2020_Fig1"/>
    </sheetNames>
    <sheetDataSet>
      <sheetData sheetId="0">
        <row r="2">
          <cell r="B2">
            <v>9.2171717171717097E-7</v>
          </cell>
        </row>
        <row r="3">
          <cell r="B3">
            <v>5.90909090909091E-7</v>
          </cell>
        </row>
        <row r="4">
          <cell r="B4">
            <v>1.02325581395348E-7</v>
          </cell>
        </row>
        <row r="5">
          <cell r="B5">
            <v>3.5658914728681998E-8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vassi_etal_2020_Fig3b"/>
    </sheetNames>
    <sheetDataSet>
      <sheetData sheetId="0">
        <row r="2">
          <cell r="B2">
            <v>1.0453333333333301E-8</v>
          </cell>
        </row>
        <row r="3">
          <cell r="B3">
            <v>8.0499999999999993E-9</v>
          </cell>
        </row>
        <row r="4">
          <cell r="B4">
            <v>5.2966666666666602E-9</v>
          </cell>
        </row>
        <row r="5">
          <cell r="B5">
            <v>3.0333333333333299E-9</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yer_etal_2020_Fig5b"/>
    </sheetNames>
    <sheetDataSet>
      <sheetData sheetId="0">
        <row r="2">
          <cell r="B2">
            <v>6.5879265091863103E-9</v>
          </cell>
        </row>
        <row r="3">
          <cell r="B3">
            <v>1.78477690288713E-9</v>
          </cell>
        </row>
        <row r="4">
          <cell r="B4">
            <v>6.2992125984251801E-10</v>
          </cell>
        </row>
        <row r="5">
          <cell r="B5">
            <v>1.2335958005249299E-9</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driguez-Gamir_etal_2019_Fig2f"/>
    </sheetNames>
    <sheetDataSet>
      <sheetData sheetId="0">
        <row r="2">
          <cell r="C2">
            <v>9.2200200000000006E-9</v>
          </cell>
        </row>
        <row r="3">
          <cell r="C3">
            <v>5.4605499999999997E-9</v>
          </cell>
        </row>
        <row r="4">
          <cell r="C4">
            <v>5.9696799999999996E-9</v>
          </cell>
        </row>
        <row r="5">
          <cell r="C5">
            <v>3.9822200000000003E-9</v>
          </cell>
        </row>
        <row r="6">
          <cell r="C6">
            <v>6.6654400000000001E-9</v>
          </cell>
        </row>
        <row r="7">
          <cell r="C7">
            <v>3.5922799999999999E-9</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ng_etal_2019_Fig4"/>
    </sheetNames>
    <sheetDataSet>
      <sheetData sheetId="0">
        <row r="2">
          <cell r="C2">
            <v>4.4785223776562402E-6</v>
          </cell>
        </row>
        <row r="3">
          <cell r="C3">
            <v>8.6351577586334206E-7</v>
          </cell>
        </row>
        <row r="4">
          <cell r="C4">
            <v>7.9473793935616197E-7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g_etal_2018_Fig3"/>
    </sheetNames>
    <sheetDataSet>
      <sheetData sheetId="0">
        <row r="2">
          <cell r="C2">
            <v>6.3847223127335698E-8</v>
          </cell>
        </row>
        <row r="3">
          <cell r="C3">
            <v>3.1573358116128603E-9</v>
          </cell>
        </row>
        <row r="4">
          <cell r="C4">
            <v>3.2781292766613003E-9</v>
          </cell>
        </row>
        <row r="5">
          <cell r="C5">
            <v>9.1953611592001699E-8</v>
          </cell>
        </row>
        <row r="6">
          <cell r="C6">
            <v>9.3376227215929813E-8</v>
          </cell>
        </row>
        <row r="7">
          <cell r="C7">
            <v>1.06074297387889E-7</v>
          </cell>
        </row>
        <row r="8">
          <cell r="C8">
            <v>1.1282344137942201E-7</v>
          </cell>
        </row>
        <row r="9">
          <cell r="C9">
            <v>2.4621466397304998E-8</v>
          </cell>
        </row>
        <row r="10">
          <cell r="C10">
            <v>6.2527448552529802E-10</v>
          </cell>
        </row>
        <row r="11">
          <cell r="C11">
            <v>9.5243459806808494E-10</v>
          </cell>
        </row>
        <row r="12">
          <cell r="C12">
            <v>5.7475615735485403E-8</v>
          </cell>
        </row>
        <row r="13">
          <cell r="C13">
            <v>5.7971547007505502E-8</v>
          </cell>
        </row>
        <row r="14">
          <cell r="C14">
            <v>5.40962732303297E-8</v>
          </cell>
        </row>
        <row r="15">
          <cell r="C15">
            <v>5.7430730478589398E-8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g_etal_2018_Fig2c"/>
    </sheetNames>
    <sheetDataSet>
      <sheetData sheetId="0">
        <row r="2">
          <cell r="B2">
            <v>5.0299003796142898</v>
          </cell>
        </row>
        <row r="3">
          <cell r="B3">
            <v>1.7873745019791001</v>
          </cell>
        </row>
        <row r="4">
          <cell r="B4">
            <v>1.20198008889004</v>
          </cell>
        </row>
        <row r="5">
          <cell r="B5">
            <v>8.6433936600662093</v>
          </cell>
        </row>
        <row r="6">
          <cell r="B6">
            <v>8.5002609645639104</v>
          </cell>
        </row>
        <row r="7">
          <cell r="B7">
            <v>9.1968152597812995</v>
          </cell>
        </row>
        <row r="8">
          <cell r="B8">
            <v>9.2364533456953399</v>
          </cell>
        </row>
        <row r="9">
          <cell r="B9">
            <v>3.1957389835673302</v>
          </cell>
        </row>
        <row r="10">
          <cell r="B10">
            <v>0.93857769449964501</v>
          </cell>
        </row>
        <row r="11">
          <cell r="B11">
            <v>0.85295538316406005</v>
          </cell>
        </row>
        <row r="12">
          <cell r="B12">
            <v>5.6815285715675001</v>
          </cell>
        </row>
        <row r="13">
          <cell r="B13">
            <v>5.8238326398944196</v>
          </cell>
        </row>
        <row r="14">
          <cell r="B14">
            <v>6.9019799808301796</v>
          </cell>
        </row>
        <row r="15">
          <cell r="B15">
            <v>6.9254484214075198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ek_etal_2018_Fig2a"/>
    </sheetNames>
    <sheetDataSet>
      <sheetData sheetId="0">
        <row r="7">
          <cell r="D7">
            <v>6.8823499999999994E-8</v>
          </cell>
        </row>
        <row r="13">
          <cell r="D13">
            <v>3.2934999999999997E-8</v>
          </cell>
        </row>
        <row r="15">
          <cell r="D15">
            <v>2.4742999999999999E-8</v>
          </cell>
        </row>
        <row r="18">
          <cell r="D18">
            <v>1.9393200000000001E-8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iredjo_etal_2014_Fig2b"/>
    </sheetNames>
    <sheetDataSet>
      <sheetData sheetId="0">
        <row r="2">
          <cell r="B2">
            <v>4.7553191489361599E-8</v>
          </cell>
        </row>
        <row r="3">
          <cell r="B3">
            <v>5.6170212765957403E-8</v>
          </cell>
        </row>
        <row r="4">
          <cell r="B4">
            <v>7.6914893617021197E-8</v>
          </cell>
        </row>
        <row r="5">
          <cell r="B5">
            <v>6.6382978723404206E-8</v>
          </cell>
        </row>
        <row r="6">
          <cell r="B6">
            <v>2.20212765957447E-8</v>
          </cell>
        </row>
        <row r="7">
          <cell r="B7">
            <v>2.04255319148936E-8</v>
          </cell>
        </row>
        <row r="8">
          <cell r="B8">
            <v>2.13829787234042E-8</v>
          </cell>
        </row>
        <row r="9">
          <cell r="B9">
            <v>2.17021276595745E-8</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ek_etal_2018_Fig2b"/>
    </sheetNames>
    <sheetDataSet>
      <sheetData sheetId="0">
        <row r="6">
          <cell r="D6">
            <v>6.7413333333333286E-8</v>
          </cell>
        </row>
        <row r="10">
          <cell r="D10">
            <v>4.1046666666666615E-8</v>
          </cell>
        </row>
        <row r="20">
          <cell r="D20">
            <v>1.381333333333334E-8</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ek_etal_2018_Fig2c"/>
    </sheetNames>
    <sheetDataSet>
      <sheetData sheetId="0">
        <row r="9">
          <cell r="D9">
            <v>3.7838333333333294E-8</v>
          </cell>
        </row>
        <row r="14">
          <cell r="D14">
            <v>1.6435555555555572E-8</v>
          </cell>
        </row>
        <row r="18">
          <cell r="D18">
            <v>6.9633333333333633E-9</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i_etal_2016_Fig2"/>
    </sheetNames>
    <sheetDataSet>
      <sheetData sheetId="0">
        <row r="2">
          <cell r="B2">
            <v>1.7542168674698699E-7</v>
          </cell>
        </row>
        <row r="3">
          <cell r="B3">
            <v>1.53734939759036E-7</v>
          </cell>
        </row>
        <row r="4">
          <cell r="B4">
            <v>3.8554216867469801E-9</v>
          </cell>
        </row>
        <row r="5">
          <cell r="B5">
            <v>2.0120481927710799E-8</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u_etal_2016_Fig1a_c"/>
    </sheetNames>
    <sheetDataSet>
      <sheetData sheetId="0">
        <row r="2">
          <cell r="B2">
            <v>3.49425287356321E-10</v>
          </cell>
        </row>
        <row r="3">
          <cell r="B3">
            <v>3.5172413793103402E-10</v>
          </cell>
        </row>
        <row r="4">
          <cell r="B4">
            <v>3.7011494252873498E-10</v>
          </cell>
        </row>
        <row r="5">
          <cell r="B5">
            <v>3.4022988505747099E-10</v>
          </cell>
        </row>
        <row r="6">
          <cell r="B6">
            <v>3.3793103448275802E-10</v>
          </cell>
        </row>
        <row r="7">
          <cell r="B7">
            <v>3.05747126436781E-10</v>
          </cell>
        </row>
        <row r="8">
          <cell r="B8">
            <v>3.05747126436781E-10</v>
          </cell>
        </row>
        <row r="9">
          <cell r="B9">
            <v>3.0114942528735599E-10</v>
          </cell>
        </row>
        <row r="10">
          <cell r="B10">
            <v>1.00229885057471E-9</v>
          </cell>
        </row>
        <row r="11">
          <cell r="B11">
            <v>9.9080459770114901E-10</v>
          </cell>
        </row>
        <row r="12">
          <cell r="B12">
            <v>9.9080459770114901E-10</v>
          </cell>
        </row>
        <row r="13">
          <cell r="B13">
            <v>5.9080459770114905E-10</v>
          </cell>
        </row>
        <row r="14">
          <cell r="B14">
            <v>1.0137931034482699E-9</v>
          </cell>
        </row>
        <row r="15">
          <cell r="B15">
            <v>4.4367816091954002E-10</v>
          </cell>
        </row>
        <row r="16">
          <cell r="B16">
            <v>9.4252873563218302E-10</v>
          </cell>
        </row>
        <row r="17">
          <cell r="B17">
            <v>3.5632183908045898E-10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u_etal_2016_Fig2"/>
    </sheetNames>
    <sheetDataSet>
      <sheetData sheetId="0">
        <row r="2">
          <cell r="C2">
            <v>1.68004027361202E-7</v>
          </cell>
        </row>
        <row r="4">
          <cell r="C4">
            <v>1.7972813899762101E-7</v>
          </cell>
        </row>
        <row r="5">
          <cell r="C5">
            <v>1.6565991109303501E-7</v>
          </cell>
        </row>
        <row r="6">
          <cell r="C6">
            <v>1.4925109721586701E-7</v>
          </cell>
        </row>
        <row r="7">
          <cell r="C7">
            <v>1.68000497065618E-7</v>
          </cell>
        </row>
        <row r="8">
          <cell r="C8">
            <v>1.5745197385886701E-7</v>
          </cell>
        </row>
        <row r="9">
          <cell r="C9">
            <v>1.49247566920282E-7</v>
          </cell>
        </row>
        <row r="10">
          <cell r="C10">
            <v>4.26654663661679E-7</v>
          </cell>
        </row>
        <row r="12">
          <cell r="C12">
            <v>4.2079437299126098E-7</v>
          </cell>
        </row>
        <row r="13">
          <cell r="C13">
            <v>4.5478405887968099E-7</v>
          </cell>
        </row>
        <row r="14">
          <cell r="C14">
            <v>4.1141790791859399E-7</v>
          </cell>
        </row>
        <row r="15">
          <cell r="C15">
            <v>2.6959887369449599E-7</v>
          </cell>
        </row>
        <row r="16">
          <cell r="C16">
            <v>2.01619501917656E-7</v>
          </cell>
        </row>
        <row r="17">
          <cell r="C17">
            <v>1.68215845096278E-7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6_Fig2b"/>
    </sheetNames>
    <sheetDataSet>
      <sheetData sheetId="0">
        <row r="1">
          <cell r="B1">
            <v>1.08936170212765E-8</v>
          </cell>
        </row>
        <row r="2">
          <cell r="B2">
            <v>1.73617021276595E-8</v>
          </cell>
        </row>
        <row r="3">
          <cell r="B3">
            <v>4.1985815602836796E-9</v>
          </cell>
        </row>
        <row r="4">
          <cell r="B4">
            <v>1.3957446808510601E-8</v>
          </cell>
        </row>
        <row r="5">
          <cell r="B5">
            <v>4.3120567375886503E-9</v>
          </cell>
        </row>
        <row r="6">
          <cell r="B6">
            <v>2.7234042553191399E-8</v>
          </cell>
        </row>
        <row r="7">
          <cell r="B7">
            <v>1.61134751773049E-8</v>
          </cell>
        </row>
        <row r="8">
          <cell r="B8">
            <v>1.83829787234042E-8</v>
          </cell>
        </row>
        <row r="9">
          <cell r="B9">
            <v>8.9645390070922001E-9</v>
          </cell>
        </row>
        <row r="10">
          <cell r="B10">
            <v>1.94042553191489E-8</v>
          </cell>
        </row>
        <row r="11">
          <cell r="B11">
            <v>1.6567375886524799E-8</v>
          </cell>
        </row>
        <row r="12">
          <cell r="B12">
            <v>1.9914893617021199E-8</v>
          </cell>
        </row>
        <row r="13">
          <cell r="B13">
            <v>1.22553191489361E-8</v>
          </cell>
        </row>
        <row r="14">
          <cell r="B14">
            <v>2.9276595744680799E-8</v>
          </cell>
        </row>
        <row r="15">
          <cell r="B15">
            <v>1.10070921985815E-8</v>
          </cell>
        </row>
        <row r="16">
          <cell r="B16">
            <v>2.1106382978723399E-8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6_FigS2b"/>
    </sheetNames>
    <sheetDataSet>
      <sheetData sheetId="0">
        <row r="2">
          <cell r="B2">
            <v>649.84802431610899</v>
          </cell>
        </row>
        <row r="3">
          <cell r="B3">
            <v>299.69604863221798</v>
          </cell>
        </row>
        <row r="4">
          <cell r="B4">
            <v>1024.3161094224899</v>
          </cell>
        </row>
        <row r="5">
          <cell r="B5">
            <v>396.96048632218799</v>
          </cell>
        </row>
        <row r="6">
          <cell r="B6">
            <v>620.66869300911799</v>
          </cell>
        </row>
        <row r="7">
          <cell r="B7">
            <v>236.47416413373799</v>
          </cell>
        </row>
        <row r="8">
          <cell r="B8">
            <v>897.872340425532</v>
          </cell>
        </row>
        <row r="9">
          <cell r="B9">
            <v>421.27659574467998</v>
          </cell>
        </row>
        <row r="10">
          <cell r="B10">
            <v>683.89057750759798</v>
          </cell>
        </row>
        <row r="11">
          <cell r="B11">
            <v>246.20060790273499</v>
          </cell>
        </row>
        <row r="12">
          <cell r="B12">
            <v>713.06990881458898</v>
          </cell>
        </row>
        <row r="13">
          <cell r="B13">
            <v>353.191489361702</v>
          </cell>
        </row>
        <row r="14">
          <cell r="B14">
            <v>635.258358662614</v>
          </cell>
        </row>
        <row r="15">
          <cell r="B15">
            <v>192.70516717325199</v>
          </cell>
        </row>
        <row r="16">
          <cell r="B16">
            <v>912.46200607902699</v>
          </cell>
        </row>
        <row r="17">
          <cell r="B17">
            <v>328.87537993920898</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6_Fig2a"/>
    </sheetNames>
    <sheetDataSet>
      <sheetData sheetId="0">
        <row r="2">
          <cell r="B2">
            <v>5.0071942446043096E-9</v>
          </cell>
        </row>
        <row r="3">
          <cell r="B3">
            <v>6.8489208633093503E-9</v>
          </cell>
        </row>
        <row r="4">
          <cell r="B4">
            <v>3.5395683453237299E-9</v>
          </cell>
        </row>
        <row r="5">
          <cell r="B5">
            <v>5.03597122302157E-9</v>
          </cell>
        </row>
        <row r="6">
          <cell r="B6">
            <v>5.0647482014388403E-9</v>
          </cell>
        </row>
        <row r="7">
          <cell r="B7">
            <v>5.9280575539568304E-9</v>
          </cell>
        </row>
        <row r="8">
          <cell r="B8">
            <v>1.4388489208633001E-9</v>
          </cell>
        </row>
        <row r="9">
          <cell r="B9">
            <v>6.4460431654676198E-9</v>
          </cell>
        </row>
        <row r="10">
          <cell r="B10">
            <v>3.68345323741006E-9</v>
          </cell>
        </row>
        <row r="11">
          <cell r="B11">
            <v>1.03597122302158E-8</v>
          </cell>
        </row>
        <row r="12">
          <cell r="B12">
            <v>9.9568345323741001E-9</v>
          </cell>
        </row>
        <row r="13">
          <cell r="B13">
            <v>6.10071942446042E-9</v>
          </cell>
        </row>
        <row r="14">
          <cell r="B14">
            <v>9.8417266187050305E-9</v>
          </cell>
        </row>
        <row r="15">
          <cell r="B15">
            <v>5.1223021582733702E-9</v>
          </cell>
        </row>
        <row r="16">
          <cell r="B16">
            <v>5.6402877697841703E-9</v>
          </cell>
        </row>
        <row r="17">
          <cell r="B17">
            <v>8.51798561151078E-9</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nry_etal_2016_FigS2a"/>
    </sheetNames>
    <sheetDataSet>
      <sheetData sheetId="0">
        <row r="2">
          <cell r="B2">
            <v>202.41935483870901</v>
          </cell>
        </row>
        <row r="3">
          <cell r="B3">
            <v>126.61290322580599</v>
          </cell>
        </row>
        <row r="4">
          <cell r="B4">
            <v>278.22580645161202</v>
          </cell>
        </row>
        <row r="5">
          <cell r="B5">
            <v>116.935483870967</v>
          </cell>
        </row>
        <row r="6">
          <cell r="B6">
            <v>191.129032258064</v>
          </cell>
        </row>
        <row r="7">
          <cell r="B7">
            <v>128.22580645161199</v>
          </cell>
        </row>
        <row r="8">
          <cell r="B8">
            <v>242.74193548387001</v>
          </cell>
        </row>
        <row r="9">
          <cell r="B9">
            <v>128.22580645161199</v>
          </cell>
        </row>
        <row r="10">
          <cell r="B10">
            <v>136.29032258064501</v>
          </cell>
        </row>
        <row r="11">
          <cell r="B11">
            <v>63.709677419354698</v>
          </cell>
        </row>
        <row r="12">
          <cell r="B12">
            <v>124.99999999999901</v>
          </cell>
        </row>
        <row r="13">
          <cell r="B13">
            <v>73.387096774193495</v>
          </cell>
        </row>
        <row r="14">
          <cell r="B14">
            <v>95.967741935483801</v>
          </cell>
        </row>
        <row r="15">
          <cell r="B15">
            <v>70.161290322580598</v>
          </cell>
        </row>
        <row r="16">
          <cell r="B16">
            <v>136.29032258064501</v>
          </cell>
        </row>
        <row r="17">
          <cell r="B17">
            <v>79.838709677419303</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sheed-Depardieu_etal_2015_Fig"/>
    </sheetNames>
    <sheetDataSet>
      <sheetData sheetId="0">
        <row r="2">
          <cell r="B2">
            <v>4.4384858044163998E-8</v>
          </cell>
        </row>
        <row r="3">
          <cell r="B3">
            <v>1.9652996845425801E-8</v>
          </cell>
        </row>
        <row r="4">
          <cell r="B4">
            <v>4.7601476014760102E-8</v>
          </cell>
        </row>
        <row r="5">
          <cell r="B5">
            <v>4.0959409594095897E-8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u_etal_2022_Fig3b_e"/>
    </sheetNames>
    <sheetDataSet>
      <sheetData sheetId="0">
        <row r="2">
          <cell r="A2">
            <v>175.27114967462001</v>
          </cell>
          <cell r="B2">
            <v>12.481031866464299</v>
          </cell>
        </row>
        <row r="3">
          <cell r="A3">
            <v>127.114967462039</v>
          </cell>
          <cell r="B3">
            <v>11.3429438543247</v>
          </cell>
        </row>
        <row r="4">
          <cell r="A4">
            <v>224.29501084598701</v>
          </cell>
          <cell r="B4">
            <v>18.171471927162301</v>
          </cell>
        </row>
        <row r="5">
          <cell r="A5">
            <v>169.63123644251601</v>
          </cell>
          <cell r="B5">
            <v>14.681335356600901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neko_etal_2015_FigS1"/>
    </sheetNames>
    <sheetDataSet>
      <sheetData sheetId="0">
        <row r="2">
          <cell r="B2">
            <v>2.33475479744136E-7</v>
          </cell>
        </row>
        <row r="3">
          <cell r="B3">
            <v>5.6929637526652397E-7</v>
          </cell>
        </row>
        <row r="4">
          <cell r="B4">
            <v>1.6311300639658801E-7</v>
          </cell>
        </row>
        <row r="5">
          <cell r="B5">
            <v>3.0703624733475401E-7</v>
          </cell>
        </row>
        <row r="6">
          <cell r="B6">
            <v>2.8784648187632601E-8</v>
          </cell>
        </row>
        <row r="7">
          <cell r="B7">
            <v>3.4541577825159898E-7</v>
          </cell>
        </row>
        <row r="8">
          <cell r="B8">
            <v>5.7569296375266505E-7</v>
          </cell>
        </row>
        <row r="9">
          <cell r="B9">
            <v>3.8912579957355999E-7</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ng_etal_2015_Fig5"/>
    </sheetNames>
    <sheetDataSet>
      <sheetData sheetId="0">
        <row r="2">
          <cell r="C2">
            <v>6.7740259700000005E-9</v>
          </cell>
        </row>
        <row r="3">
          <cell r="C3">
            <v>5.5064935100000006E-9</v>
          </cell>
        </row>
        <row r="4">
          <cell r="C4">
            <v>1.3672727270000001E-8</v>
          </cell>
        </row>
        <row r="5">
          <cell r="C5">
            <v>6.8779220799999999E-9</v>
          </cell>
        </row>
        <row r="6">
          <cell r="C6">
            <v>1.5931268730000001E-8</v>
          </cell>
        </row>
        <row r="7">
          <cell r="C7">
            <v>1.423376623E-8</v>
          </cell>
        </row>
        <row r="8">
          <cell r="C8">
            <v>2.6135064940000001E-8</v>
          </cell>
        </row>
        <row r="9">
          <cell r="C9">
            <v>9.6207792199999994E-9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rios-Masias_etal_2015_Fig5"/>
    </sheetNames>
    <sheetDataSet>
      <sheetData sheetId="0">
        <row r="2">
          <cell r="B2">
            <v>3.0693069306930698E-10</v>
          </cell>
        </row>
        <row r="3">
          <cell r="B3">
            <v>6.77510608203677E-10</v>
          </cell>
        </row>
        <row r="4">
          <cell r="B4">
            <v>4.8656294200848602E-10</v>
          </cell>
        </row>
        <row r="5">
          <cell r="B5">
            <v>7.5671852899575602E-10</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rios-Masias_etal_2015_Fig4c"/>
    </sheetNames>
    <sheetDataSet>
      <sheetData sheetId="0">
        <row r="2">
          <cell r="B2">
            <v>1.68587896253602E-10</v>
          </cell>
        </row>
        <row r="3">
          <cell r="B3">
            <v>3.40057636887607E-10</v>
          </cell>
        </row>
        <row r="4">
          <cell r="B4">
            <v>3.3717579250720499E-10</v>
          </cell>
        </row>
        <row r="5">
          <cell r="B5">
            <v>3.8184438040345798E-10</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14_Fig2a"/>
    </sheetNames>
    <sheetDataSet>
      <sheetData sheetId="0">
        <row r="2">
          <cell r="C2">
            <v>7.7696070578656895E-10</v>
          </cell>
        </row>
        <row r="3">
          <cell r="C3">
            <v>5.7052532505483996E-10</v>
          </cell>
        </row>
        <row r="4">
          <cell r="C4">
            <v>4.1209689784207603E-10</v>
          </cell>
        </row>
        <row r="5">
          <cell r="C5">
            <v>7.9942625278993601E-10</v>
          </cell>
        </row>
        <row r="6">
          <cell r="C6">
            <v>6.0323893523192096E-10</v>
          </cell>
        </row>
        <row r="7">
          <cell r="C7">
            <v>6.04828572946632E-10</v>
          </cell>
        </row>
        <row r="8">
          <cell r="C8">
            <v>9.3163046772047308E-10</v>
          </cell>
        </row>
        <row r="9">
          <cell r="C9">
            <v>9.1710551283900195E-10</v>
          </cell>
        </row>
        <row r="10">
          <cell r="C10">
            <v>7.1373845324751406E-10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14_Fig4"/>
    </sheetNames>
    <sheetDataSet>
      <sheetData sheetId="0">
        <row r="2">
          <cell r="C2">
            <v>5.3786713715574205E-10</v>
          </cell>
        </row>
        <row r="3">
          <cell r="C3">
            <v>6.00847257734293E-10</v>
          </cell>
        </row>
        <row r="4">
          <cell r="C4">
            <v>3.34615856362452E-10</v>
          </cell>
        </row>
        <row r="5">
          <cell r="C5">
            <v>3.7516572474502001E-10</v>
          </cell>
        </row>
        <row r="6">
          <cell r="C6">
            <v>5.5036654747190699E-10</v>
          </cell>
        </row>
        <row r="7">
          <cell r="C7">
            <v>6.0569304361773304E-10</v>
          </cell>
        </row>
        <row r="8">
          <cell r="C8">
            <v>4.0906886563700003E-10</v>
          </cell>
        </row>
        <row r="9">
          <cell r="C9">
            <v>4.3298078102444597E-10</v>
          </cell>
        </row>
        <row r="10">
          <cell r="C10">
            <v>5.6820613459887302E-10</v>
          </cell>
        </row>
        <row r="11">
          <cell r="C11">
            <v>5.2525828151978007E-10</v>
          </cell>
        </row>
        <row r="12">
          <cell r="C12">
            <v>4.62981492933657E-10</v>
          </cell>
        </row>
        <row r="13">
          <cell r="C13">
            <v>4.4384983347328506E-10</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14_Fig7b"/>
    </sheetNames>
    <sheetDataSet>
      <sheetData sheetId="0">
        <row r="2">
          <cell r="B2">
            <v>1.1999999999999999E-7</v>
          </cell>
        </row>
        <row r="3">
          <cell r="B3">
            <v>1.24E-7</v>
          </cell>
        </row>
        <row r="4">
          <cell r="B4">
            <v>6.0500000000000006E-8</v>
          </cell>
        </row>
        <row r="5">
          <cell r="B5">
            <v>8.5199999999999995E-8</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u_etal_2014_Fig7c"/>
    </sheetNames>
    <sheetDataSet>
      <sheetData sheetId="0">
        <row r="2">
          <cell r="B2">
            <v>84.624277456647505</v>
          </cell>
        </row>
        <row r="3">
          <cell r="B3">
            <v>79.768786127167701</v>
          </cell>
        </row>
        <row r="4">
          <cell r="B4">
            <v>84.971098265896103</v>
          </cell>
        </row>
        <row r="5">
          <cell r="B5">
            <v>77.687861271676198</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imenez-Casas&amp;Zwiazek_2014_Fig4"/>
    </sheetNames>
    <sheetDataSet>
      <sheetData sheetId="0">
        <row r="2">
          <cell r="B2">
            <v>1.37582417582417E-8</v>
          </cell>
        </row>
        <row r="3">
          <cell r="B3">
            <v>7.4285714285714302E-9</v>
          </cell>
        </row>
        <row r="4">
          <cell r="B4">
            <v>3.4725274725274701E-9</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icke_etal_2014_Fig2c"/>
    </sheetNames>
    <sheetDataSet>
      <sheetData sheetId="0">
        <row r="2">
          <cell r="B2">
            <v>4.8939641109298499E-8</v>
          </cell>
        </row>
        <row r="3">
          <cell r="B3">
            <v>1.6639477977161501E-8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n_etal_2021_Fig2"/>
    </sheetNames>
    <sheetDataSet>
      <sheetData sheetId="0">
        <row r="2">
          <cell r="C2">
            <v>1.2213E-8</v>
          </cell>
        </row>
        <row r="3">
          <cell r="C3">
            <v>1.1709300000000001E-8</v>
          </cell>
        </row>
        <row r="4">
          <cell r="C4">
            <v>6.3316699999999999E-9</v>
          </cell>
        </row>
        <row r="5">
          <cell r="C5">
            <v>9.0148100000000006E-9</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icke_etal_2014_Fig2a"/>
    </sheetNames>
    <sheetDataSet>
      <sheetData sheetId="0">
        <row r="2">
          <cell r="B2">
            <v>2.0224719101123601E-3</v>
          </cell>
        </row>
        <row r="3">
          <cell r="B3">
            <v>1.94542536115569E-3</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vo-Polanco_etal_2014_Fig1"/>
    </sheetNames>
    <sheetDataSet>
      <sheetData sheetId="0">
        <row r="2">
          <cell r="B2">
            <v>1.02165087956698E-3</v>
          </cell>
        </row>
        <row r="3">
          <cell r="B3">
            <v>1.15020297699594E-3</v>
          </cell>
        </row>
        <row r="4">
          <cell r="B4">
            <v>9.5060893098782104E-4</v>
          </cell>
        </row>
        <row r="5">
          <cell r="B5">
            <v>1.7523680649526301E-3</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ang_etal_2013_Fig5"/>
    </sheetNames>
    <sheetDataSet>
      <sheetData sheetId="0">
        <row r="6">
          <cell r="D6">
            <v>0.31445729493867602</v>
          </cell>
        </row>
        <row r="11">
          <cell r="D11">
            <v>0.28567714558096002</v>
          </cell>
        </row>
        <row r="16">
          <cell r="D16">
            <v>0.24659076594489404</v>
          </cell>
        </row>
        <row r="21">
          <cell r="D21">
            <v>0.40327061643758844</v>
          </cell>
        </row>
        <row r="26">
          <cell r="D26">
            <v>0.34532048406910681</v>
          </cell>
        </row>
        <row r="31">
          <cell r="D31">
            <v>0.3043390021263736</v>
          </cell>
        </row>
        <row r="36">
          <cell r="D36">
            <v>0.46915898711184401</v>
          </cell>
        </row>
        <row r="41">
          <cell r="D41">
            <v>0.39306929468764223</v>
          </cell>
        </row>
        <row r="46">
          <cell r="D46">
            <v>0.34012156243348884</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ku_etal_2013_Fig4d"/>
    </sheetNames>
    <sheetDataSet>
      <sheetData sheetId="0">
        <row r="2">
          <cell r="B2">
            <v>4.1958762886597905E-8</v>
          </cell>
        </row>
        <row r="3">
          <cell r="B3">
            <v>8.2783505154639099E-8</v>
          </cell>
        </row>
        <row r="4">
          <cell r="B4">
            <v>8.58762886597937E-8</v>
          </cell>
        </row>
        <row r="5">
          <cell r="B5">
            <v>7.7010309278350493E-8</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ku_etal_2013_Fig3a"/>
    </sheetNames>
    <sheetDataSet>
      <sheetData sheetId="0">
        <row r="2">
          <cell r="B2">
            <v>4.8275862068965401</v>
          </cell>
        </row>
        <row r="3">
          <cell r="B3">
            <v>14.285714285714199</v>
          </cell>
        </row>
        <row r="4">
          <cell r="B4">
            <v>20.197044334975299</v>
          </cell>
        </row>
        <row r="5">
          <cell r="B5">
            <v>63.743842364532</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ku_etal_2013_Fig3c"/>
    </sheetNames>
    <sheetDataSet>
      <sheetData sheetId="0">
        <row r="2">
          <cell r="B2">
            <v>8.8888888888891896E-4</v>
          </cell>
        </row>
        <row r="3">
          <cell r="B3">
            <v>3.2592592592592799E-3</v>
          </cell>
        </row>
        <row r="4">
          <cell r="B4">
            <v>5.20370370370368E-3</v>
          </cell>
        </row>
        <row r="5">
          <cell r="B5">
            <v>1.3611111111110999E-2</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ang_etal_2012_Fig5"/>
    </sheetNames>
    <sheetDataSet>
      <sheetData sheetId="0">
        <row r="2">
          <cell r="C2">
            <v>2.5640018534053501E-8</v>
          </cell>
        </row>
        <row r="3">
          <cell r="C3">
            <v>1.9322722826984301E-8</v>
          </cell>
        </row>
        <row r="4">
          <cell r="C4">
            <v>2.2618101008488002E-8</v>
          </cell>
        </row>
        <row r="5">
          <cell r="C5">
            <v>1.42913730115071E-8</v>
          </cell>
        </row>
        <row r="6">
          <cell r="C6">
            <v>3.18396484052485E-8</v>
          </cell>
        </row>
        <row r="7">
          <cell r="C7">
            <v>2.4413987577324103E-8</v>
          </cell>
        </row>
        <row r="8">
          <cell r="C8">
            <v>2.9865738564914198E-8</v>
          </cell>
        </row>
        <row r="9">
          <cell r="C9">
            <v>1.9925093768882999E-8</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rone_etal_2012_Fig7a"/>
    </sheetNames>
    <sheetDataSet>
      <sheetData sheetId="0">
        <row r="2">
          <cell r="C2">
            <v>5.4733785234668521E-9</v>
          </cell>
          <cell r="E2">
            <v>1.0711545008164429E-6</v>
          </cell>
        </row>
        <row r="3">
          <cell r="C3">
            <v>6.6394861936906892E-9</v>
          </cell>
          <cell r="E3">
            <v>1.7109665170548303E-6</v>
          </cell>
        </row>
        <row r="4">
          <cell r="C4">
            <v>1.497657158607338E-8</v>
          </cell>
          <cell r="E4">
            <v>2.2627768365369427E-6</v>
          </cell>
        </row>
        <row r="5">
          <cell r="C5">
            <v>1.6861409444230002E-8</v>
          </cell>
          <cell r="E5">
            <v>2.8379576549721042E-6</v>
          </cell>
        </row>
        <row r="6">
          <cell r="C6">
            <v>1.7742893779020256E-8</v>
          </cell>
          <cell r="E6">
            <v>3.1544918523049786E-6</v>
          </cell>
        </row>
        <row r="7">
          <cell r="C7">
            <v>2.7662945624775022E-8</v>
          </cell>
          <cell r="E7">
            <v>3.5543068292776325E-6</v>
          </cell>
        </row>
        <row r="8">
          <cell r="C8">
            <v>2.3245995721813582E-8</v>
          </cell>
          <cell r="E8">
            <v>4.9535715238679915E-6</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rone_etal_2012_Fig6"/>
    </sheetNames>
    <sheetDataSet>
      <sheetData sheetId="0">
        <row r="2">
          <cell r="B2">
            <v>7.4046822742474898</v>
          </cell>
        </row>
        <row r="3">
          <cell r="B3">
            <v>4.6354515050167198</v>
          </cell>
        </row>
        <row r="4">
          <cell r="B4">
            <v>7.3444816053511701</v>
          </cell>
        </row>
        <row r="5">
          <cell r="B5">
            <v>8.6688963210702301</v>
          </cell>
        </row>
        <row r="6">
          <cell r="B6">
            <v>7.2842809364548398</v>
          </cell>
        </row>
        <row r="7">
          <cell r="B7">
            <v>9.3311036789297592</v>
          </cell>
        </row>
        <row r="8">
          <cell r="B8">
            <v>6.3812709030100301</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nry_etal_2012_Fig3ab"/>
    </sheetNames>
    <sheetDataSet>
      <sheetData sheetId="0">
        <row r="2">
          <cell r="B2">
            <v>2.72758037225042E-8</v>
          </cell>
        </row>
        <row r="3">
          <cell r="B3">
            <v>2.3891708967851099E-8</v>
          </cell>
        </row>
        <row r="4">
          <cell r="B4">
            <v>8.0541455160744393E-9</v>
          </cell>
        </row>
        <row r="5">
          <cell r="B5">
            <v>7.3096446700507503E-9</v>
          </cell>
        </row>
        <row r="6">
          <cell r="B6">
            <v>1.1844331641285899E-8</v>
          </cell>
        </row>
        <row r="7">
          <cell r="B7">
            <v>1.6040609137055799E-8</v>
          </cell>
        </row>
        <row r="8">
          <cell r="B8">
            <v>1.4483925549915299E-8</v>
          </cell>
        </row>
        <row r="9">
          <cell r="B9">
            <v>1.4957698815566799E-8</v>
          </cell>
        </row>
        <row r="10">
          <cell r="B10">
            <v>1.1302876480541401E-8</v>
          </cell>
        </row>
        <row r="11">
          <cell r="B11">
            <v>2.68020304568527E-8</v>
          </cell>
        </row>
        <row r="12">
          <cell r="B12">
            <v>2.1184433164128501E-8</v>
          </cell>
        </row>
        <row r="13">
          <cell r="B13">
            <v>1.2318104906937299E-8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dama_etal_2021_Fig3a"/>
    </sheetNames>
    <sheetDataSet>
      <sheetData sheetId="0">
        <row r="2">
          <cell r="B2">
            <v>3.8473282442748001E-10</v>
          </cell>
        </row>
        <row r="3">
          <cell r="B3">
            <v>4.5801526717557201E-10</v>
          </cell>
        </row>
        <row r="4">
          <cell r="B4">
            <v>2.7277353689567401E-10</v>
          </cell>
        </row>
        <row r="5">
          <cell r="B5">
            <v>4.3562340966921102E-10</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nry_etal_2012_Fig3cd"/>
    </sheetNames>
    <sheetDataSet>
      <sheetData sheetId="0">
        <row r="1">
          <cell r="B1">
            <v>4.9910979228486601E-8</v>
          </cell>
        </row>
        <row r="2">
          <cell r="B2">
            <v>4.5163204747774401E-8</v>
          </cell>
        </row>
        <row r="3">
          <cell r="B3">
            <v>2.0712166172106799E-8</v>
          </cell>
        </row>
        <row r="4">
          <cell r="B4">
            <v>4.1364985163204699E-8</v>
          </cell>
        </row>
        <row r="5">
          <cell r="B5">
            <v>4.6468842729970301E-8</v>
          </cell>
        </row>
        <row r="6">
          <cell r="B6">
            <v>3.5786350148367898E-8</v>
          </cell>
        </row>
        <row r="7">
          <cell r="B7">
            <v>1.81008902077151E-8</v>
          </cell>
        </row>
        <row r="8">
          <cell r="B8">
            <v>1.14540059347181E-8</v>
          </cell>
        </row>
        <row r="9">
          <cell r="B9">
            <v>2.0593471810088999E-8</v>
          </cell>
        </row>
        <row r="10">
          <cell r="B10">
            <v>1.0741839762611199E-8</v>
          </cell>
        </row>
        <row r="11">
          <cell r="B11">
            <v>2.3086053412462902E-8</v>
          </cell>
        </row>
        <row r="12">
          <cell r="B12">
            <v>1.7151335311572699E-8</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zana_etal_2012_Fig1e"/>
    </sheetNames>
    <sheetDataSet>
      <sheetData sheetId="0">
        <row r="2">
          <cell r="C2">
            <v>1.5473608098336945E-9</v>
          </cell>
        </row>
        <row r="3">
          <cell r="C3">
            <v>1.4750542299349222E-9</v>
          </cell>
        </row>
        <row r="4">
          <cell r="C4">
            <v>6.2183658712942778E-10</v>
          </cell>
        </row>
        <row r="5">
          <cell r="C5">
            <v>1.050855627862136E-9</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zana_etal_2012_Fig2e"/>
    </sheetNames>
    <sheetDataSet>
      <sheetData sheetId="0">
        <row r="2">
          <cell r="C2">
            <v>1.3561320754717001E-8</v>
          </cell>
        </row>
        <row r="3">
          <cell r="C3">
            <v>4.8480083857442502E-9</v>
          </cell>
        </row>
        <row r="4">
          <cell r="C4">
            <v>5.7651991614256105E-9</v>
          </cell>
        </row>
        <row r="5">
          <cell r="C5">
            <v>1.5723270440251749E-9</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ang_etal_2011_Fig2a"/>
    </sheetNames>
    <sheetDataSet>
      <sheetData sheetId="0">
        <row r="2">
          <cell r="B2">
            <v>8.2547373299819906</v>
          </cell>
        </row>
        <row r="3">
          <cell r="B3">
            <v>5.8940931097290497</v>
          </cell>
        </row>
        <row r="4">
          <cell r="B4">
            <v>8.1144446227070901</v>
          </cell>
        </row>
        <row r="5">
          <cell r="B5">
            <v>8.9488207925557504</v>
          </cell>
        </row>
        <row r="6">
          <cell r="B6">
            <v>6.9528222647955298</v>
          </cell>
        </row>
        <row r="7">
          <cell r="B7">
            <v>9.8583524965684397</v>
          </cell>
        </row>
        <row r="8">
          <cell r="B8">
            <v>8.42576251849475</v>
          </cell>
        </row>
        <row r="9">
          <cell r="B9">
            <v>6.0959409594095897</v>
          </cell>
        </row>
        <row r="10">
          <cell r="B10">
            <v>9.1118241617198699</v>
          </cell>
        </row>
        <row r="11">
          <cell r="B11">
            <v>9.2337727038597599</v>
          </cell>
        </row>
        <row r="12">
          <cell r="B12">
            <v>7.1260180632496803</v>
          </cell>
        </row>
        <row r="13">
          <cell r="B13">
            <v>10.1549815498154</v>
          </cell>
        </row>
        <row r="14">
          <cell r="B14">
            <v>5.9774319482325202</v>
          </cell>
        </row>
        <row r="15">
          <cell r="B15">
            <v>5.5309406290993799</v>
          </cell>
        </row>
        <row r="16">
          <cell r="B16">
            <v>6.5450394303274102</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u_etal_2011_Fig4"/>
    </sheetNames>
    <sheetDataSet>
      <sheetData sheetId="0">
        <row r="2">
          <cell r="C2">
            <v>1.2985074626865659E-9</v>
          </cell>
        </row>
        <row r="4">
          <cell r="C4">
            <v>1.276119402985076E-9</v>
          </cell>
        </row>
        <row r="6">
          <cell r="C6">
            <v>1.272388059701484E-9</v>
          </cell>
        </row>
        <row r="7">
          <cell r="C7">
            <v>2.54477611940298E-9</v>
          </cell>
        </row>
        <row r="9">
          <cell r="C9">
            <v>2.4141791044776099E-9</v>
          </cell>
        </row>
        <row r="11">
          <cell r="C11">
            <v>2.8059701492537239E-9</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u_etal_2011_Fig9a"/>
    </sheetNames>
    <sheetDataSet>
      <sheetData sheetId="0">
        <row r="3">
          <cell r="C3">
            <v>56.193939393939303</v>
          </cell>
        </row>
        <row r="5">
          <cell r="C5">
            <v>50.860606060606003</v>
          </cell>
        </row>
        <row r="7">
          <cell r="C7">
            <v>51.668686868686699</v>
          </cell>
        </row>
        <row r="9">
          <cell r="C9">
            <v>141.23636363636359</v>
          </cell>
        </row>
        <row r="11">
          <cell r="C11">
            <v>116.7999999999999</v>
          </cell>
        </row>
        <row r="13">
          <cell r="C13">
            <v>120.6787878787878</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rie_etal_2011_Fig7"/>
    </sheetNames>
    <sheetDataSet>
      <sheetData sheetId="0">
        <row r="2">
          <cell r="B2">
            <v>5.1116389548693497E-7</v>
          </cell>
        </row>
        <row r="3">
          <cell r="B3">
            <v>3.3254156769596198E-7</v>
          </cell>
        </row>
        <row r="4">
          <cell r="B4">
            <v>3.0213776722090199E-7</v>
          </cell>
        </row>
        <row r="5">
          <cell r="B5">
            <v>2.0902612826603301E-8</v>
          </cell>
        </row>
        <row r="6">
          <cell r="B6">
            <v>6.8408551068883604E-8</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ndeleur_etal_2009_Fig2"/>
    </sheetNames>
    <sheetDataSet>
      <sheetData sheetId="0">
        <row r="2">
          <cell r="B2">
            <v>6.4454732510287996E-10</v>
          </cell>
        </row>
        <row r="3">
          <cell r="B3">
            <v>1.3143004115226301E-9</v>
          </cell>
        </row>
        <row r="4">
          <cell r="B4">
            <v>5.14917695473251E-10</v>
          </cell>
        </row>
        <row r="5">
          <cell r="B5">
            <v>1.11985596707818E-9</v>
          </cell>
        </row>
        <row r="6">
          <cell r="B6">
            <v>1.26028806584362E-10</v>
          </cell>
        </row>
        <row r="7">
          <cell r="B7">
            <v>7.0216049382715996E-10</v>
          </cell>
        </row>
        <row r="8">
          <cell r="B8">
            <v>1.1882716049382699E-10</v>
          </cell>
        </row>
        <row r="9">
          <cell r="B9">
            <v>2.5565843621399098E-10</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iz-Lozano_etal_2009_Fig1b"/>
    </sheetNames>
    <sheetDataSet>
      <sheetData sheetId="0">
        <row r="2">
          <cell r="C2">
            <v>5.0935550935550834E-11</v>
          </cell>
        </row>
        <row r="3">
          <cell r="C3">
            <v>3.8721413721413614E-11</v>
          </cell>
        </row>
        <row r="4">
          <cell r="C4">
            <v>1.7125779625779609E-10</v>
          </cell>
        </row>
        <row r="5">
          <cell r="C5">
            <v>1.1564449064449056E-10</v>
          </cell>
        </row>
        <row r="6">
          <cell r="C6">
            <v>3.1964656964656943E-11</v>
          </cell>
        </row>
        <row r="7">
          <cell r="C7">
            <v>9.0956340956341097E-12</v>
          </cell>
        </row>
        <row r="8">
          <cell r="C8">
            <v>1.0057172557172555E-10</v>
          </cell>
        </row>
        <row r="9">
          <cell r="C9">
            <v>4.8596673596673607E-11</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ent_etal_2009_Fig5b"/>
    </sheetNames>
    <sheetDataSet>
      <sheetData sheetId="0">
        <row r="2">
          <cell r="B2">
            <v>3.1472081218274E-8</v>
          </cell>
        </row>
        <row r="3">
          <cell r="B3">
            <v>5.9898477157360307E-8</v>
          </cell>
        </row>
        <row r="4">
          <cell r="B4">
            <v>2.4873096446700498E-7</v>
          </cell>
        </row>
        <row r="5">
          <cell r="B5">
            <v>1.21827411167513E-8</v>
          </cell>
        </row>
        <row r="6">
          <cell r="B6">
            <v>1.62436548223351E-8</v>
          </cell>
        </row>
        <row r="7">
          <cell r="B7">
            <v>4.7715736040608901E-8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dama_etal_2021_Fig3c"/>
    </sheetNames>
    <sheetDataSet>
      <sheetData sheetId="0">
        <row r="2">
          <cell r="B2">
            <v>1.4282115869017599E-7</v>
          </cell>
        </row>
        <row r="3">
          <cell r="B3">
            <v>1.63979848866498E-7</v>
          </cell>
        </row>
        <row r="4">
          <cell r="B4">
            <v>9.6725440806045005E-8</v>
          </cell>
        </row>
        <row r="5">
          <cell r="B5">
            <v>1.63979848866498E-7</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ent_etal_2009_Fig5c"/>
    </sheetNames>
    <sheetDataSet>
      <sheetData sheetId="0">
        <row r="2">
          <cell r="B2">
            <v>4.21E-8</v>
          </cell>
        </row>
        <row r="3">
          <cell r="B3">
            <v>9.7100000000000003E-8</v>
          </cell>
        </row>
        <row r="4">
          <cell r="B4">
            <v>2.9200000000000002E-7</v>
          </cell>
        </row>
        <row r="5">
          <cell r="B5">
            <v>1.3524590163934501E-8</v>
          </cell>
        </row>
        <row r="6">
          <cell r="B6">
            <v>2.5819672131147399E-8</v>
          </cell>
        </row>
        <row r="7">
          <cell r="B7">
            <v>9.7131147540983494E-8</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i_etal_2010_Fig2c"/>
    </sheetNames>
    <sheetDataSet>
      <sheetData sheetId="0">
        <row r="2">
          <cell r="C2">
            <v>6.2663285665003397E-11</v>
          </cell>
        </row>
        <row r="3">
          <cell r="C3">
            <v>7.4608183916489293E-11</v>
          </cell>
        </row>
        <row r="4">
          <cell r="C4">
            <v>6.4768706055573098E-11</v>
          </cell>
        </row>
        <row r="5">
          <cell r="C5">
            <v>5.4767959200366997E-11</v>
          </cell>
        </row>
        <row r="6">
          <cell r="C6">
            <v>6.9330450235140793E-11</v>
          </cell>
        </row>
        <row r="7">
          <cell r="C7">
            <v>7.9506648789561093E-11</v>
          </cell>
        </row>
        <row r="8">
          <cell r="C8">
            <v>7.2664032520209505E-11</v>
          </cell>
        </row>
        <row r="9">
          <cell r="C9">
            <v>7.5797098577604897E-11</v>
          </cell>
        </row>
        <row r="10">
          <cell r="C10">
            <v>7.2664032520209505E-11</v>
          </cell>
        </row>
        <row r="11">
          <cell r="C11">
            <v>6.7387193340767394E-11</v>
          </cell>
        </row>
        <row r="12">
          <cell r="C12">
            <v>6.7295921814929196E-11</v>
          </cell>
        </row>
        <row r="13">
          <cell r="C13">
            <v>6.5615141955835899E-11</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i_etal_2010_Fig1a"/>
    </sheetNames>
    <sheetDataSet>
      <sheetData sheetId="0">
        <row r="2">
          <cell r="B2">
            <v>0.53125</v>
          </cell>
        </row>
        <row r="3">
          <cell r="B3">
            <v>0.70833333333333104</v>
          </cell>
        </row>
        <row r="4">
          <cell r="B4">
            <v>0.70833333333333104</v>
          </cell>
        </row>
        <row r="5">
          <cell r="B5">
            <v>0.437499999999998</v>
          </cell>
        </row>
        <row r="6">
          <cell r="B6">
            <v>0.70833333333333204</v>
          </cell>
        </row>
        <row r="7">
          <cell r="B7">
            <v>0.593749999999999</v>
          </cell>
        </row>
        <row r="8">
          <cell r="B8">
            <v>0.749999999999999</v>
          </cell>
        </row>
        <row r="9">
          <cell r="B9">
            <v>0.79166666666666696</v>
          </cell>
        </row>
        <row r="10">
          <cell r="B10">
            <v>0.91666666666666596</v>
          </cell>
        </row>
        <row r="11">
          <cell r="B11">
            <v>0.55208333333333204</v>
          </cell>
        </row>
        <row r="12">
          <cell r="B12">
            <v>0.64583333333333304</v>
          </cell>
        </row>
        <row r="13">
          <cell r="B13">
            <v>0.72916666666666596</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i_etal_2010_Fig1e"/>
    </sheetNames>
    <sheetDataSet>
      <sheetData sheetId="0">
        <row r="2">
          <cell r="C2">
            <v>2.6521769974284001E-2</v>
          </cell>
        </row>
        <row r="3">
          <cell r="C3">
            <v>2.7793901620238301E-2</v>
          </cell>
        </row>
        <row r="4">
          <cell r="C4">
            <v>2.36614347787533E-2</v>
          </cell>
        </row>
        <row r="5">
          <cell r="C5">
            <v>2.3247216204917698E-2</v>
          </cell>
        </row>
        <row r="6">
          <cell r="C6">
            <v>2.9551628472618104E-2</v>
          </cell>
        </row>
        <row r="7">
          <cell r="C7">
            <v>2.8951038143376597E-2</v>
          </cell>
        </row>
        <row r="8">
          <cell r="C8">
            <v>1.96948552910245E-2</v>
          </cell>
        </row>
        <row r="9">
          <cell r="C9">
            <v>2.10677105106475E-2</v>
          </cell>
        </row>
        <row r="10">
          <cell r="C10">
            <v>1.7930011247859E-2</v>
          </cell>
        </row>
        <row r="11">
          <cell r="C11">
            <v>2.11264292681691E-2</v>
          </cell>
        </row>
        <row r="12">
          <cell r="C12">
            <v>2.2264274946477702E-2</v>
          </cell>
        </row>
        <row r="13">
          <cell r="C13">
            <v>2.24591646714551E-2</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emens&amp;Zwiazek_2008_Fig3c"/>
    </sheetNames>
    <sheetDataSet>
      <sheetData sheetId="0">
        <row r="2">
          <cell r="C2">
            <v>2.0000000000000002E-11</v>
          </cell>
        </row>
        <row r="3">
          <cell r="C3">
            <v>3.1900000000000001E-11</v>
          </cell>
        </row>
        <row r="4">
          <cell r="C4">
            <v>2.1987577639751499E-11</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emens&amp;Zwiazek_2008_Fig3b"/>
    </sheetNames>
    <sheetDataSet>
      <sheetData sheetId="0">
        <row r="2">
          <cell r="B2">
            <v>5.4579439252336401</v>
          </cell>
        </row>
        <row r="3">
          <cell r="B3">
            <v>5.0467289719626196</v>
          </cell>
        </row>
        <row r="4">
          <cell r="B4">
            <v>7.9626168224299096</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hdieh_etal_2008_Fig2b"/>
    </sheetNames>
    <sheetDataSet>
      <sheetData sheetId="0">
        <row r="2">
          <cell r="C2">
            <v>2.13252E-9</v>
          </cell>
        </row>
        <row r="3">
          <cell r="C3">
            <v>2.0991099999999998E-9</v>
          </cell>
        </row>
        <row r="4">
          <cell r="C4">
            <v>2.0991099999999998E-9</v>
          </cell>
        </row>
        <row r="5">
          <cell r="C5">
            <v>2.0783300000000002E-9</v>
          </cell>
        </row>
        <row r="6">
          <cell r="C6">
            <v>1.3680600000000001E-10</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vo-Polanco_etal_2008_Fig4"/>
    </sheetNames>
    <sheetDataSet>
      <sheetData sheetId="0">
        <row r="2">
          <cell r="C2">
            <v>1.31171171171171E-9</v>
          </cell>
        </row>
        <row r="3">
          <cell r="C3">
            <v>5.0930930930930905E-10</v>
          </cell>
        </row>
        <row r="4">
          <cell r="C4">
            <v>6.1501501501501502E-10</v>
          </cell>
        </row>
        <row r="5">
          <cell r="C5">
            <v>7.0630630630630606E-10</v>
          </cell>
        </row>
        <row r="6">
          <cell r="C6">
            <v>5.9099099099099102E-10</v>
          </cell>
        </row>
        <row r="7">
          <cell r="C7">
            <v>2.4744744744744706E-10</v>
          </cell>
        </row>
        <row r="8">
          <cell r="C8">
            <v>4.5165165165165101E-10</v>
          </cell>
        </row>
        <row r="9">
          <cell r="C9">
            <v>4.6126126126126101E-10</v>
          </cell>
        </row>
        <row r="10">
          <cell r="C10">
            <v>5.6696696696696703E-10</v>
          </cell>
        </row>
        <row r="11">
          <cell r="C11">
            <v>6.4864864864864797E-10</v>
          </cell>
        </row>
        <row r="12">
          <cell r="C12">
            <v>1.0138138138138099E-9</v>
          </cell>
        </row>
        <row r="13">
          <cell r="C13">
            <v>7.9279279279279204E-10</v>
          </cell>
        </row>
        <row r="14">
          <cell r="C14">
            <v>3.3873873873873799E-10</v>
          </cell>
        </row>
        <row r="15">
          <cell r="C15">
            <v>2.2822822822822803E-10</v>
          </cell>
        </row>
        <row r="16">
          <cell r="C16">
            <v>3.6276276276276302E-10</v>
          </cell>
        </row>
        <row r="17">
          <cell r="C17">
            <v>6.1501501501501502E-10</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vo-Polanco_etal_2008_Fig1ab"/>
    </sheetNames>
    <sheetDataSet>
      <sheetData sheetId="0">
        <row r="2">
          <cell r="C2">
            <v>3.3980015262806518</v>
          </cell>
        </row>
        <row r="3">
          <cell r="C3">
            <v>2.4088016967126218</v>
          </cell>
        </row>
        <row r="4">
          <cell r="C4">
            <v>2.6691081430417984</v>
          </cell>
        </row>
        <row r="5">
          <cell r="C5">
            <v>2.623853811894159</v>
          </cell>
        </row>
        <row r="6">
          <cell r="C6">
            <v>2.6859440559440637</v>
          </cell>
        </row>
        <row r="7">
          <cell r="C7">
            <v>2.2062386721358433</v>
          </cell>
        </row>
        <row r="8">
          <cell r="C8">
            <v>2.4552059888443156</v>
          </cell>
        </row>
        <row r="9">
          <cell r="C9">
            <v>2.254982254982258</v>
          </cell>
        </row>
        <row r="10">
          <cell r="C10">
            <v>3.0077223260415558</v>
          </cell>
        </row>
        <row r="11">
          <cell r="C11">
            <v>2.5267379679144448</v>
          </cell>
        </row>
        <row r="12">
          <cell r="C12">
            <v>3.3622795115332536</v>
          </cell>
        </row>
        <row r="13">
          <cell r="C13">
            <v>2.8943835751653451</v>
          </cell>
        </row>
        <row r="14">
          <cell r="C14">
            <v>2.6103444643421581</v>
          </cell>
        </row>
        <row r="15">
          <cell r="C15">
            <v>2.3595269118973681</v>
          </cell>
        </row>
        <row r="16">
          <cell r="C16">
            <v>2.4600930565497534</v>
          </cell>
        </row>
        <row r="17">
          <cell r="C17">
            <v>2.4395016151361393</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ompson_etal_2007_Fig5"/>
    </sheetNames>
    <sheetDataSet>
      <sheetData sheetId="0">
        <row r="2">
          <cell r="C2">
            <v>5.8362884160756392E-9</v>
          </cell>
        </row>
        <row r="3">
          <cell r="C3">
            <v>1.019503546099289E-8</v>
          </cell>
        </row>
        <row r="4">
          <cell r="C4">
            <v>2.2754137115839224E-8</v>
          </cell>
        </row>
        <row r="5">
          <cell r="C5">
            <v>1.1155437352245861E-8</v>
          </cell>
        </row>
        <row r="6">
          <cell r="C6">
            <v>2.6152482269503553E-8</v>
          </cell>
        </row>
        <row r="7">
          <cell r="C7">
            <v>3.5091607565011671E-8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odama_etal_2021_Fig3b"/>
    </sheetNames>
    <sheetDataSet>
      <sheetData sheetId="0">
        <row r="2">
          <cell r="C2">
            <v>28.233830845771102</v>
          </cell>
        </row>
        <row r="3">
          <cell r="C3">
            <v>29.353233830845699</v>
          </cell>
        </row>
        <row r="4">
          <cell r="C4">
            <v>28.482587064676601</v>
          </cell>
        </row>
        <row r="5">
          <cell r="C5">
            <v>26.990049751243703</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ggiero&amp;Angelino_2007_Fig2"/>
    </sheetNames>
    <sheetDataSet>
      <sheetData sheetId="0">
        <row r="2">
          <cell r="A2">
            <v>93</v>
          </cell>
          <cell r="B2">
            <v>2.1087231352717999E-8</v>
          </cell>
        </row>
        <row r="3">
          <cell r="A3">
            <v>93</v>
          </cell>
          <cell r="B3">
            <v>1.45132743362831E-8</v>
          </cell>
        </row>
        <row r="4">
          <cell r="A4">
            <v>93</v>
          </cell>
          <cell r="B4">
            <v>1.4917825537294501E-8</v>
          </cell>
        </row>
        <row r="5">
          <cell r="A5">
            <v>93</v>
          </cell>
          <cell r="B5">
            <v>8.3438685208596699E-9</v>
          </cell>
        </row>
        <row r="6">
          <cell r="A6">
            <v>114</v>
          </cell>
          <cell r="B6">
            <v>3.4134007585335003E-8</v>
          </cell>
        </row>
        <row r="7">
          <cell r="A7">
            <v>114</v>
          </cell>
          <cell r="B7">
            <v>2.1795195954487901E-8</v>
          </cell>
        </row>
        <row r="8">
          <cell r="A8">
            <v>114</v>
          </cell>
          <cell r="B8">
            <v>1.08723135271807E-8</v>
          </cell>
        </row>
        <row r="9">
          <cell r="A9">
            <v>114</v>
          </cell>
          <cell r="B9">
            <v>1.05689001264222E-8</v>
          </cell>
        </row>
        <row r="10">
          <cell r="A10">
            <v>107</v>
          </cell>
          <cell r="B10">
            <v>1.40573318632855E-8</v>
          </cell>
        </row>
        <row r="11">
          <cell r="A11">
            <v>107</v>
          </cell>
          <cell r="B11">
            <v>7.8280044101433192E-9</v>
          </cell>
        </row>
        <row r="12">
          <cell r="A12">
            <v>107</v>
          </cell>
          <cell r="B12">
            <v>4.0242557883131099E-9</v>
          </cell>
        </row>
        <row r="13">
          <cell r="A13">
            <v>107</v>
          </cell>
          <cell r="B13">
            <v>2.5358324145534701E-9</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ggiero&amp;Angelino_2007_Fig1"/>
    </sheetNames>
    <sheetDataSet>
      <sheetData sheetId="0">
        <row r="2">
          <cell r="B2">
            <v>2326.39714625445</v>
          </cell>
        </row>
        <row r="3">
          <cell r="B3">
            <v>1885.2556480380499</v>
          </cell>
        </row>
        <row r="4">
          <cell r="B4">
            <v>2800.8323424494602</v>
          </cell>
        </row>
        <row r="5">
          <cell r="B5">
            <v>2243.1629013079601</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audette_etal_2007_Fig2"/>
    </sheetNames>
    <sheetDataSet>
      <sheetData sheetId="0">
        <row r="2">
          <cell r="C2">
            <v>1.2784302759134966E-8</v>
          </cell>
        </row>
        <row r="3">
          <cell r="C3">
            <v>6.2981605766840494E-9</v>
          </cell>
        </row>
        <row r="4">
          <cell r="C4">
            <v>6.7253914988814166E-9</v>
          </cell>
        </row>
        <row r="5">
          <cell r="C5">
            <v>8.3566368381804502E-9</v>
          </cell>
        </row>
      </sheetData>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eaudette_etal_2007_Fig3"/>
    </sheetNames>
    <sheetDataSet>
      <sheetData sheetId="0">
        <row r="2">
          <cell r="C2">
            <v>1.1748844375963016E-8</v>
          </cell>
        </row>
        <row r="4">
          <cell r="C4">
            <v>1.4702105803800717E-8</v>
          </cell>
        </row>
        <row r="5">
          <cell r="C5">
            <v>2.8826399589111333E-8</v>
          </cell>
        </row>
        <row r="6">
          <cell r="C6">
            <v>6.8695428864920334E-9</v>
          </cell>
        </row>
      </sheetData>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_eatl_2006_Fig1b"/>
    </sheetNames>
    <sheetDataSet>
      <sheetData sheetId="0">
        <row r="2">
          <cell r="B2">
            <v>4.1393548387096701E-7</v>
          </cell>
        </row>
        <row r="3">
          <cell r="B3">
            <v>3.3961290322580602E-7</v>
          </cell>
        </row>
        <row r="4">
          <cell r="B4">
            <v>1.02193548387096E-7</v>
          </cell>
        </row>
        <row r="5">
          <cell r="B5">
            <v>6.4412903225806401E-7</v>
          </cell>
        </row>
        <row r="6">
          <cell r="B6">
            <v>4.4283870967741898E-7</v>
          </cell>
        </row>
        <row r="7">
          <cell r="B7">
            <v>2.36387096774193E-7</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oca_etal_2006_Fig3b"/>
    </sheetNames>
    <sheetDataSet>
      <sheetData sheetId="0">
        <row r="2">
          <cell r="C2">
            <v>5.5000000000000004E-9</v>
          </cell>
        </row>
        <row r="3">
          <cell r="C3">
            <v>2.9444444444444445E-9</v>
          </cell>
        </row>
        <row r="4">
          <cell r="C4">
            <v>7.7520802741066938E-9</v>
          </cell>
        </row>
        <row r="5">
          <cell r="C5">
            <v>3.2550171316691107E-9</v>
          </cell>
        </row>
        <row r="6">
          <cell r="C6">
            <v>7.4094468918257223E-9</v>
          </cell>
        </row>
        <row r="7">
          <cell r="C7">
            <v>1.7302985805188416E-8</v>
          </cell>
        </row>
      </sheetData>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imidzu_etal_2005_Fig1a"/>
    </sheetNames>
    <sheetDataSet>
      <sheetData sheetId="0">
        <row r="2">
          <cell r="B2">
            <v>8.1317494600431896E-8</v>
          </cell>
        </row>
        <row r="3">
          <cell r="B3">
            <v>6.7386609071274306E-8</v>
          </cell>
        </row>
        <row r="4">
          <cell r="B4">
            <v>5.8963282937365001E-8</v>
          </cell>
        </row>
        <row r="5">
          <cell r="B5">
            <v>3.8552915766738602E-8</v>
          </cell>
        </row>
        <row r="6">
          <cell r="B6">
            <v>1.20518358531317E-7</v>
          </cell>
        </row>
        <row r="7">
          <cell r="B7">
            <v>6.6090712742980502E-8</v>
          </cell>
        </row>
        <row r="8">
          <cell r="B8">
            <v>8.8120950323973998E-8</v>
          </cell>
        </row>
        <row r="9">
          <cell r="B9">
            <v>4.2764578833693201E-8</v>
          </cell>
        </row>
        <row r="10">
          <cell r="B10">
            <v>1.1403887688984799E-7</v>
          </cell>
        </row>
        <row r="11">
          <cell r="B11">
            <v>4.7300215982721298E-8</v>
          </cell>
        </row>
        <row r="12">
          <cell r="B12">
            <v>1.2570194384449201E-7</v>
          </cell>
        </row>
        <row r="13">
          <cell r="B13">
            <v>1.9762419006479401E-8</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imidzu_etal_2005_Fig1d"/>
    </sheetNames>
    <sheetDataSet>
      <sheetData sheetId="0">
        <row r="2">
          <cell r="B2">
            <v>67.075664621676907</v>
          </cell>
        </row>
        <row r="3">
          <cell r="B3">
            <v>37.0143149284252</v>
          </cell>
        </row>
        <row r="4">
          <cell r="B4">
            <v>69.529652351738207</v>
          </cell>
        </row>
        <row r="5">
          <cell r="B5">
            <v>55.828220858895499</v>
          </cell>
        </row>
        <row r="6">
          <cell r="B6">
            <v>40.899795501022503</v>
          </cell>
        </row>
        <row r="7">
          <cell r="B7">
            <v>30.2658486707567</v>
          </cell>
        </row>
        <row r="8">
          <cell r="B8">
            <v>58.895705521472301</v>
          </cell>
        </row>
        <row r="9">
          <cell r="B9">
            <v>44.580777096114403</v>
          </cell>
        </row>
        <row r="10">
          <cell r="B10">
            <v>71.574642126789399</v>
          </cell>
        </row>
        <row r="11">
          <cell r="B11">
            <v>43.762781186094003</v>
          </cell>
        </row>
        <row r="12">
          <cell r="B12">
            <v>24.744376278118501</v>
          </cell>
        </row>
        <row r="13">
          <cell r="B13">
            <v>37.8323108384458</v>
          </cell>
        </row>
      </sheetData>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janovic_etal_2005_Fig1"/>
    </sheetNames>
    <sheetDataSet>
      <sheetData sheetId="0">
        <row r="2">
          <cell r="C2">
            <v>5.4821428571428491E-6</v>
          </cell>
        </row>
        <row r="3">
          <cell r="C3">
            <v>3.4464285714285696E-6</v>
          </cell>
        </row>
      </sheetData>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icu&amp;Zwiazek_2004_Fig4"/>
    </sheetNames>
    <sheetDataSet>
      <sheetData sheetId="0">
        <row r="2">
          <cell r="B2">
            <v>5.7857142857142802E-10</v>
          </cell>
        </row>
        <row r="3">
          <cell r="B3">
            <v>5.7272727272727195E-10</v>
          </cell>
        </row>
        <row r="4">
          <cell r="B4">
            <v>7.2662337662337603E-10</v>
          </cell>
        </row>
        <row r="5">
          <cell r="B5">
            <v>9.9350649350649194E-11</v>
          </cell>
        </row>
        <row r="6">
          <cell r="B6">
            <v>6.3116883116883098E-10</v>
          </cell>
        </row>
        <row r="7">
          <cell r="B7">
            <v>7.4025974025973799E-11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driguez-Dominguez&amp;Brodribb_20"/>
    </sheetNames>
    <sheetDataSet>
      <sheetData sheetId="0">
        <row r="2">
          <cell r="C2">
            <v>2.2604651162790657E-8</v>
          </cell>
        </row>
        <row r="3">
          <cell r="C3">
            <v>2.1348837209302198E-8</v>
          </cell>
        </row>
        <row r="4">
          <cell r="C4">
            <v>2.3232558139534796E-8</v>
          </cell>
        </row>
      </sheetData>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emens&amp;Zwiazek_2004_Fig1"/>
    </sheetNames>
    <sheetDataSet>
      <sheetData sheetId="0">
        <row r="2">
          <cell r="B2">
            <v>7.0292887029288606E-8</v>
          </cell>
        </row>
        <row r="4">
          <cell r="B4">
            <v>3.1380753138075303E-8</v>
          </cell>
        </row>
      </sheetData>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lkonian_etal_2004_Fig1d"/>
    </sheetNames>
    <sheetDataSet>
      <sheetData sheetId="0">
        <row r="2">
          <cell r="B2">
            <v>1.0136518771331E-9</v>
          </cell>
        </row>
        <row r="3">
          <cell r="B3">
            <v>1.0085324232081901E-9</v>
          </cell>
        </row>
        <row r="4">
          <cell r="B4">
            <v>9.3686006825938504E-10</v>
          </cell>
        </row>
        <row r="5">
          <cell r="B5">
            <v>2.15017064846418E-10</v>
          </cell>
        </row>
        <row r="6">
          <cell r="B6">
            <v>9.0614334470989798E-10</v>
          </cell>
        </row>
        <row r="7">
          <cell r="B7">
            <v>3.9931740614334501E-10</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lam&amp;Macdonald_2004_Fig2a"/>
    </sheetNames>
    <sheetDataSet>
      <sheetData sheetId="0">
        <row r="2">
          <cell r="C2">
            <v>8.4837905236907698E-9</v>
          </cell>
        </row>
        <row r="3">
          <cell r="C3">
            <v>5.9700748129675803E-9</v>
          </cell>
        </row>
        <row r="4">
          <cell r="C4">
            <v>7.9900249376558609E-9</v>
          </cell>
        </row>
        <row r="5">
          <cell r="C5">
            <v>3.7705735660847802E-9</v>
          </cell>
        </row>
      </sheetData>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ostol_etal_2004_Fig1b"/>
    </sheetNames>
    <sheetDataSet>
      <sheetData sheetId="0">
        <row r="2">
          <cell r="B2">
            <v>2.32867132867132E-9</v>
          </cell>
        </row>
        <row r="3">
          <cell r="B3">
            <v>5.9790209790209597E-10</v>
          </cell>
        </row>
        <row r="4">
          <cell r="B4">
            <v>5.5594405594405598E-10</v>
          </cell>
        </row>
        <row r="5">
          <cell r="B5">
            <v>2.6223776223776201E-10</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2003_Fig4"/>
    </sheetNames>
    <sheetDataSet>
      <sheetData sheetId="0">
        <row r="2">
          <cell r="C2">
            <v>5.8688560737034604E-8</v>
          </cell>
        </row>
        <row r="3">
          <cell r="C3">
            <v>1.7187793440819403E-8</v>
          </cell>
        </row>
        <row r="4">
          <cell r="C4">
            <v>5.5385518580854705E-8</v>
          </cell>
        </row>
        <row r="5">
          <cell r="C5">
            <v>1.7187793440819403E-8</v>
          </cell>
        </row>
        <row r="6">
          <cell r="C6">
            <v>9.3015100387466607E-9</v>
          </cell>
        </row>
        <row r="7">
          <cell r="C7">
            <v>5.4747561468919799E-8</v>
          </cell>
        </row>
        <row r="8">
          <cell r="C8">
            <v>1.02048125448968E-8</v>
          </cell>
        </row>
        <row r="9">
          <cell r="C9">
            <v>5.5385518580854705E-8</v>
          </cell>
        </row>
        <row r="10">
          <cell r="C10">
            <v>1.44460271809601E-8</v>
          </cell>
        </row>
        <row r="11">
          <cell r="C11">
            <v>1.9076695370577902E-8</v>
          </cell>
        </row>
        <row r="12">
          <cell r="C12">
            <v>7.1464120013379808E-8</v>
          </cell>
        </row>
        <row r="13">
          <cell r="C13">
            <v>1.6220449795076998E-8</v>
          </cell>
        </row>
        <row r="14">
          <cell r="C14">
            <v>2.5191722381740801E-8</v>
          </cell>
        </row>
        <row r="15">
          <cell r="C15">
            <v>1.00872685928713E-8</v>
          </cell>
        </row>
        <row r="16">
          <cell r="C16">
            <v>2.19220166439276E-8</v>
          </cell>
        </row>
        <row r="17">
          <cell r="C17">
            <v>6.9022980808945901E-8</v>
          </cell>
        </row>
        <row r="18">
          <cell r="C18">
            <v>1.7187793440819403E-8</v>
          </cell>
        </row>
        <row r="19">
          <cell r="C19">
            <v>2.4331199630998602E-8</v>
          </cell>
        </row>
        <row r="20">
          <cell r="C20">
            <v>1.4279630873487701E-8</v>
          </cell>
        </row>
        <row r="21">
          <cell r="C21">
            <v>1.1458281746197701E-8</v>
          </cell>
        </row>
        <row r="23">
          <cell r="C23">
            <v>1.6510104620782698E-8</v>
          </cell>
        </row>
        <row r="24">
          <cell r="C24">
            <v>3.57420612475039E-8</v>
          </cell>
        </row>
        <row r="25">
          <cell r="C25">
            <v>1.2969643012636899E-8</v>
          </cell>
        </row>
        <row r="26">
          <cell r="C26">
            <v>8.7441797690641017E-9</v>
          </cell>
        </row>
      </sheetData>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arro_etal_2003_Fig4c"/>
    </sheetNames>
    <sheetDataSet>
      <sheetData sheetId="0">
        <row r="2">
          <cell r="C2">
            <v>1.5593491696093057E-10</v>
          </cell>
        </row>
        <row r="3">
          <cell r="C3">
            <v>8.5137757694971114E-11</v>
          </cell>
        </row>
        <row r="4">
          <cell r="C4">
            <v>6.4664354686236667E-11</v>
          </cell>
        </row>
        <row r="5">
          <cell r="C5">
            <v>3.9411629946202784E-11</v>
          </cell>
        </row>
        <row r="6">
          <cell r="C6">
            <v>1.5593360034337361E-10</v>
          </cell>
        </row>
        <row r="7">
          <cell r="C7">
            <v>9.5419224196270556E-11</v>
          </cell>
        </row>
        <row r="8">
          <cell r="C8">
            <v>7.2782618541661393E-11</v>
          </cell>
        </row>
        <row r="9">
          <cell r="C9">
            <v>5.7811360302927223E-11</v>
          </cell>
        </row>
        <row r="10">
          <cell r="C10">
            <v>4.3921045078351663E-11</v>
          </cell>
        </row>
      </sheetData>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2b"/>
    </sheetNames>
    <sheetDataSet>
      <sheetData sheetId="0">
        <row r="2">
          <cell r="C2">
            <v>1.5662650602409601E-9</v>
          </cell>
        </row>
        <row r="3">
          <cell r="C3">
            <v>2.6265060240963803E-9</v>
          </cell>
        </row>
        <row r="4">
          <cell r="C4">
            <v>3.1566265060240903E-9</v>
          </cell>
        </row>
        <row r="5">
          <cell r="C5">
            <v>3.0843373493975901E-9</v>
          </cell>
        </row>
        <row r="6">
          <cell r="C6">
            <v>1.8353413654618401E-9</v>
          </cell>
        </row>
        <row r="7">
          <cell r="C7">
            <v>2.0763052208835303E-9</v>
          </cell>
        </row>
        <row r="8">
          <cell r="C8">
            <v>4.2449799196787098E-9</v>
          </cell>
        </row>
        <row r="9">
          <cell r="C9">
            <v>2.0963855421686703E-9</v>
          </cell>
        </row>
        <row r="10">
          <cell r="C10">
            <v>1.65461847389558E-9</v>
          </cell>
        </row>
        <row r="11">
          <cell r="C11">
            <v>2.13654618473895E-9</v>
          </cell>
        </row>
        <row r="12">
          <cell r="C12">
            <v>5.7710843373493905E-9</v>
          </cell>
        </row>
        <row r="13">
          <cell r="C13">
            <v>4.4156626506024105E-9</v>
          </cell>
        </row>
        <row r="14">
          <cell r="C14">
            <v>2.3975903614457803E-9</v>
          </cell>
        </row>
        <row r="15">
          <cell r="C15">
            <v>2.15662650602409E-9</v>
          </cell>
        </row>
        <row r="16">
          <cell r="C16">
            <v>4.3052208835341299E-9</v>
          </cell>
        </row>
        <row r="17">
          <cell r="C17">
            <v>2.3072289156626502E-9</v>
          </cell>
        </row>
        <row r="18">
          <cell r="C18">
            <v>3.3413654618473802E-9</v>
          </cell>
        </row>
        <row r="19">
          <cell r="C19">
            <v>2.7590361445783101E-9</v>
          </cell>
        </row>
        <row r="20">
          <cell r="C20">
            <v>6.01204819277108E-9</v>
          </cell>
        </row>
        <row r="21">
          <cell r="C21">
            <v>3.9638554216867402E-9</v>
          </cell>
        </row>
      </sheetData>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2a"/>
    </sheetNames>
    <sheetDataSet>
      <sheetData sheetId="0">
        <row r="2">
          <cell r="C2">
            <v>4.0015294312169307E-8</v>
          </cell>
        </row>
        <row r="3">
          <cell r="C3">
            <v>5.9635416666666603E-8</v>
          </cell>
        </row>
        <row r="4">
          <cell r="C4">
            <v>6.0152116402116298E-8</v>
          </cell>
        </row>
        <row r="5">
          <cell r="C5">
            <v>6.9969411375661301E-8</v>
          </cell>
        </row>
        <row r="6">
          <cell r="C6">
            <v>8.1336805555555506E-8</v>
          </cell>
        </row>
        <row r="7">
          <cell r="C7">
            <v>8.0303406084656011E-8</v>
          </cell>
        </row>
        <row r="8">
          <cell r="C8">
            <v>8.9604001322751307E-8</v>
          </cell>
        </row>
        <row r="9">
          <cell r="C9">
            <v>5.2401620370370304E-8</v>
          </cell>
        </row>
        <row r="10">
          <cell r="C10">
            <v>5.4468419312169307E-8</v>
          </cell>
        </row>
        <row r="11">
          <cell r="C11">
            <v>5.8602017195767102E-8</v>
          </cell>
        </row>
        <row r="12">
          <cell r="C12">
            <v>1.1828083664021102E-7</v>
          </cell>
        </row>
        <row r="13">
          <cell r="C13">
            <v>6.7385912698412696E-8</v>
          </cell>
        </row>
        <row r="14">
          <cell r="C14">
            <v>7.2036210317460304E-8</v>
          </cell>
        </row>
        <row r="15">
          <cell r="C15">
            <v>5.9118716931216909E-8</v>
          </cell>
        </row>
        <row r="16">
          <cell r="C16">
            <v>9.8904596560846509E-8</v>
          </cell>
        </row>
        <row r="17">
          <cell r="C17">
            <v>5.6535218253968204E-8</v>
          </cell>
        </row>
        <row r="18">
          <cell r="C18">
            <v>1.2422288359788301E-7</v>
          </cell>
        </row>
        <row r="19">
          <cell r="C19">
            <v>8.3661954365079304E-8</v>
          </cell>
        </row>
        <row r="20">
          <cell r="C20">
            <v>1.3817377645502601E-7</v>
          </cell>
        </row>
        <row r="21">
          <cell r="C21">
            <v>8.3920304232804204E-8</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2c"/>
    </sheetNames>
    <sheetDataSet>
      <sheetData sheetId="0">
        <row r="2">
          <cell r="C2">
            <v>5.9195402298850605E-8</v>
          </cell>
        </row>
        <row r="3">
          <cell r="C3">
            <v>5.6321839080459697E-8</v>
          </cell>
        </row>
        <row r="4">
          <cell r="C4">
            <v>3.1034482758620601E-8</v>
          </cell>
        </row>
        <row r="5">
          <cell r="C5">
            <v>3.7931034482758601E-8</v>
          </cell>
        </row>
        <row r="6">
          <cell r="C6">
            <v>6.6666666666666602E-8</v>
          </cell>
        </row>
        <row r="7">
          <cell r="C7">
            <v>5.6321839080459697E-8</v>
          </cell>
        </row>
        <row r="8">
          <cell r="C8">
            <v>3.0459770114942506E-8</v>
          </cell>
        </row>
        <row r="9">
          <cell r="C9">
            <v>3.7068965517241402E-8</v>
          </cell>
        </row>
        <row r="10">
          <cell r="C10">
            <v>1.2557471264367802E-7</v>
          </cell>
        </row>
        <row r="11">
          <cell r="C11">
            <v>1.4770114942528703E-7</v>
          </cell>
        </row>
        <row r="12">
          <cell r="C12">
            <v>1.1925287356321802E-7</v>
          </cell>
        </row>
        <row r="13">
          <cell r="C13">
            <v>1.4482758620689601E-7</v>
          </cell>
        </row>
        <row r="14">
          <cell r="C14">
            <v>9.3103448275862002E-8</v>
          </cell>
        </row>
        <row r="15">
          <cell r="C15">
            <v>8.7356321839080398E-8</v>
          </cell>
        </row>
        <row r="16">
          <cell r="C16">
            <v>6.954022988505751E-8</v>
          </cell>
        </row>
        <row r="17">
          <cell r="C17">
            <v>4.9999999999999905E-8</v>
          </cell>
        </row>
        <row r="18">
          <cell r="C18">
            <v>1.8534482758620602E-7</v>
          </cell>
        </row>
        <row r="19">
          <cell r="C19">
            <v>1.6839080459770101E-7</v>
          </cell>
        </row>
        <row r="20">
          <cell r="C20">
            <v>9.6551724137931012E-8</v>
          </cell>
        </row>
        <row r="21">
          <cell r="C21">
            <v>9.4827586206896599E-8</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1"/>
    </sheetNames>
    <sheetDataSet>
      <sheetData sheetId="0">
        <row r="2">
          <cell r="B2">
            <v>443.33333333333297</v>
          </cell>
        </row>
        <row r="3">
          <cell r="B3">
            <v>128.242122719734</v>
          </cell>
        </row>
        <row r="4">
          <cell r="B4">
            <v>244.328358208955</v>
          </cell>
        </row>
        <row r="5">
          <cell r="B5">
            <v>117.877280265339</v>
          </cell>
        </row>
        <row r="6">
          <cell r="B6">
            <v>229.81757877280199</v>
          </cell>
        </row>
        <row r="7">
          <cell r="B7">
            <v>78.490878938640094</v>
          </cell>
        </row>
        <row r="8">
          <cell r="B8">
            <v>47.396351575455903</v>
          </cell>
        </row>
        <row r="9">
          <cell r="B9">
            <v>53.615257048092801</v>
          </cell>
        </row>
        <row r="10">
          <cell r="B10">
            <v>544.90878938640105</v>
          </cell>
        </row>
        <row r="11">
          <cell r="B11">
            <v>422.603648424543</v>
          </cell>
        </row>
        <row r="12">
          <cell r="B12">
            <v>446.44278606965099</v>
          </cell>
        </row>
        <row r="13">
          <cell r="B13">
            <v>295.11608623548898</v>
          </cell>
        </row>
        <row r="14">
          <cell r="B14">
            <v>357.30514096185698</v>
          </cell>
        </row>
        <row r="15">
          <cell r="B15">
            <v>317.91873963515701</v>
          </cell>
        </row>
        <row r="16">
          <cell r="B16">
            <v>275.42288557213902</v>
          </cell>
        </row>
        <row r="17">
          <cell r="B17">
            <v>296.15257048092798</v>
          </cell>
        </row>
        <row r="18">
          <cell r="B18">
            <v>325.17412935323301</v>
          </cell>
        </row>
        <row r="19">
          <cell r="B19">
            <v>236.036484245439</v>
          </cell>
        </row>
        <row r="20">
          <cell r="B20">
            <v>198.72305140961799</v>
          </cell>
        </row>
        <row r="21">
          <cell r="B21">
            <v>180.066334991708</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u_etal_2020_Fig3d-f"/>
    </sheetNames>
    <sheetDataSet>
      <sheetData sheetId="0">
        <row r="2">
          <cell r="C2">
            <v>2.1731123388581944E-8</v>
          </cell>
        </row>
        <row r="3">
          <cell r="C3">
            <v>2.8545119705340557E-9</v>
          </cell>
        </row>
        <row r="8">
          <cell r="C8">
            <v>1.5837937384898695E-8</v>
          </cell>
        </row>
        <row r="9">
          <cell r="C9">
            <v>7.5506445672191385E-9</v>
          </cell>
        </row>
        <row r="14">
          <cell r="C14">
            <v>8.1031307550644441E-9</v>
          </cell>
        </row>
        <row r="15">
          <cell r="C15">
            <v>7.1823204419889169E-9</v>
          </cell>
        </row>
      </sheetData>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yllo_etal_2003_Fig1b"/>
    </sheetNames>
    <sheetDataSet>
      <sheetData sheetId="0">
        <row r="2">
          <cell r="B2">
            <v>1.12788259958071</v>
          </cell>
        </row>
        <row r="3">
          <cell r="B3">
            <v>0.30188679245283001</v>
          </cell>
        </row>
        <row r="4">
          <cell r="B4">
            <v>0.46960167714884599</v>
          </cell>
        </row>
        <row r="5">
          <cell r="B5">
            <v>0.26834381551362602</v>
          </cell>
        </row>
        <row r="6">
          <cell r="B6">
            <v>0.94339622641509402</v>
          </cell>
        </row>
        <row r="7">
          <cell r="B7">
            <v>0.23899371069182401</v>
          </cell>
        </row>
        <row r="8">
          <cell r="B8">
            <v>0.10482180293501001</v>
          </cell>
        </row>
        <row r="9">
          <cell r="B9">
            <v>0.12997903563941299</v>
          </cell>
        </row>
        <row r="10">
          <cell r="B10">
            <v>1.7945492662473701</v>
          </cell>
        </row>
        <row r="11">
          <cell r="B11">
            <v>1.29979035639413</v>
          </cell>
        </row>
        <row r="12">
          <cell r="B12">
            <v>0.98113207547169801</v>
          </cell>
        </row>
        <row r="13">
          <cell r="B13">
            <v>0.82180293501048196</v>
          </cell>
        </row>
        <row r="14">
          <cell r="B14">
            <v>1.0817610062892999</v>
          </cell>
        </row>
        <row r="15">
          <cell r="B15">
            <v>0.88050314465408797</v>
          </cell>
        </row>
        <row r="16">
          <cell r="B16">
            <v>0.62893081761006198</v>
          </cell>
        </row>
        <row r="17">
          <cell r="B17">
            <v>0.70440251572326995</v>
          </cell>
        </row>
        <row r="18">
          <cell r="B18">
            <v>1.1572327044025099</v>
          </cell>
        </row>
        <row r="19">
          <cell r="B19">
            <v>0.75052410901467503</v>
          </cell>
        </row>
        <row r="20">
          <cell r="B20">
            <v>0.44863731656184402</v>
          </cell>
        </row>
        <row r="21">
          <cell r="B21">
            <v>0.40251572327044</v>
          </cell>
        </row>
      </sheetData>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ree_etal_2002_Fig5c"/>
    </sheetNames>
    <sheetDataSet>
      <sheetData sheetId="0">
        <row r="2">
          <cell r="B2">
            <v>5.5241779497098502E-8</v>
          </cell>
        </row>
        <row r="3">
          <cell r="B3">
            <v>5.46228239845261E-8</v>
          </cell>
        </row>
        <row r="4">
          <cell r="B4">
            <v>2.5222437137330699E-8</v>
          </cell>
        </row>
        <row r="5">
          <cell r="B5">
            <v>2.39845261121856E-8</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A2">
            <v>2.4329896907216402E-9</v>
          </cell>
        </row>
        <row r="3">
          <cell r="A3">
            <v>1.4845360824742201E-9</v>
          </cell>
        </row>
        <row r="4">
          <cell r="A4">
            <v>8.4123711340206105E-9</v>
          </cell>
        </row>
        <row r="5">
          <cell r="A5">
            <v>6.1855670103092703E-9</v>
          </cell>
        </row>
      </sheetData>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hsin&amp;Zwiazek_2002_Fig5"/>
    </sheetNames>
    <sheetDataSet>
      <sheetData sheetId="0">
        <row r="2">
          <cell r="C2">
            <v>5.5587628865979304E-9</v>
          </cell>
        </row>
        <row r="3">
          <cell r="C3">
            <v>4.5030927835051505E-9</v>
          </cell>
        </row>
        <row r="4">
          <cell r="C4">
            <v>2.6721649484536002E-9</v>
          </cell>
        </row>
        <row r="5">
          <cell r="C5">
            <v>1.0391752577319501E-9</v>
          </cell>
        </row>
      </sheetData>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hsin&amp;Zwiazek_2002_Fig4"/>
    </sheetNames>
    <sheetDataSet>
      <sheetData sheetId="0">
        <row r="2">
          <cell r="C2">
            <v>6.2222222222222194E-7</v>
          </cell>
        </row>
        <row r="3">
          <cell r="C3">
            <v>7.4188034188034103E-7</v>
          </cell>
        </row>
        <row r="4">
          <cell r="C4">
            <v>9.3333333333333301E-7</v>
          </cell>
        </row>
        <row r="5">
          <cell r="C5">
            <v>1.32649572649572E-6</v>
          </cell>
        </row>
        <row r="6">
          <cell r="C6">
            <v>1.43247863247863E-6</v>
          </cell>
        </row>
        <row r="7">
          <cell r="C7">
            <v>2.0170940170940099E-7</v>
          </cell>
        </row>
        <row r="8">
          <cell r="C8">
            <v>2.32478632478632E-7</v>
          </cell>
        </row>
        <row r="9">
          <cell r="C9">
            <v>3.4871794871794797E-7</v>
          </cell>
        </row>
        <row r="10">
          <cell r="C10">
            <v>5.1282051282051199E-7</v>
          </cell>
        </row>
        <row r="11">
          <cell r="C11">
            <v>5.4017094017094E-7</v>
          </cell>
        </row>
      </sheetData>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A2">
            <v>4.30534351145038E-10</v>
          </cell>
        </row>
        <row r="3">
          <cell r="A3">
            <v>1.2480916030534301E-10</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6a"/>
    </sheetNames>
    <sheetDataSet>
      <sheetData sheetId="0">
        <row r="10">
          <cell r="D10">
            <v>1.43472280937607</v>
          </cell>
          <cell r="E10">
            <v>2.0520612491267881E-9</v>
          </cell>
        </row>
        <row r="11">
          <cell r="D11">
            <v>4.7348278873657366</v>
          </cell>
          <cell r="E11">
            <v>3.5759065018945584E-9</v>
          </cell>
        </row>
        <row r="12">
          <cell r="D12">
            <v>11.051588593415399</v>
          </cell>
          <cell r="E12">
            <v>5.2129851743338201E-9</v>
          </cell>
        </row>
      </sheetData>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6b"/>
    </sheetNames>
    <sheetDataSet>
      <sheetData sheetId="0">
        <row r="10">
          <cell r="E10">
            <v>1.06793595434368E-2</v>
          </cell>
        </row>
        <row r="11">
          <cell r="E11">
            <v>1.5638142041851519E-2</v>
          </cell>
        </row>
        <row r="12">
          <cell r="E12">
            <v>2.1835256816740499E-2</v>
          </cell>
        </row>
      </sheetData>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se_etal_2001_Fig3b"/>
    </sheetNames>
    <sheetDataSet>
      <sheetData sheetId="0">
        <row r="2">
          <cell r="B2">
            <v>1.08487084870848E-8</v>
          </cell>
        </row>
        <row r="3">
          <cell r="B3">
            <v>3.7084870848708399E-9</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oca_etal_2001_Fig2"/>
    </sheetNames>
    <sheetDataSet>
      <sheetData sheetId="0">
        <row r="2">
          <cell r="C2">
            <v>1.1375414593698167E-8</v>
          </cell>
        </row>
        <row r="3">
          <cell r="C3">
            <v>1.3370646766169139E-8</v>
          </cell>
        </row>
        <row r="4">
          <cell r="C4">
            <v>1.9434079601990056E-9</v>
          </cell>
        </row>
        <row r="5">
          <cell r="C5">
            <v>3.0058043117744443E-9</v>
          </cell>
        </row>
        <row r="6">
          <cell r="C6">
            <v>1.4251658374792695E-9</v>
          </cell>
        </row>
        <row r="7">
          <cell r="C7">
            <v>8.3696102819236946E-9</v>
          </cell>
        </row>
        <row r="8">
          <cell r="C8">
            <v>1.8138474295190723E-9</v>
          </cell>
        </row>
        <row r="9">
          <cell r="C9">
            <v>8.3436981757877219E-9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B082-C322-4A78-B56F-A3AAFBFAC7A5}">
  <dimension ref="A1:AJ1068"/>
  <sheetViews>
    <sheetView tabSelected="1" topLeftCell="S1" zoomScale="85" zoomScaleNormal="85" workbookViewId="0">
      <pane ySplit="1" topLeftCell="A2" activePane="bottomLeft" state="frozen"/>
      <selection activeCell="L1" sqref="L1"/>
      <selection pane="bottomLeft" activeCell="W1" sqref="W1"/>
    </sheetView>
  </sheetViews>
  <sheetFormatPr defaultRowHeight="15" x14ac:dyDescent="0.25"/>
  <cols>
    <col min="1" max="1" width="52.42578125" bestFit="1" customWidth="1"/>
    <col min="2" max="2" width="29.85546875" customWidth="1"/>
    <col min="3" max="3" width="12.85546875" customWidth="1"/>
    <col min="4" max="4" width="17.85546875" customWidth="1"/>
    <col min="5" max="5" width="15.42578125" customWidth="1"/>
    <col min="6" max="6" width="16.140625" customWidth="1"/>
    <col min="7" max="7" width="17.85546875" bestFit="1" customWidth="1"/>
    <col min="8" max="8" width="17.85546875" customWidth="1"/>
    <col min="9" max="9" width="16.5703125" customWidth="1"/>
    <col min="10" max="10" width="43.5703125" customWidth="1"/>
    <col min="11" max="12" width="36.42578125" customWidth="1"/>
    <col min="13" max="13" width="41.140625" bestFit="1" customWidth="1"/>
    <col min="14" max="14" width="41.140625" customWidth="1"/>
    <col min="15" max="15" width="19.42578125" bestFit="1" customWidth="1"/>
    <col min="16" max="16" width="19.42578125" customWidth="1"/>
    <col min="17" max="18" width="36.42578125" customWidth="1"/>
    <col min="19" max="19" width="13.5703125" customWidth="1"/>
    <col min="20" max="20" width="21.85546875" customWidth="1"/>
    <col min="21" max="21" width="35.7109375" bestFit="1" customWidth="1"/>
    <col min="22" max="22" width="12.5703125" customWidth="1"/>
    <col min="23" max="23" width="23.140625" customWidth="1"/>
    <col min="24" max="24" width="23.5703125" customWidth="1"/>
    <col min="25" max="26" width="31.42578125" customWidth="1"/>
    <col min="27" max="27" width="12.140625" style="1" customWidth="1"/>
    <col min="28" max="28" width="22.42578125" customWidth="1"/>
    <col min="29" max="29" width="22.85546875" customWidth="1"/>
    <col min="30" max="30" width="21.42578125" customWidth="1"/>
    <col min="31" max="31" width="11" customWidth="1"/>
    <col min="32" max="32" width="10.5703125" customWidth="1"/>
    <col min="33" max="33" width="19" style="2" customWidth="1"/>
    <col min="34" max="35" width="22" style="5" customWidth="1"/>
    <col min="36" max="36" width="22.42578125" customWidth="1"/>
  </cols>
  <sheetData>
    <row r="1" spans="1:36" x14ac:dyDescent="0.25">
      <c r="A1" t="s">
        <v>0</v>
      </c>
      <c r="B1" t="s">
        <v>1</v>
      </c>
      <c r="C1" t="s">
        <v>2</v>
      </c>
      <c r="D1" t="s">
        <v>3</v>
      </c>
      <c r="E1" t="s">
        <v>4</v>
      </c>
      <c r="F1" t="s">
        <v>618</v>
      </c>
      <c r="G1" t="s">
        <v>619</v>
      </c>
      <c r="H1" t="s">
        <v>715</v>
      </c>
      <c r="I1" t="s">
        <v>5</v>
      </c>
      <c r="J1" t="s">
        <v>780</v>
      </c>
      <c r="K1" t="s">
        <v>761</v>
      </c>
      <c r="L1" t="s">
        <v>777</v>
      </c>
      <c r="M1" t="s">
        <v>762</v>
      </c>
      <c r="N1" t="s">
        <v>779</v>
      </c>
      <c r="O1" t="s">
        <v>763</v>
      </c>
      <c r="P1" t="s">
        <v>782</v>
      </c>
      <c r="Q1" t="s">
        <v>410</v>
      </c>
      <c r="R1" t="s">
        <v>757</v>
      </c>
      <c r="S1" t="s">
        <v>6</v>
      </c>
      <c r="T1" t="s">
        <v>617</v>
      </c>
      <c r="U1" s="1" t="s">
        <v>753</v>
      </c>
      <c r="V1" s="1" t="s">
        <v>7</v>
      </c>
      <c r="W1" s="1" t="s">
        <v>717</v>
      </c>
      <c r="X1" s="1" t="s">
        <v>718</v>
      </c>
      <c r="Y1" s="1" t="s">
        <v>719</v>
      </c>
      <c r="Z1" s="1" t="s">
        <v>720</v>
      </c>
      <c r="AA1" s="1" t="s">
        <v>8</v>
      </c>
      <c r="AB1" t="s">
        <v>781</v>
      </c>
      <c r="AC1" t="s">
        <v>9</v>
      </c>
      <c r="AD1" t="s">
        <v>10</v>
      </c>
      <c r="AE1" s="2" t="s">
        <v>11</v>
      </c>
      <c r="AF1" s="2" t="s">
        <v>12</v>
      </c>
      <c r="AG1" s="2" t="s">
        <v>13</v>
      </c>
      <c r="AH1" s="5" t="s">
        <v>14</v>
      </c>
      <c r="AI1" s="5" t="s">
        <v>379</v>
      </c>
      <c r="AJ1" t="s">
        <v>756</v>
      </c>
    </row>
    <row r="2" spans="1:36" x14ac:dyDescent="0.25">
      <c r="A2" t="s">
        <v>65</v>
      </c>
      <c r="B2" t="s">
        <v>66</v>
      </c>
      <c r="C2" t="s">
        <v>67</v>
      </c>
      <c r="D2" t="s">
        <v>68</v>
      </c>
      <c r="E2" t="s">
        <v>19</v>
      </c>
      <c r="F2" t="s">
        <v>37</v>
      </c>
      <c r="G2" t="s">
        <v>622</v>
      </c>
      <c r="H2" t="s">
        <v>714</v>
      </c>
      <c r="I2">
        <f t="shared" ref="I2:I9" si="0">6*7</f>
        <v>42</v>
      </c>
      <c r="J2" t="s">
        <v>637</v>
      </c>
      <c r="K2" t="s">
        <v>39</v>
      </c>
      <c r="L2" t="str">
        <f t="shared" ref="L2:L28" si="1">+IF(K2 = "Control", "Control", "Stress")</f>
        <v>Control</v>
      </c>
      <c r="M2" t="s">
        <v>445</v>
      </c>
      <c r="N2" t="s">
        <v>716</v>
      </c>
      <c r="Q2" t="s">
        <v>412</v>
      </c>
      <c r="R2" t="s">
        <v>709</v>
      </c>
      <c r="S2" t="s">
        <v>703</v>
      </c>
      <c r="T2" t="s">
        <v>615</v>
      </c>
      <c r="U2" s="1" t="s">
        <v>755</v>
      </c>
      <c r="V2" s="1">
        <f>[1]Adiredjo_etal_2014_Fig2a!B2</f>
        <v>1.00421052631578E-9</v>
      </c>
      <c r="W2" s="1"/>
      <c r="X2" s="1"/>
      <c r="Y2" s="1"/>
      <c r="Z2" s="1"/>
      <c r="AA2" s="1">
        <f>[2]Adiredjo_etal_2014_Fig2b!B2</f>
        <v>4.7553191489361599E-8</v>
      </c>
      <c r="AB2" s="1"/>
      <c r="AC2">
        <v>210</v>
      </c>
      <c r="AD2">
        <v>1669</v>
      </c>
      <c r="AE2" s="2">
        <v>0.28999999999999998</v>
      </c>
      <c r="AF2" s="2">
        <v>7.92</v>
      </c>
      <c r="AG2" s="2">
        <f t="shared" ref="AG2:AG9" si="2">+AC2/AD2*10</f>
        <v>1.2582384661473935</v>
      </c>
      <c r="AI2" s="2">
        <v>2.39</v>
      </c>
      <c r="AJ2" t="s">
        <v>203</v>
      </c>
    </row>
    <row r="3" spans="1:36" x14ac:dyDescent="0.25">
      <c r="A3" t="s">
        <v>65</v>
      </c>
      <c r="B3" t="s">
        <v>66</v>
      </c>
      <c r="C3" t="s">
        <v>67</v>
      </c>
      <c r="D3" t="s">
        <v>68</v>
      </c>
      <c r="E3" t="s">
        <v>19</v>
      </c>
      <c r="F3" t="s">
        <v>37</v>
      </c>
      <c r="G3" t="s">
        <v>622</v>
      </c>
      <c r="H3" t="s">
        <v>714</v>
      </c>
      <c r="I3">
        <f t="shared" si="0"/>
        <v>42</v>
      </c>
      <c r="J3" t="s">
        <v>637</v>
      </c>
      <c r="K3" t="s">
        <v>39</v>
      </c>
      <c r="L3" t="str">
        <f t="shared" si="1"/>
        <v>Control</v>
      </c>
      <c r="M3" t="s">
        <v>446</v>
      </c>
      <c r="N3" t="s">
        <v>716</v>
      </c>
      <c r="Q3" t="s">
        <v>412</v>
      </c>
      <c r="R3" t="s">
        <v>709</v>
      </c>
      <c r="S3" t="s">
        <v>703</v>
      </c>
      <c r="T3" t="s">
        <v>615</v>
      </c>
      <c r="U3" s="1" t="s">
        <v>755</v>
      </c>
      <c r="V3" s="1">
        <f>[1]Adiredjo_etal_2014_Fig2a!B3</f>
        <v>7.5315789473684101E-10</v>
      </c>
      <c r="W3" s="1"/>
      <c r="X3" s="1"/>
      <c r="Y3" s="1"/>
      <c r="Z3" s="1"/>
      <c r="AA3" s="1">
        <f>[2]Adiredjo_etal_2014_Fig2b!B3</f>
        <v>5.6170212765957403E-8</v>
      </c>
      <c r="AB3" s="1"/>
      <c r="AC3">
        <v>134</v>
      </c>
      <c r="AD3">
        <v>1191</v>
      </c>
      <c r="AE3" s="2">
        <v>0.17</v>
      </c>
      <c r="AF3" s="2">
        <v>3.16</v>
      </c>
      <c r="AG3" s="2">
        <f t="shared" si="2"/>
        <v>1.1251049538203191</v>
      </c>
      <c r="AI3" s="2">
        <v>1.05</v>
      </c>
      <c r="AJ3" t="s">
        <v>203</v>
      </c>
    </row>
    <row r="4" spans="1:36" x14ac:dyDescent="0.25">
      <c r="A4" t="s">
        <v>65</v>
      </c>
      <c r="B4" t="s">
        <v>66</v>
      </c>
      <c r="C4" t="s">
        <v>67</v>
      </c>
      <c r="D4" t="s">
        <v>68</v>
      </c>
      <c r="E4" t="s">
        <v>19</v>
      </c>
      <c r="F4" t="s">
        <v>37</v>
      </c>
      <c r="G4" t="s">
        <v>622</v>
      </c>
      <c r="H4" t="s">
        <v>714</v>
      </c>
      <c r="I4">
        <f t="shared" si="0"/>
        <v>42</v>
      </c>
      <c r="J4" t="s">
        <v>637</v>
      </c>
      <c r="K4" t="s">
        <v>39</v>
      </c>
      <c r="L4" t="str">
        <f t="shared" si="1"/>
        <v>Control</v>
      </c>
      <c r="M4" t="s">
        <v>447</v>
      </c>
      <c r="N4" t="s">
        <v>716</v>
      </c>
      <c r="Q4" t="s">
        <v>412</v>
      </c>
      <c r="R4" t="s">
        <v>709</v>
      </c>
      <c r="S4" t="s">
        <v>703</v>
      </c>
      <c r="T4" t="s">
        <v>615</v>
      </c>
      <c r="U4" s="1" t="s">
        <v>755</v>
      </c>
      <c r="V4" s="1">
        <f>[1]Adiredjo_etal_2014_Fig2a!B4</f>
        <v>1.20315789473684E-9</v>
      </c>
      <c r="W4" s="1"/>
      <c r="X4" s="1"/>
      <c r="Y4" s="1"/>
      <c r="Z4" s="1"/>
      <c r="AA4" s="1">
        <f>[2]Adiredjo_etal_2014_Fig2b!B4</f>
        <v>7.6914893617021197E-8</v>
      </c>
      <c r="AB4" s="1"/>
      <c r="AC4">
        <v>161</v>
      </c>
      <c r="AD4">
        <v>1271</v>
      </c>
      <c r="AE4" s="2">
        <v>0.24</v>
      </c>
      <c r="AF4" s="2">
        <v>5.23</v>
      </c>
      <c r="AG4" s="2">
        <f t="shared" si="2"/>
        <v>1.2667191188040914</v>
      </c>
      <c r="AI4" s="2">
        <v>1.63</v>
      </c>
      <c r="AJ4" t="s">
        <v>203</v>
      </c>
    </row>
    <row r="5" spans="1:36" x14ac:dyDescent="0.25">
      <c r="A5" t="s">
        <v>65</v>
      </c>
      <c r="B5" t="s">
        <v>66</v>
      </c>
      <c r="C5" t="s">
        <v>67</v>
      </c>
      <c r="D5" t="s">
        <v>68</v>
      </c>
      <c r="E5" t="s">
        <v>19</v>
      </c>
      <c r="F5" t="s">
        <v>37</v>
      </c>
      <c r="G5" t="s">
        <v>622</v>
      </c>
      <c r="H5" t="s">
        <v>714</v>
      </c>
      <c r="I5">
        <f t="shared" si="0"/>
        <v>42</v>
      </c>
      <c r="J5" t="s">
        <v>637</v>
      </c>
      <c r="K5" t="s">
        <v>39</v>
      </c>
      <c r="L5" t="str">
        <f t="shared" si="1"/>
        <v>Control</v>
      </c>
      <c r="M5" t="s">
        <v>448</v>
      </c>
      <c r="N5" t="s">
        <v>716</v>
      </c>
      <c r="Q5" t="s">
        <v>412</v>
      </c>
      <c r="R5" t="s">
        <v>709</v>
      </c>
      <c r="S5" t="s">
        <v>703</v>
      </c>
      <c r="T5" t="s">
        <v>615</v>
      </c>
      <c r="U5" s="1" t="s">
        <v>755</v>
      </c>
      <c r="V5" s="1">
        <f>[1]Adiredjo_etal_2014_Fig2a!B5</f>
        <v>1.0089473684210499E-9</v>
      </c>
      <c r="W5" s="1"/>
      <c r="X5" s="1"/>
      <c r="Y5" s="1"/>
      <c r="Z5" s="1"/>
      <c r="AA5" s="1">
        <f>[2]Adiredjo_etal_2014_Fig2b!B5</f>
        <v>6.6382978723404206E-8</v>
      </c>
      <c r="AB5" s="1"/>
      <c r="AC5">
        <v>152</v>
      </c>
      <c r="AD5">
        <v>1247</v>
      </c>
      <c r="AE5" s="2">
        <v>0.27</v>
      </c>
      <c r="AF5" s="2">
        <v>7.21</v>
      </c>
      <c r="AG5" s="2">
        <f t="shared" si="2"/>
        <v>1.218925421010425</v>
      </c>
      <c r="AI5" s="2">
        <v>2.0099999999999998</v>
      </c>
      <c r="AJ5" t="s">
        <v>203</v>
      </c>
    </row>
    <row r="6" spans="1:36" x14ac:dyDescent="0.25">
      <c r="A6" t="s">
        <v>65</v>
      </c>
      <c r="B6" t="s">
        <v>66</v>
      </c>
      <c r="C6" t="s">
        <v>67</v>
      </c>
      <c r="D6" t="s">
        <v>68</v>
      </c>
      <c r="E6" t="s">
        <v>19</v>
      </c>
      <c r="F6" t="s">
        <v>37</v>
      </c>
      <c r="G6" t="s">
        <v>622</v>
      </c>
      <c r="H6" t="s">
        <v>714</v>
      </c>
      <c r="I6">
        <f t="shared" si="0"/>
        <v>42</v>
      </c>
      <c r="J6" t="s">
        <v>637</v>
      </c>
      <c r="K6" t="s">
        <v>711</v>
      </c>
      <c r="L6" t="str">
        <f t="shared" si="1"/>
        <v>Stress</v>
      </c>
      <c r="M6" t="s">
        <v>445</v>
      </c>
      <c r="N6" t="s">
        <v>716</v>
      </c>
      <c r="Q6" t="s">
        <v>412</v>
      </c>
      <c r="R6" t="s">
        <v>709</v>
      </c>
      <c r="S6" t="s">
        <v>703</v>
      </c>
      <c r="T6" t="s">
        <v>615</v>
      </c>
      <c r="U6" s="1" t="s">
        <v>755</v>
      </c>
      <c r="V6" s="1">
        <f>[1]Adiredjo_etal_2014_Fig2a!B6</f>
        <v>4.5947368421052599E-10</v>
      </c>
      <c r="W6" s="1"/>
      <c r="X6" s="1"/>
      <c r="Y6" s="1"/>
      <c r="Z6" s="1"/>
      <c r="AA6" s="1">
        <f>[2]Adiredjo_etal_2014_Fig2b!B6</f>
        <v>2.20212765957447E-8</v>
      </c>
      <c r="AB6" s="1"/>
      <c r="AC6">
        <v>210</v>
      </c>
      <c r="AD6">
        <v>1669</v>
      </c>
      <c r="AE6" s="2">
        <v>0.28999999999999998</v>
      </c>
      <c r="AF6" s="2">
        <v>7.92</v>
      </c>
      <c r="AG6" s="2">
        <f t="shared" si="2"/>
        <v>1.2582384661473935</v>
      </c>
      <c r="AI6" s="2">
        <v>2.39</v>
      </c>
      <c r="AJ6" t="s">
        <v>203</v>
      </c>
    </row>
    <row r="7" spans="1:36" x14ac:dyDescent="0.25">
      <c r="A7" t="s">
        <v>65</v>
      </c>
      <c r="B7" t="s">
        <v>66</v>
      </c>
      <c r="C7" t="s">
        <v>67</v>
      </c>
      <c r="D7" t="s">
        <v>68</v>
      </c>
      <c r="E7" t="s">
        <v>19</v>
      </c>
      <c r="F7" t="s">
        <v>37</v>
      </c>
      <c r="G7" t="s">
        <v>622</v>
      </c>
      <c r="H7" t="s">
        <v>714</v>
      </c>
      <c r="I7">
        <f t="shared" si="0"/>
        <v>42</v>
      </c>
      <c r="J7" t="s">
        <v>637</v>
      </c>
      <c r="K7" t="s">
        <v>711</v>
      </c>
      <c r="L7" t="str">
        <f t="shared" si="1"/>
        <v>Stress</v>
      </c>
      <c r="M7" t="s">
        <v>446</v>
      </c>
      <c r="N7" t="s">
        <v>716</v>
      </c>
      <c r="Q7" t="s">
        <v>412</v>
      </c>
      <c r="R7" t="s">
        <v>709</v>
      </c>
      <c r="S7" t="s">
        <v>703</v>
      </c>
      <c r="T7" t="s">
        <v>615</v>
      </c>
      <c r="U7" s="1" t="s">
        <v>755</v>
      </c>
      <c r="V7" s="1">
        <f>[1]Adiredjo_etal_2014_Fig2a!B7</f>
        <v>2.7473684210526199E-10</v>
      </c>
      <c r="W7" s="1"/>
      <c r="X7" s="1"/>
      <c r="Y7" s="1"/>
      <c r="Z7" s="1"/>
      <c r="AA7" s="1">
        <f>[2]Adiredjo_etal_2014_Fig2b!B7</f>
        <v>2.04255319148936E-8</v>
      </c>
      <c r="AB7" s="1"/>
      <c r="AC7">
        <v>134</v>
      </c>
      <c r="AD7">
        <v>1191</v>
      </c>
      <c r="AE7" s="2">
        <v>0.17</v>
      </c>
      <c r="AF7" s="2">
        <v>3.16</v>
      </c>
      <c r="AG7" s="2">
        <f t="shared" si="2"/>
        <v>1.1251049538203191</v>
      </c>
      <c r="AI7" s="2">
        <v>1.05</v>
      </c>
      <c r="AJ7" t="s">
        <v>203</v>
      </c>
    </row>
    <row r="8" spans="1:36" x14ac:dyDescent="0.25">
      <c r="A8" t="s">
        <v>65</v>
      </c>
      <c r="B8" t="s">
        <v>66</v>
      </c>
      <c r="C8" t="s">
        <v>67</v>
      </c>
      <c r="D8" t="s">
        <v>68</v>
      </c>
      <c r="E8" t="s">
        <v>19</v>
      </c>
      <c r="F8" t="s">
        <v>37</v>
      </c>
      <c r="G8" t="s">
        <v>622</v>
      </c>
      <c r="H8" t="s">
        <v>714</v>
      </c>
      <c r="I8">
        <f t="shared" si="0"/>
        <v>42</v>
      </c>
      <c r="J8" t="s">
        <v>637</v>
      </c>
      <c r="K8" t="s">
        <v>711</v>
      </c>
      <c r="L8" t="str">
        <f t="shared" si="1"/>
        <v>Stress</v>
      </c>
      <c r="M8" t="s">
        <v>447</v>
      </c>
      <c r="N8" t="s">
        <v>716</v>
      </c>
      <c r="Q8" t="s">
        <v>412</v>
      </c>
      <c r="R8" t="s">
        <v>709</v>
      </c>
      <c r="S8" t="s">
        <v>703</v>
      </c>
      <c r="T8" t="s">
        <v>615</v>
      </c>
      <c r="U8" s="1" t="s">
        <v>755</v>
      </c>
      <c r="V8" s="1">
        <f>[1]Adiredjo_etal_2014_Fig2a!B8</f>
        <v>3.4578947368420999E-10</v>
      </c>
      <c r="W8" s="1"/>
      <c r="X8" s="1"/>
      <c r="Y8" s="1"/>
      <c r="Z8" s="1"/>
      <c r="AA8" s="1">
        <f>[2]Adiredjo_etal_2014_Fig2b!B8</f>
        <v>2.13829787234042E-8</v>
      </c>
      <c r="AB8" s="1"/>
      <c r="AC8">
        <v>161</v>
      </c>
      <c r="AD8">
        <v>1271</v>
      </c>
      <c r="AE8" s="2">
        <v>0.24</v>
      </c>
      <c r="AF8" s="2">
        <v>5.23</v>
      </c>
      <c r="AG8" s="2">
        <f t="shared" si="2"/>
        <v>1.2667191188040914</v>
      </c>
      <c r="AI8" s="2">
        <v>1.63</v>
      </c>
      <c r="AJ8" t="s">
        <v>203</v>
      </c>
    </row>
    <row r="9" spans="1:36" x14ac:dyDescent="0.25">
      <c r="A9" t="s">
        <v>65</v>
      </c>
      <c r="B9" t="s">
        <v>66</v>
      </c>
      <c r="C9" t="s">
        <v>67</v>
      </c>
      <c r="D9" t="s">
        <v>68</v>
      </c>
      <c r="E9" t="s">
        <v>19</v>
      </c>
      <c r="F9" t="s">
        <v>37</v>
      </c>
      <c r="G9" t="s">
        <v>622</v>
      </c>
      <c r="H9" t="s">
        <v>714</v>
      </c>
      <c r="I9">
        <f t="shared" si="0"/>
        <v>42</v>
      </c>
      <c r="J9" t="s">
        <v>637</v>
      </c>
      <c r="K9" t="s">
        <v>711</v>
      </c>
      <c r="L9" t="str">
        <f t="shared" si="1"/>
        <v>Stress</v>
      </c>
      <c r="M9" t="s">
        <v>448</v>
      </c>
      <c r="N9" t="s">
        <v>716</v>
      </c>
      <c r="Q9" t="s">
        <v>412</v>
      </c>
      <c r="R9" t="s">
        <v>709</v>
      </c>
      <c r="S9" t="s">
        <v>703</v>
      </c>
      <c r="T9" t="s">
        <v>615</v>
      </c>
      <c r="U9" s="1" t="s">
        <v>755</v>
      </c>
      <c r="V9" s="1">
        <f>[1]Adiredjo_etal_2014_Fig2a!B9</f>
        <v>3.3157894736842102E-10</v>
      </c>
      <c r="W9" s="1"/>
      <c r="X9" s="1"/>
      <c r="Y9" s="1"/>
      <c r="Z9" s="1"/>
      <c r="AA9" s="1">
        <f>[2]Adiredjo_etal_2014_Fig2b!B9</f>
        <v>2.17021276595745E-8</v>
      </c>
      <c r="AB9" s="1"/>
      <c r="AC9">
        <v>152</v>
      </c>
      <c r="AD9">
        <v>1247</v>
      </c>
      <c r="AE9" s="2">
        <v>0.27</v>
      </c>
      <c r="AF9" s="2">
        <v>7.21</v>
      </c>
      <c r="AG9" s="2">
        <f t="shared" si="2"/>
        <v>1.218925421010425</v>
      </c>
      <c r="AI9" s="2">
        <v>2.0099999999999998</v>
      </c>
      <c r="AJ9" t="s">
        <v>203</v>
      </c>
    </row>
    <row r="10" spans="1:36" x14ac:dyDescent="0.25">
      <c r="A10" t="s">
        <v>610</v>
      </c>
      <c r="B10" t="s">
        <v>611</v>
      </c>
      <c r="C10" t="s">
        <v>612</v>
      </c>
      <c r="D10" t="s">
        <v>18</v>
      </c>
      <c r="E10" t="s">
        <v>19</v>
      </c>
      <c r="F10" t="s">
        <v>20</v>
      </c>
      <c r="G10" t="s">
        <v>20</v>
      </c>
      <c r="H10" t="s">
        <v>712</v>
      </c>
      <c r="I10">
        <f t="shared" ref="I10:I17" si="3">28+3</f>
        <v>31</v>
      </c>
      <c r="J10" t="s">
        <v>632</v>
      </c>
      <c r="K10" t="s">
        <v>39</v>
      </c>
      <c r="L10" t="str">
        <f t="shared" si="1"/>
        <v>Control</v>
      </c>
      <c r="M10" t="s">
        <v>613</v>
      </c>
      <c r="N10" t="s">
        <v>716</v>
      </c>
      <c r="Q10" t="s">
        <v>412</v>
      </c>
      <c r="R10" t="s">
        <v>709</v>
      </c>
      <c r="S10" t="s">
        <v>703</v>
      </c>
      <c r="T10" t="s">
        <v>615</v>
      </c>
      <c r="U10" s="1" t="s">
        <v>754</v>
      </c>
      <c r="V10" s="1">
        <f>+AA10*AC10/10000</f>
        <v>4.2310698027313972E-11</v>
      </c>
      <c r="W10" s="1"/>
      <c r="X10" s="1"/>
      <c r="Y10" s="1"/>
      <c r="Z10" s="1"/>
      <c r="AA10" s="1">
        <v>3.3899999999999999E-8</v>
      </c>
      <c r="AC10" s="3">
        <f>[3]Liu_etal_2022_Fig3b_e!B2</f>
        <v>12.481031866464299</v>
      </c>
      <c r="AD10" s="3">
        <f>[3]Liu_etal_2022_Fig3b_e!A2</f>
        <v>175.27114967462001</v>
      </c>
      <c r="AE10" s="2"/>
      <c r="AF10" s="2"/>
      <c r="AG10" s="3">
        <f t="shared" ref="AG10:AG17" si="4">+AC10/PI()/AD10*10</f>
        <v>0.22666798501897423</v>
      </c>
      <c r="AJ10" t="s">
        <v>47</v>
      </c>
    </row>
    <row r="11" spans="1:36" x14ac:dyDescent="0.25">
      <c r="A11" t="s">
        <v>610</v>
      </c>
      <c r="B11" t="s">
        <v>611</v>
      </c>
      <c r="C11" t="s">
        <v>612</v>
      </c>
      <c r="D11" t="s">
        <v>18</v>
      </c>
      <c r="E11" t="s">
        <v>19</v>
      </c>
      <c r="F11" t="s">
        <v>20</v>
      </c>
      <c r="G11" t="s">
        <v>20</v>
      </c>
      <c r="H11" t="s">
        <v>712</v>
      </c>
      <c r="I11">
        <f t="shared" si="3"/>
        <v>31</v>
      </c>
      <c r="J11" t="s">
        <v>632</v>
      </c>
      <c r="K11" t="s">
        <v>51</v>
      </c>
      <c r="L11" t="str">
        <f t="shared" si="1"/>
        <v>Stress</v>
      </c>
      <c r="M11" t="s">
        <v>613</v>
      </c>
      <c r="N11" t="s">
        <v>716</v>
      </c>
      <c r="Q11" t="s">
        <v>412</v>
      </c>
      <c r="R11" t="s">
        <v>709</v>
      </c>
      <c r="S11" t="s">
        <v>703</v>
      </c>
      <c r="T11" t="s">
        <v>615</v>
      </c>
      <c r="U11" s="1" t="s">
        <v>754</v>
      </c>
      <c r="V11" s="1">
        <f t="shared" ref="V11:V17" si="5">+AA11*AC11/10000</f>
        <v>1.9850151745068226E-11</v>
      </c>
      <c r="W11" s="1"/>
      <c r="X11" s="1"/>
      <c r="Y11" s="1"/>
      <c r="Z11" s="1"/>
      <c r="AA11" s="1">
        <v>1.7500000000000001E-8</v>
      </c>
      <c r="AC11" s="3">
        <f>[3]Liu_etal_2022_Fig3b_e!B3</f>
        <v>11.3429438543247</v>
      </c>
      <c r="AD11" s="3">
        <f>[3]Liu_etal_2022_Fig3b_e!A3</f>
        <v>127.114967462039</v>
      </c>
      <c r="AE11" s="2"/>
      <c r="AF11" s="2"/>
      <c r="AG11" s="3">
        <f t="shared" si="4"/>
        <v>0.2840398136700516</v>
      </c>
      <c r="AJ11" t="s">
        <v>47</v>
      </c>
    </row>
    <row r="12" spans="1:36" x14ac:dyDescent="0.25">
      <c r="A12" t="s">
        <v>610</v>
      </c>
      <c r="B12" t="s">
        <v>611</v>
      </c>
      <c r="C12" t="s">
        <v>612</v>
      </c>
      <c r="D12" t="s">
        <v>18</v>
      </c>
      <c r="E12" t="s">
        <v>19</v>
      </c>
      <c r="F12" t="s">
        <v>20</v>
      </c>
      <c r="G12" t="s">
        <v>20</v>
      </c>
      <c r="H12" t="s">
        <v>712</v>
      </c>
      <c r="I12">
        <f t="shared" si="3"/>
        <v>31</v>
      </c>
      <c r="J12" t="s">
        <v>632</v>
      </c>
      <c r="K12" t="s">
        <v>39</v>
      </c>
      <c r="L12" t="str">
        <f t="shared" si="1"/>
        <v>Control</v>
      </c>
      <c r="M12" t="s">
        <v>613</v>
      </c>
      <c r="N12" t="s">
        <v>716</v>
      </c>
      <c r="Q12" t="s">
        <v>412</v>
      </c>
      <c r="R12" t="s">
        <v>709</v>
      </c>
      <c r="S12" t="s">
        <v>703</v>
      </c>
      <c r="T12" t="s">
        <v>616</v>
      </c>
      <c r="U12" s="1" t="s">
        <v>754</v>
      </c>
      <c r="V12" s="1">
        <f t="shared" si="5"/>
        <v>3.4344081942336754E-11</v>
      </c>
      <c r="W12" s="1"/>
      <c r="X12" s="1"/>
      <c r="Y12" s="1"/>
      <c r="Z12" s="1"/>
      <c r="AA12" s="1">
        <v>1.89E-8</v>
      </c>
      <c r="AC12" s="3">
        <f>[3]Liu_etal_2022_Fig3b_e!B4</f>
        <v>18.171471927162301</v>
      </c>
      <c r="AD12" s="3">
        <f>[3]Liu_etal_2022_Fig3b_e!A4</f>
        <v>224.29501084598701</v>
      </c>
      <c r="AE12" s="2"/>
      <c r="AF12" s="2"/>
      <c r="AG12" s="3">
        <f t="shared" si="4"/>
        <v>0.25788175756163806</v>
      </c>
      <c r="AJ12" t="s">
        <v>47</v>
      </c>
    </row>
    <row r="13" spans="1:36" x14ac:dyDescent="0.25">
      <c r="A13" t="s">
        <v>610</v>
      </c>
      <c r="B13" t="s">
        <v>611</v>
      </c>
      <c r="C13" t="s">
        <v>612</v>
      </c>
      <c r="D13" t="s">
        <v>18</v>
      </c>
      <c r="E13" t="s">
        <v>19</v>
      </c>
      <c r="F13" t="s">
        <v>20</v>
      </c>
      <c r="G13" t="s">
        <v>20</v>
      </c>
      <c r="H13" t="s">
        <v>712</v>
      </c>
      <c r="I13">
        <f t="shared" si="3"/>
        <v>31</v>
      </c>
      <c r="J13" t="s">
        <v>632</v>
      </c>
      <c r="K13" t="s">
        <v>51</v>
      </c>
      <c r="L13" t="str">
        <f t="shared" si="1"/>
        <v>Stress</v>
      </c>
      <c r="M13" t="s">
        <v>613</v>
      </c>
      <c r="N13" t="s">
        <v>716</v>
      </c>
      <c r="Q13" t="s">
        <v>412</v>
      </c>
      <c r="R13" t="s">
        <v>709</v>
      </c>
      <c r="S13" t="s">
        <v>703</v>
      </c>
      <c r="T13" t="s">
        <v>616</v>
      </c>
      <c r="U13" s="1" t="s">
        <v>754</v>
      </c>
      <c r="V13" s="1">
        <f t="shared" si="5"/>
        <v>4.2282245827010593E-11</v>
      </c>
      <c r="W13" s="1"/>
      <c r="X13" s="1"/>
      <c r="Y13" s="1"/>
      <c r="Z13" s="1"/>
      <c r="AA13" s="1">
        <v>2.88E-8</v>
      </c>
      <c r="AC13" s="3">
        <f>[3]Liu_etal_2022_Fig3b_e!B5</f>
        <v>14.681335356600901</v>
      </c>
      <c r="AD13" s="3">
        <f>[3]Liu_etal_2022_Fig3b_e!A5</f>
        <v>169.63123644251601</v>
      </c>
      <c r="AE13" s="2"/>
      <c r="AF13" s="2"/>
      <c r="AG13" s="3">
        <f t="shared" si="4"/>
        <v>0.27549254986237959</v>
      </c>
      <c r="AJ13" t="s">
        <v>47</v>
      </c>
    </row>
    <row r="14" spans="1:36" x14ac:dyDescent="0.25">
      <c r="A14" t="s">
        <v>610</v>
      </c>
      <c r="B14" t="s">
        <v>611</v>
      </c>
      <c r="C14" t="s">
        <v>612</v>
      </c>
      <c r="D14" t="s">
        <v>18</v>
      </c>
      <c r="E14" t="s">
        <v>19</v>
      </c>
      <c r="F14" t="s">
        <v>20</v>
      </c>
      <c r="G14" t="s">
        <v>20</v>
      </c>
      <c r="H14" t="s">
        <v>712</v>
      </c>
      <c r="I14">
        <f t="shared" si="3"/>
        <v>31</v>
      </c>
      <c r="J14" t="s">
        <v>632</v>
      </c>
      <c r="K14" t="s">
        <v>39</v>
      </c>
      <c r="L14" t="str">
        <f t="shared" si="1"/>
        <v>Control</v>
      </c>
      <c r="M14" t="s">
        <v>614</v>
      </c>
      <c r="N14" t="s">
        <v>716</v>
      </c>
      <c r="Q14" t="s">
        <v>412</v>
      </c>
      <c r="R14" t="s">
        <v>709</v>
      </c>
      <c r="S14" t="s">
        <v>703</v>
      </c>
      <c r="T14" t="s">
        <v>615</v>
      </c>
      <c r="U14" s="1" t="s">
        <v>754</v>
      </c>
      <c r="V14" s="1">
        <f t="shared" si="5"/>
        <v>1.947040971168431E-11</v>
      </c>
      <c r="W14" s="1"/>
      <c r="X14" s="1"/>
      <c r="Y14" s="1"/>
      <c r="Z14" s="1"/>
      <c r="AA14" s="1">
        <v>1.5600000000000001E-8</v>
      </c>
      <c r="AC14" s="3">
        <f>AC10</f>
        <v>12.481031866464299</v>
      </c>
      <c r="AD14" s="3">
        <f>+AD10</f>
        <v>175.27114967462001</v>
      </c>
      <c r="AE14" s="2"/>
      <c r="AF14" s="2"/>
      <c r="AG14" s="3">
        <f t="shared" si="4"/>
        <v>0.22666798501897423</v>
      </c>
      <c r="AJ14" t="s">
        <v>47</v>
      </c>
    </row>
    <row r="15" spans="1:36" x14ac:dyDescent="0.25">
      <c r="A15" t="s">
        <v>610</v>
      </c>
      <c r="B15" t="s">
        <v>611</v>
      </c>
      <c r="C15" t="s">
        <v>612</v>
      </c>
      <c r="D15" t="s">
        <v>18</v>
      </c>
      <c r="E15" t="s">
        <v>19</v>
      </c>
      <c r="F15" t="s">
        <v>20</v>
      </c>
      <c r="G15" t="s">
        <v>20</v>
      </c>
      <c r="H15" t="s">
        <v>712</v>
      </c>
      <c r="I15">
        <f t="shared" si="3"/>
        <v>31</v>
      </c>
      <c r="J15" t="s">
        <v>632</v>
      </c>
      <c r="K15" t="s">
        <v>51</v>
      </c>
      <c r="L15" t="str">
        <f t="shared" si="1"/>
        <v>Stress</v>
      </c>
      <c r="M15" t="s">
        <v>614</v>
      </c>
      <c r="N15" t="s">
        <v>716</v>
      </c>
      <c r="Q15" t="s">
        <v>412</v>
      </c>
      <c r="R15" t="s">
        <v>709</v>
      </c>
      <c r="S15" t="s">
        <v>703</v>
      </c>
      <c r="T15" t="s">
        <v>615</v>
      </c>
      <c r="U15" s="1" t="s">
        <v>754</v>
      </c>
      <c r="V15" s="1">
        <f t="shared" si="5"/>
        <v>1.0435508345978725E-11</v>
      </c>
      <c r="W15" s="1"/>
      <c r="X15" s="1"/>
      <c r="Y15" s="1"/>
      <c r="Z15" s="1"/>
      <c r="AA15" s="1">
        <v>9.2000000000000013E-9</v>
      </c>
      <c r="AC15" s="3">
        <f>AC11</f>
        <v>11.3429438543247</v>
      </c>
      <c r="AD15" s="3">
        <f>+AD11</f>
        <v>127.114967462039</v>
      </c>
      <c r="AE15" s="2"/>
      <c r="AF15" s="2"/>
      <c r="AG15" s="3">
        <f t="shared" si="4"/>
        <v>0.2840398136700516</v>
      </c>
      <c r="AJ15" t="s">
        <v>47</v>
      </c>
    </row>
    <row r="16" spans="1:36" x14ac:dyDescent="0.25">
      <c r="A16" t="s">
        <v>610</v>
      </c>
      <c r="B16" t="s">
        <v>611</v>
      </c>
      <c r="C16" t="s">
        <v>612</v>
      </c>
      <c r="D16" t="s">
        <v>18</v>
      </c>
      <c r="E16" t="s">
        <v>19</v>
      </c>
      <c r="F16" t="s">
        <v>20</v>
      </c>
      <c r="G16" t="s">
        <v>20</v>
      </c>
      <c r="H16" t="s">
        <v>712</v>
      </c>
      <c r="I16">
        <f t="shared" si="3"/>
        <v>31</v>
      </c>
      <c r="J16" t="s">
        <v>632</v>
      </c>
      <c r="K16" t="s">
        <v>39</v>
      </c>
      <c r="L16" t="str">
        <f t="shared" si="1"/>
        <v>Control</v>
      </c>
      <c r="M16" t="s">
        <v>614</v>
      </c>
      <c r="N16" t="s">
        <v>716</v>
      </c>
      <c r="Q16" t="s">
        <v>412</v>
      </c>
      <c r="R16" t="s">
        <v>709</v>
      </c>
      <c r="S16" t="s">
        <v>703</v>
      </c>
      <c r="T16" t="s">
        <v>616</v>
      </c>
      <c r="U16" s="1" t="s">
        <v>754</v>
      </c>
      <c r="V16" s="1">
        <f t="shared" si="5"/>
        <v>5.3787556904400405E-11</v>
      </c>
      <c r="W16" s="1"/>
      <c r="X16" s="1"/>
      <c r="Y16" s="1"/>
      <c r="Z16" s="1"/>
      <c r="AA16" s="1">
        <v>2.96E-8</v>
      </c>
      <c r="AC16" s="3">
        <f>AC12</f>
        <v>18.171471927162301</v>
      </c>
      <c r="AD16" s="3">
        <f>+AD12</f>
        <v>224.29501084598701</v>
      </c>
      <c r="AE16" s="2"/>
      <c r="AF16" s="2"/>
      <c r="AG16" s="3">
        <f t="shared" si="4"/>
        <v>0.25788175756163806</v>
      </c>
      <c r="AJ16" t="s">
        <v>47</v>
      </c>
    </row>
    <row r="17" spans="1:36" x14ac:dyDescent="0.25">
      <c r="A17" t="s">
        <v>610</v>
      </c>
      <c r="B17" t="s">
        <v>611</v>
      </c>
      <c r="C17" t="s">
        <v>612</v>
      </c>
      <c r="D17" t="s">
        <v>18</v>
      </c>
      <c r="E17" t="s">
        <v>19</v>
      </c>
      <c r="F17" t="s">
        <v>20</v>
      </c>
      <c r="G17" t="s">
        <v>20</v>
      </c>
      <c r="H17" t="s">
        <v>712</v>
      </c>
      <c r="I17">
        <f t="shared" si="3"/>
        <v>31</v>
      </c>
      <c r="J17" t="s">
        <v>632</v>
      </c>
      <c r="K17" t="s">
        <v>51</v>
      </c>
      <c r="L17" t="str">
        <f t="shared" si="1"/>
        <v>Stress</v>
      </c>
      <c r="M17" t="s">
        <v>614</v>
      </c>
      <c r="N17" t="s">
        <v>716</v>
      </c>
      <c r="Q17" t="s">
        <v>412</v>
      </c>
      <c r="R17" t="s">
        <v>709</v>
      </c>
      <c r="S17" t="s">
        <v>703</v>
      </c>
      <c r="T17" t="s">
        <v>616</v>
      </c>
      <c r="U17" s="1" t="s">
        <v>754</v>
      </c>
      <c r="V17" s="1">
        <f t="shared" si="5"/>
        <v>2.4958270106221529E-11</v>
      </c>
      <c r="W17" s="1"/>
      <c r="X17" s="1"/>
      <c r="Y17" s="1"/>
      <c r="Z17" s="1"/>
      <c r="AA17" s="1">
        <v>1.7E-8</v>
      </c>
      <c r="AC17" s="3">
        <f>AC13</f>
        <v>14.681335356600901</v>
      </c>
      <c r="AD17" s="3">
        <f>+AD13</f>
        <v>169.63123644251601</v>
      </c>
      <c r="AE17" s="2"/>
      <c r="AF17" s="2"/>
      <c r="AG17" s="3">
        <f t="shared" si="4"/>
        <v>0.27549254986237959</v>
      </c>
      <c r="AJ17" t="s">
        <v>47</v>
      </c>
    </row>
    <row r="18" spans="1:36" x14ac:dyDescent="0.25">
      <c r="A18" t="s">
        <v>609</v>
      </c>
      <c r="B18" t="s">
        <v>211</v>
      </c>
      <c r="C18" t="s">
        <v>212</v>
      </c>
      <c r="D18" t="s">
        <v>200</v>
      </c>
      <c r="E18" t="s">
        <v>19</v>
      </c>
      <c r="F18" t="s">
        <v>201</v>
      </c>
      <c r="G18" t="s">
        <v>620</v>
      </c>
      <c r="H18" t="s">
        <v>713</v>
      </c>
      <c r="I18">
        <f>6*30</f>
        <v>180</v>
      </c>
      <c r="J18" t="s">
        <v>51</v>
      </c>
      <c r="K18" t="s">
        <v>39</v>
      </c>
      <c r="L18" t="str">
        <f t="shared" si="1"/>
        <v>Control</v>
      </c>
      <c r="Q18" t="s">
        <v>412</v>
      </c>
      <c r="R18" t="s">
        <v>709</v>
      </c>
      <c r="S18" t="s">
        <v>703</v>
      </c>
      <c r="T18" t="s">
        <v>615</v>
      </c>
      <c r="U18" s="1" t="s">
        <v>754</v>
      </c>
      <c r="V18" s="1">
        <f>+X18*AE18</f>
        <v>1.0402559999999999E-8</v>
      </c>
      <c r="W18" s="1"/>
      <c r="X18" s="1">
        <f>1.204*18*0.000000001</f>
        <v>2.1672E-8</v>
      </c>
      <c r="Y18" s="1"/>
      <c r="Z18" s="1">
        <f>0.211*18*0.000000001</f>
        <v>3.7980000000000003E-9</v>
      </c>
      <c r="AE18" s="2">
        <v>0.48</v>
      </c>
      <c r="AF18" s="2"/>
      <c r="AI18" s="5">
        <v>2.2999999999999998</v>
      </c>
      <c r="AJ18" t="s">
        <v>359</v>
      </c>
    </row>
    <row r="19" spans="1:36" x14ac:dyDescent="0.25">
      <c r="A19" t="s">
        <v>609</v>
      </c>
      <c r="B19" t="s">
        <v>211</v>
      </c>
      <c r="C19" t="s">
        <v>212</v>
      </c>
      <c r="D19" t="s">
        <v>200</v>
      </c>
      <c r="E19" t="s">
        <v>19</v>
      </c>
      <c r="F19" t="s">
        <v>201</v>
      </c>
      <c r="G19" t="s">
        <v>620</v>
      </c>
      <c r="H19" t="s">
        <v>713</v>
      </c>
      <c r="I19">
        <f>18*30</f>
        <v>540</v>
      </c>
      <c r="J19" t="s">
        <v>51</v>
      </c>
      <c r="K19" t="s">
        <v>39</v>
      </c>
      <c r="L19" t="str">
        <f t="shared" si="1"/>
        <v>Control</v>
      </c>
      <c r="Q19" t="s">
        <v>412</v>
      </c>
      <c r="R19" t="s">
        <v>709</v>
      </c>
      <c r="S19" t="s">
        <v>703</v>
      </c>
      <c r="T19" t="s">
        <v>615</v>
      </c>
      <c r="U19" s="1" t="s">
        <v>754</v>
      </c>
      <c r="V19" s="1">
        <f t="shared" ref="V19:V20" si="6">+X19*AE19</f>
        <v>2.2161600000000002E-8</v>
      </c>
      <c r="W19" s="1"/>
      <c r="X19" s="1">
        <f>0.324*18*0.000000001</f>
        <v>5.8320000000000005E-9</v>
      </c>
      <c r="Y19" s="1"/>
      <c r="Z19" s="1">
        <f>0.055*18*0.000000001</f>
        <v>9.900000000000001E-10</v>
      </c>
      <c r="AE19" s="2">
        <v>3.8</v>
      </c>
      <c r="AF19" s="2"/>
      <c r="AI19" s="5">
        <v>22.4</v>
      </c>
      <c r="AJ19" t="s">
        <v>359</v>
      </c>
    </row>
    <row r="20" spans="1:36" x14ac:dyDescent="0.25">
      <c r="A20" t="s">
        <v>609</v>
      </c>
      <c r="B20" t="s">
        <v>211</v>
      </c>
      <c r="C20" t="s">
        <v>212</v>
      </c>
      <c r="D20" t="s">
        <v>200</v>
      </c>
      <c r="E20" t="s">
        <v>19</v>
      </c>
      <c r="F20" t="s">
        <v>201</v>
      </c>
      <c r="G20" t="s">
        <v>620</v>
      </c>
      <c r="H20" t="s">
        <v>713</v>
      </c>
      <c r="I20">
        <f>18*30</f>
        <v>540</v>
      </c>
      <c r="J20" t="s">
        <v>51</v>
      </c>
      <c r="K20" t="s">
        <v>51</v>
      </c>
      <c r="L20" t="str">
        <f t="shared" si="1"/>
        <v>Stress</v>
      </c>
      <c r="Q20" t="s">
        <v>412</v>
      </c>
      <c r="R20" t="s">
        <v>709</v>
      </c>
      <c r="S20" t="s">
        <v>703</v>
      </c>
      <c r="T20" t="s">
        <v>615</v>
      </c>
      <c r="U20" s="1" t="s">
        <v>754</v>
      </c>
      <c r="V20" s="1">
        <f t="shared" si="6"/>
        <v>4.6539360000000001E-9</v>
      </c>
      <c r="W20" s="1"/>
      <c r="X20" s="1">
        <f>0.42*X19</f>
        <v>2.4494400000000002E-9</v>
      </c>
      <c r="Y20" s="1"/>
      <c r="Z20" s="1"/>
      <c r="AE20" s="2">
        <v>1.9</v>
      </c>
      <c r="AF20" s="2"/>
      <c r="AI20" s="5">
        <v>8.4</v>
      </c>
      <c r="AJ20" t="s">
        <v>359</v>
      </c>
    </row>
    <row r="21" spans="1:36" x14ac:dyDescent="0.25">
      <c r="A21" t="s">
        <v>228</v>
      </c>
      <c r="B21" t="s">
        <v>128</v>
      </c>
      <c r="C21" t="s">
        <v>70</v>
      </c>
      <c r="D21" t="s">
        <v>71</v>
      </c>
      <c r="E21" t="s">
        <v>19</v>
      </c>
      <c r="F21" t="s">
        <v>129</v>
      </c>
      <c r="G21" t="s">
        <v>624</v>
      </c>
      <c r="H21" t="s">
        <v>713</v>
      </c>
      <c r="I21">
        <f>(5+1)*7+7</f>
        <v>49</v>
      </c>
      <c r="J21" t="s">
        <v>424</v>
      </c>
      <c r="K21" t="s">
        <v>39</v>
      </c>
      <c r="L21" t="str">
        <f t="shared" si="1"/>
        <v>Control</v>
      </c>
      <c r="M21" t="s">
        <v>39</v>
      </c>
      <c r="N21" t="str">
        <f>+IF(M21="Control","Control","Stress")</f>
        <v>Control</v>
      </c>
      <c r="Q21" t="s">
        <v>412</v>
      </c>
      <c r="R21" t="s">
        <v>709</v>
      </c>
      <c r="S21" t="s">
        <v>703</v>
      </c>
      <c r="T21" t="s">
        <v>615</v>
      </c>
      <c r="U21" s="1" t="s">
        <v>755</v>
      </c>
      <c r="V21" s="1">
        <f>[4]Tan_etal_2021_Fig2!C2</f>
        <v>1.2213E-8</v>
      </c>
      <c r="AB21" s="2"/>
      <c r="AC21" s="2"/>
      <c r="AD21" s="2"/>
      <c r="AJ21" t="s">
        <v>47</v>
      </c>
    </row>
    <row r="22" spans="1:36" x14ac:dyDescent="0.25">
      <c r="A22" t="s">
        <v>228</v>
      </c>
      <c r="B22" t="s">
        <v>128</v>
      </c>
      <c r="C22" t="s">
        <v>70</v>
      </c>
      <c r="D22" t="s">
        <v>71</v>
      </c>
      <c r="E22" t="s">
        <v>19</v>
      </c>
      <c r="F22" t="s">
        <v>129</v>
      </c>
      <c r="G22" t="s">
        <v>624</v>
      </c>
      <c r="H22" t="s">
        <v>713</v>
      </c>
      <c r="I22">
        <f>(5+1)*7+7</f>
        <v>49</v>
      </c>
      <c r="J22" t="s">
        <v>424</v>
      </c>
      <c r="K22" t="s">
        <v>39</v>
      </c>
      <c r="L22" t="str">
        <f t="shared" si="1"/>
        <v>Control</v>
      </c>
      <c r="M22" t="s">
        <v>630</v>
      </c>
      <c r="N22" t="str">
        <f>+IF(M22="Control","Control","Stress")</f>
        <v>Stress</v>
      </c>
      <c r="Q22" t="s">
        <v>412</v>
      </c>
      <c r="R22" t="s">
        <v>709</v>
      </c>
      <c r="S22" t="s">
        <v>703</v>
      </c>
      <c r="T22" t="s">
        <v>615</v>
      </c>
      <c r="U22" s="1" t="s">
        <v>755</v>
      </c>
      <c r="V22" s="1">
        <f>[4]Tan_etal_2021_Fig2!C3</f>
        <v>1.1709300000000001E-8</v>
      </c>
      <c r="AB22" s="2"/>
      <c r="AC22" s="2"/>
      <c r="AD22" s="2"/>
      <c r="AJ22" t="s">
        <v>47</v>
      </c>
    </row>
    <row r="23" spans="1:36" x14ac:dyDescent="0.25">
      <c r="A23" t="s">
        <v>228</v>
      </c>
      <c r="B23" t="s">
        <v>128</v>
      </c>
      <c r="C23" t="s">
        <v>70</v>
      </c>
      <c r="D23" t="s">
        <v>71</v>
      </c>
      <c r="E23" t="s">
        <v>19</v>
      </c>
      <c r="F23" t="s">
        <v>129</v>
      </c>
      <c r="G23" t="s">
        <v>624</v>
      </c>
      <c r="H23" t="s">
        <v>713</v>
      </c>
      <c r="I23">
        <f>(5+1)*7+7</f>
        <v>49</v>
      </c>
      <c r="J23" t="s">
        <v>424</v>
      </c>
      <c r="K23" t="s">
        <v>229</v>
      </c>
      <c r="L23" t="str">
        <f t="shared" si="1"/>
        <v>Stress</v>
      </c>
      <c r="M23" t="s">
        <v>39</v>
      </c>
      <c r="N23" t="str">
        <f>+IF(M23="Control","Control","Stress")</f>
        <v>Control</v>
      </c>
      <c r="Q23" t="s">
        <v>412</v>
      </c>
      <c r="R23" t="s">
        <v>709</v>
      </c>
      <c r="S23" t="s">
        <v>703</v>
      </c>
      <c r="T23" t="s">
        <v>615</v>
      </c>
      <c r="U23" s="1" t="s">
        <v>755</v>
      </c>
      <c r="V23" s="1">
        <f>[4]Tan_etal_2021_Fig2!C4</f>
        <v>6.3316699999999999E-9</v>
      </c>
      <c r="AB23" s="2"/>
      <c r="AC23" s="2"/>
      <c r="AD23" s="2"/>
      <c r="AJ23" t="s">
        <v>47</v>
      </c>
    </row>
    <row r="24" spans="1:36" x14ac:dyDescent="0.25">
      <c r="A24" t="s">
        <v>228</v>
      </c>
      <c r="B24" t="s">
        <v>128</v>
      </c>
      <c r="C24" t="s">
        <v>70</v>
      </c>
      <c r="D24" t="s">
        <v>71</v>
      </c>
      <c r="E24" t="s">
        <v>19</v>
      </c>
      <c r="F24" t="s">
        <v>129</v>
      </c>
      <c r="G24" t="s">
        <v>624</v>
      </c>
      <c r="H24" t="s">
        <v>713</v>
      </c>
      <c r="I24">
        <f>(5+1)*7+7</f>
        <v>49</v>
      </c>
      <c r="J24" t="s">
        <v>424</v>
      </c>
      <c r="K24" t="s">
        <v>229</v>
      </c>
      <c r="L24" t="str">
        <f t="shared" si="1"/>
        <v>Stress</v>
      </c>
      <c r="M24" t="s">
        <v>630</v>
      </c>
      <c r="N24" t="str">
        <f>+IF(M24="Control","Control","Stress")</f>
        <v>Stress</v>
      </c>
      <c r="Q24" t="s">
        <v>412</v>
      </c>
      <c r="R24" t="s">
        <v>709</v>
      </c>
      <c r="S24" t="s">
        <v>703</v>
      </c>
      <c r="T24" t="s">
        <v>615</v>
      </c>
      <c r="U24" s="1" t="s">
        <v>755</v>
      </c>
      <c r="V24" s="1">
        <f>[4]Tan_etal_2021_Fig2!C5</f>
        <v>9.0148100000000006E-9</v>
      </c>
      <c r="AB24" s="2"/>
      <c r="AC24" s="2"/>
      <c r="AD24" s="2"/>
      <c r="AJ24" t="s">
        <v>47</v>
      </c>
    </row>
    <row r="25" spans="1:36" x14ac:dyDescent="0.25">
      <c r="A25" t="s">
        <v>15</v>
      </c>
      <c r="B25" t="s">
        <v>16</v>
      </c>
      <c r="C25" t="s">
        <v>17</v>
      </c>
      <c r="D25" t="s">
        <v>18</v>
      </c>
      <c r="E25" t="s">
        <v>19</v>
      </c>
      <c r="F25" t="s">
        <v>20</v>
      </c>
      <c r="G25" t="s">
        <v>20</v>
      </c>
      <c r="H25" t="s">
        <v>712</v>
      </c>
      <c r="I25">
        <f>8+2</f>
        <v>10</v>
      </c>
      <c r="J25" t="s">
        <v>631</v>
      </c>
      <c r="K25" t="s">
        <v>39</v>
      </c>
      <c r="L25" t="str">
        <f t="shared" si="1"/>
        <v>Control</v>
      </c>
      <c r="M25" t="s">
        <v>415</v>
      </c>
      <c r="N25" t="s">
        <v>716</v>
      </c>
      <c r="Q25" t="s">
        <v>412</v>
      </c>
      <c r="R25" t="s">
        <v>709</v>
      </c>
      <c r="S25" t="s">
        <v>703</v>
      </c>
      <c r="T25" t="s">
        <v>615</v>
      </c>
      <c r="U25" s="1" t="s">
        <v>755</v>
      </c>
      <c r="V25" s="1">
        <f>[5]Kodama_etal_2021_Fig3a!B2</f>
        <v>3.8473282442748001E-10</v>
      </c>
      <c r="W25" s="1"/>
      <c r="X25" s="1"/>
      <c r="Y25" s="1"/>
      <c r="Z25" s="1"/>
      <c r="AA25" s="1">
        <f>[6]Kodama_etal_2021_Fig3c!B2</f>
        <v>1.4282115869017599E-7</v>
      </c>
      <c r="AB25" s="1"/>
      <c r="AC25" s="3">
        <f>[7]Kodama_etal_2021_Fig3b!C2</f>
        <v>28.233830845771102</v>
      </c>
      <c r="AD25" s="2"/>
      <c r="AE25" s="2"/>
      <c r="AF25" s="2"/>
      <c r="AJ25" t="s">
        <v>203</v>
      </c>
    </row>
    <row r="26" spans="1:36" x14ac:dyDescent="0.25">
      <c r="A26" t="s">
        <v>15</v>
      </c>
      <c r="B26" t="s">
        <v>16</v>
      </c>
      <c r="C26" t="s">
        <v>17</v>
      </c>
      <c r="D26" t="s">
        <v>18</v>
      </c>
      <c r="E26" t="s">
        <v>19</v>
      </c>
      <c r="F26" t="s">
        <v>20</v>
      </c>
      <c r="G26" t="s">
        <v>20</v>
      </c>
      <c r="H26" t="s">
        <v>712</v>
      </c>
      <c r="I26">
        <f>10+2</f>
        <v>12</v>
      </c>
      <c r="J26" t="s">
        <v>631</v>
      </c>
      <c r="K26" t="s">
        <v>39</v>
      </c>
      <c r="L26" t="str">
        <f t="shared" si="1"/>
        <v>Control</v>
      </c>
      <c r="M26" t="s">
        <v>416</v>
      </c>
      <c r="N26" t="s">
        <v>716</v>
      </c>
      <c r="Q26" t="s">
        <v>412</v>
      </c>
      <c r="R26" t="s">
        <v>709</v>
      </c>
      <c r="S26" t="s">
        <v>703</v>
      </c>
      <c r="T26" t="s">
        <v>615</v>
      </c>
      <c r="U26" s="1" t="s">
        <v>755</v>
      </c>
      <c r="V26" s="1">
        <f>[5]Kodama_etal_2021_Fig3a!B3</f>
        <v>4.5801526717557201E-10</v>
      </c>
      <c r="W26" s="1"/>
      <c r="X26" s="1"/>
      <c r="Y26" s="1"/>
      <c r="Z26" s="1"/>
      <c r="AA26" s="1">
        <f>[6]Kodama_etal_2021_Fig3c!B3</f>
        <v>1.63979848866498E-7</v>
      </c>
      <c r="AB26" s="1"/>
      <c r="AC26" s="3">
        <f>[7]Kodama_etal_2021_Fig3b!C3</f>
        <v>29.353233830845699</v>
      </c>
      <c r="AE26" s="2"/>
      <c r="AF26" s="2"/>
      <c r="AJ26" t="s">
        <v>203</v>
      </c>
    </row>
    <row r="27" spans="1:36" x14ac:dyDescent="0.25">
      <c r="A27" t="s">
        <v>15</v>
      </c>
      <c r="B27" t="s">
        <v>16</v>
      </c>
      <c r="C27" t="s">
        <v>17</v>
      </c>
      <c r="D27" t="s">
        <v>18</v>
      </c>
      <c r="E27" t="s">
        <v>19</v>
      </c>
      <c r="F27" t="s">
        <v>20</v>
      </c>
      <c r="G27" t="s">
        <v>20</v>
      </c>
      <c r="H27" t="s">
        <v>712</v>
      </c>
      <c r="I27">
        <f>8+2</f>
        <v>10</v>
      </c>
      <c r="J27" t="s">
        <v>631</v>
      </c>
      <c r="K27" t="s">
        <v>84</v>
      </c>
      <c r="L27" t="str">
        <f t="shared" si="1"/>
        <v>Stress</v>
      </c>
      <c r="M27" t="s">
        <v>415</v>
      </c>
      <c r="N27" t="s">
        <v>716</v>
      </c>
      <c r="Q27" t="s">
        <v>412</v>
      </c>
      <c r="R27" t="s">
        <v>709</v>
      </c>
      <c r="S27" t="s">
        <v>703</v>
      </c>
      <c r="T27" t="s">
        <v>615</v>
      </c>
      <c r="U27" s="1" t="s">
        <v>755</v>
      </c>
      <c r="V27" s="1">
        <f>[5]Kodama_etal_2021_Fig3a!B4</f>
        <v>2.7277353689567401E-10</v>
      </c>
      <c r="W27" s="1"/>
      <c r="X27" s="1"/>
      <c r="Y27" s="1"/>
      <c r="Z27" s="1"/>
      <c r="AA27" s="1">
        <f>[6]Kodama_etal_2021_Fig3c!B4</f>
        <v>9.6725440806045005E-8</v>
      </c>
      <c r="AB27" s="1"/>
      <c r="AC27" s="3">
        <f>[7]Kodama_etal_2021_Fig3b!C4</f>
        <v>28.482587064676601</v>
      </c>
      <c r="AE27" s="2"/>
      <c r="AF27" s="2"/>
      <c r="AJ27" t="s">
        <v>203</v>
      </c>
    </row>
    <row r="28" spans="1:36" x14ac:dyDescent="0.25">
      <c r="A28" t="s">
        <v>15</v>
      </c>
      <c r="B28" t="s">
        <v>16</v>
      </c>
      <c r="C28" t="s">
        <v>17</v>
      </c>
      <c r="D28" t="s">
        <v>18</v>
      </c>
      <c r="E28" t="s">
        <v>19</v>
      </c>
      <c r="F28" t="s">
        <v>20</v>
      </c>
      <c r="G28" t="s">
        <v>20</v>
      </c>
      <c r="H28" t="s">
        <v>712</v>
      </c>
      <c r="I28">
        <f>10+2</f>
        <v>12</v>
      </c>
      <c r="J28" t="s">
        <v>631</v>
      </c>
      <c r="K28" t="s">
        <v>84</v>
      </c>
      <c r="L28" t="str">
        <f t="shared" si="1"/>
        <v>Stress</v>
      </c>
      <c r="M28" t="s">
        <v>416</v>
      </c>
      <c r="N28" t="s">
        <v>716</v>
      </c>
      <c r="Q28" t="s">
        <v>412</v>
      </c>
      <c r="R28" t="s">
        <v>709</v>
      </c>
      <c r="S28" t="s">
        <v>703</v>
      </c>
      <c r="T28" t="s">
        <v>615</v>
      </c>
      <c r="U28" s="1" t="s">
        <v>755</v>
      </c>
      <c r="V28" s="1">
        <f>[5]Kodama_etal_2021_Fig3a!B5</f>
        <v>4.3562340966921102E-10</v>
      </c>
      <c r="W28" s="1"/>
      <c r="X28" s="1"/>
      <c r="Y28" s="1"/>
      <c r="Z28" s="1"/>
      <c r="AA28" s="1">
        <f>[6]Kodama_etal_2021_Fig3c!B5</f>
        <v>1.63979848866498E-7</v>
      </c>
      <c r="AB28" s="1"/>
      <c r="AC28" s="3">
        <f>[7]Kodama_etal_2021_Fig3b!C5</f>
        <v>26.990049751243703</v>
      </c>
      <c r="AE28" s="2"/>
      <c r="AF28" s="2"/>
      <c r="AJ28" t="s">
        <v>203</v>
      </c>
    </row>
    <row r="29" spans="1:36" x14ac:dyDescent="0.25">
      <c r="A29" t="s">
        <v>606</v>
      </c>
      <c r="B29" t="s">
        <v>607</v>
      </c>
      <c r="C29" t="s">
        <v>70</v>
      </c>
      <c r="D29" t="s">
        <v>71</v>
      </c>
      <c r="E29" t="s">
        <v>19</v>
      </c>
      <c r="F29" t="s">
        <v>129</v>
      </c>
      <c r="G29" t="s">
        <v>624</v>
      </c>
      <c r="H29" t="s">
        <v>713</v>
      </c>
      <c r="I29">
        <f>5*7</f>
        <v>35</v>
      </c>
      <c r="J29" t="s">
        <v>778</v>
      </c>
      <c r="Q29" t="s">
        <v>412</v>
      </c>
      <c r="R29" t="s">
        <v>709</v>
      </c>
      <c r="S29" t="s">
        <v>703</v>
      </c>
      <c r="T29" t="s">
        <v>615</v>
      </c>
      <c r="U29" s="1"/>
      <c r="V29" s="1"/>
      <c r="W29" s="1"/>
      <c r="X29" s="1"/>
      <c r="Y29" s="1"/>
      <c r="Z29" s="1"/>
      <c r="AA29" s="1">
        <v>1.4999999999999999E-7</v>
      </c>
      <c r="AB29" s="1"/>
      <c r="AC29" s="3"/>
      <c r="AE29" s="2"/>
      <c r="AF29" s="2"/>
      <c r="AJ29" t="s">
        <v>203</v>
      </c>
    </row>
    <row r="30" spans="1:36" x14ac:dyDescent="0.25">
      <c r="A30" t="s">
        <v>606</v>
      </c>
      <c r="B30" t="s">
        <v>607</v>
      </c>
      <c r="C30" t="s">
        <v>70</v>
      </c>
      <c r="D30" t="s">
        <v>71</v>
      </c>
      <c r="E30" t="s">
        <v>19</v>
      </c>
      <c r="F30" t="s">
        <v>129</v>
      </c>
      <c r="G30" t="s">
        <v>624</v>
      </c>
      <c r="H30" t="s">
        <v>713</v>
      </c>
      <c r="I30">
        <f>5*7</f>
        <v>35</v>
      </c>
      <c r="J30" t="s">
        <v>778</v>
      </c>
      <c r="Q30" t="s">
        <v>412</v>
      </c>
      <c r="R30" t="s">
        <v>709</v>
      </c>
      <c r="S30" t="s">
        <v>703</v>
      </c>
      <c r="T30" t="s">
        <v>616</v>
      </c>
      <c r="U30" s="1"/>
      <c r="V30" s="1"/>
      <c r="W30" s="1"/>
      <c r="X30" s="1"/>
      <c r="Y30" s="1"/>
      <c r="Z30" s="1"/>
      <c r="AA30" s="1">
        <v>1.4E-8</v>
      </c>
      <c r="AB30" s="1"/>
      <c r="AC30" s="3"/>
      <c r="AE30" s="2"/>
      <c r="AF30" s="2"/>
      <c r="AJ30" t="s">
        <v>203</v>
      </c>
    </row>
    <row r="31" spans="1:36" x14ac:dyDescent="0.25">
      <c r="A31" t="s">
        <v>588</v>
      </c>
      <c r="B31" t="s">
        <v>56</v>
      </c>
      <c r="C31" t="s">
        <v>57</v>
      </c>
      <c r="D31" t="s">
        <v>18</v>
      </c>
      <c r="E31" t="s">
        <v>19</v>
      </c>
      <c r="F31" t="s">
        <v>20</v>
      </c>
      <c r="G31" t="s">
        <v>20</v>
      </c>
      <c r="H31" t="s">
        <v>712</v>
      </c>
      <c r="I31">
        <v>94</v>
      </c>
      <c r="J31" t="s">
        <v>632</v>
      </c>
      <c r="K31" t="s">
        <v>39</v>
      </c>
      <c r="L31" t="str">
        <f t="shared" ref="L31:L62" si="7">+IF(K31 = "Control", "Control", "Stress")</f>
        <v>Control</v>
      </c>
      <c r="M31" t="s">
        <v>589</v>
      </c>
      <c r="N31" t="s">
        <v>716</v>
      </c>
      <c r="Q31" t="s">
        <v>412</v>
      </c>
      <c r="R31" t="s">
        <v>709</v>
      </c>
      <c r="S31" t="s">
        <v>703</v>
      </c>
      <c r="T31" t="s">
        <v>615</v>
      </c>
      <c r="U31" s="1" t="s">
        <v>755</v>
      </c>
      <c r="V31" s="1">
        <v>1.112E-8</v>
      </c>
      <c r="W31" s="1"/>
      <c r="X31" s="1"/>
      <c r="Y31" s="1"/>
      <c r="Z31" s="1"/>
      <c r="AA31" s="1">
        <v>1E-8</v>
      </c>
      <c r="AB31" s="1"/>
      <c r="AC31" s="9"/>
      <c r="AE31" s="2"/>
      <c r="AF31" s="2"/>
      <c r="AJ31" t="s">
        <v>203</v>
      </c>
    </row>
    <row r="32" spans="1:36" x14ac:dyDescent="0.25">
      <c r="A32" t="s">
        <v>588</v>
      </c>
      <c r="B32" t="s">
        <v>56</v>
      </c>
      <c r="C32" t="s">
        <v>57</v>
      </c>
      <c r="D32" t="s">
        <v>18</v>
      </c>
      <c r="E32" t="s">
        <v>19</v>
      </c>
      <c r="F32" t="s">
        <v>20</v>
      </c>
      <c r="G32" t="s">
        <v>20</v>
      </c>
      <c r="H32" t="s">
        <v>712</v>
      </c>
      <c r="I32">
        <v>94</v>
      </c>
      <c r="J32" t="s">
        <v>632</v>
      </c>
      <c r="K32" t="s">
        <v>51</v>
      </c>
      <c r="L32" t="str">
        <f t="shared" si="7"/>
        <v>Stress</v>
      </c>
      <c r="M32" t="s">
        <v>589</v>
      </c>
      <c r="N32" t="s">
        <v>716</v>
      </c>
      <c r="Q32" t="s">
        <v>412</v>
      </c>
      <c r="R32" t="s">
        <v>709</v>
      </c>
      <c r="S32" t="s">
        <v>703</v>
      </c>
      <c r="T32" t="s">
        <v>615</v>
      </c>
      <c r="U32" s="1" t="s">
        <v>755</v>
      </c>
      <c r="V32" s="1">
        <v>5.2700000000000002E-9</v>
      </c>
      <c r="W32" s="1"/>
      <c r="X32" s="1"/>
      <c r="Y32" s="1"/>
      <c r="Z32" s="1"/>
      <c r="AA32" s="1">
        <v>6.3200000000000005E-9</v>
      </c>
      <c r="AB32" s="1"/>
      <c r="AC32" s="9"/>
      <c r="AE32" s="2"/>
      <c r="AF32" s="2"/>
      <c r="AJ32" t="s">
        <v>203</v>
      </c>
    </row>
    <row r="33" spans="1:36" x14ac:dyDescent="0.25">
      <c r="A33" t="s">
        <v>588</v>
      </c>
      <c r="B33" t="s">
        <v>56</v>
      </c>
      <c r="C33" t="s">
        <v>57</v>
      </c>
      <c r="D33" t="s">
        <v>18</v>
      </c>
      <c r="E33" t="s">
        <v>19</v>
      </c>
      <c r="F33" t="s">
        <v>20</v>
      </c>
      <c r="G33" t="s">
        <v>20</v>
      </c>
      <c r="H33" t="s">
        <v>712</v>
      </c>
      <c r="I33">
        <v>98</v>
      </c>
      <c r="J33" t="s">
        <v>632</v>
      </c>
      <c r="K33" t="s">
        <v>39</v>
      </c>
      <c r="L33" t="str">
        <f t="shared" si="7"/>
        <v>Control</v>
      </c>
      <c r="M33" t="s">
        <v>590</v>
      </c>
      <c r="N33" t="s">
        <v>716</v>
      </c>
      <c r="Q33" t="s">
        <v>412</v>
      </c>
      <c r="R33" t="s">
        <v>709</v>
      </c>
      <c r="S33" t="s">
        <v>703</v>
      </c>
      <c r="T33" t="s">
        <v>615</v>
      </c>
      <c r="U33" s="1" t="s">
        <v>755</v>
      </c>
      <c r="V33" s="1">
        <v>1.0390000000000001E-8</v>
      </c>
      <c r="W33" s="1"/>
      <c r="X33" s="1"/>
      <c r="Y33" s="1"/>
      <c r="Z33" s="1"/>
      <c r="AA33" s="1">
        <v>1.0330000000000001E-8</v>
      </c>
      <c r="AB33" s="1"/>
      <c r="AC33" s="9"/>
      <c r="AE33" s="2"/>
      <c r="AF33" s="2"/>
      <c r="AJ33" t="s">
        <v>203</v>
      </c>
    </row>
    <row r="34" spans="1:36" x14ac:dyDescent="0.25">
      <c r="A34" t="s">
        <v>588</v>
      </c>
      <c r="B34" t="s">
        <v>56</v>
      </c>
      <c r="C34" t="s">
        <v>57</v>
      </c>
      <c r="D34" t="s">
        <v>18</v>
      </c>
      <c r="E34" t="s">
        <v>19</v>
      </c>
      <c r="F34" t="s">
        <v>20</v>
      </c>
      <c r="G34" t="s">
        <v>20</v>
      </c>
      <c r="H34" t="s">
        <v>712</v>
      </c>
      <c r="I34">
        <v>98</v>
      </c>
      <c r="J34" t="s">
        <v>632</v>
      </c>
      <c r="K34" t="s">
        <v>51</v>
      </c>
      <c r="L34" t="str">
        <f t="shared" si="7"/>
        <v>Stress</v>
      </c>
      <c r="M34" t="s">
        <v>590</v>
      </c>
      <c r="N34" t="s">
        <v>716</v>
      </c>
      <c r="Q34" t="s">
        <v>412</v>
      </c>
      <c r="R34" t="s">
        <v>709</v>
      </c>
      <c r="S34" t="s">
        <v>703</v>
      </c>
      <c r="T34" t="s">
        <v>615</v>
      </c>
      <c r="U34" s="1" t="s">
        <v>755</v>
      </c>
      <c r="V34" s="1">
        <v>2.52E-9</v>
      </c>
      <c r="W34" s="1"/>
      <c r="X34" s="1"/>
      <c r="Y34" s="1"/>
      <c r="Z34" s="1"/>
      <c r="AA34" s="1">
        <v>3.8700000000000001E-9</v>
      </c>
      <c r="AB34" s="1"/>
      <c r="AC34" s="9"/>
      <c r="AE34" s="2"/>
      <c r="AF34" s="2"/>
      <c r="AJ34" t="s">
        <v>203</v>
      </c>
    </row>
    <row r="35" spans="1:36" x14ac:dyDescent="0.25">
      <c r="A35" t="s">
        <v>588</v>
      </c>
      <c r="B35" t="s">
        <v>56</v>
      </c>
      <c r="C35" t="s">
        <v>57</v>
      </c>
      <c r="D35" t="s">
        <v>18</v>
      </c>
      <c r="E35" t="s">
        <v>19</v>
      </c>
      <c r="F35" t="s">
        <v>20</v>
      </c>
      <c r="G35" t="s">
        <v>20</v>
      </c>
      <c r="H35" t="s">
        <v>712</v>
      </c>
      <c r="I35">
        <v>94</v>
      </c>
      <c r="J35" t="s">
        <v>632</v>
      </c>
      <c r="K35" t="s">
        <v>39</v>
      </c>
      <c r="L35" t="str">
        <f t="shared" si="7"/>
        <v>Control</v>
      </c>
      <c r="M35" t="s">
        <v>589</v>
      </c>
      <c r="N35" t="s">
        <v>716</v>
      </c>
      <c r="Q35" t="s">
        <v>412</v>
      </c>
      <c r="R35" t="s">
        <v>709</v>
      </c>
      <c r="S35" t="s">
        <v>703</v>
      </c>
      <c r="T35" t="s">
        <v>616</v>
      </c>
      <c r="U35" s="1" t="s">
        <v>755</v>
      </c>
      <c r="V35" s="1">
        <v>5.3700000000000003E-9</v>
      </c>
      <c r="W35" s="1">
        <v>1E-10</v>
      </c>
      <c r="X35" s="1">
        <v>5.0000000000000004E-6</v>
      </c>
      <c r="Y35" s="1"/>
      <c r="Z35" s="1"/>
      <c r="AA35" s="1">
        <v>4.8799999999999997E-9</v>
      </c>
      <c r="AB35" s="1"/>
      <c r="AC35" s="9"/>
      <c r="AE35" s="2"/>
      <c r="AF35" s="2"/>
      <c r="AJ35" t="s">
        <v>352</v>
      </c>
    </row>
    <row r="36" spans="1:36" x14ac:dyDescent="0.25">
      <c r="A36" t="s">
        <v>588</v>
      </c>
      <c r="B36" t="s">
        <v>56</v>
      </c>
      <c r="C36" t="s">
        <v>57</v>
      </c>
      <c r="D36" t="s">
        <v>18</v>
      </c>
      <c r="E36" t="s">
        <v>19</v>
      </c>
      <c r="F36" t="s">
        <v>20</v>
      </c>
      <c r="G36" t="s">
        <v>20</v>
      </c>
      <c r="H36" t="s">
        <v>712</v>
      </c>
      <c r="I36">
        <v>94</v>
      </c>
      <c r="J36" t="s">
        <v>632</v>
      </c>
      <c r="K36" t="s">
        <v>51</v>
      </c>
      <c r="L36" t="str">
        <f t="shared" si="7"/>
        <v>Stress</v>
      </c>
      <c r="M36" t="s">
        <v>589</v>
      </c>
      <c r="N36" t="s">
        <v>716</v>
      </c>
      <c r="Q36" t="s">
        <v>412</v>
      </c>
      <c r="R36" t="s">
        <v>709</v>
      </c>
      <c r="S36" t="s">
        <v>703</v>
      </c>
      <c r="T36" t="s">
        <v>616</v>
      </c>
      <c r="U36" s="1" t="s">
        <v>755</v>
      </c>
      <c r="V36" s="1">
        <v>2.0700000000000001E-9</v>
      </c>
      <c r="W36" s="1">
        <v>1.0000000000000001E-9</v>
      </c>
      <c r="X36" s="1">
        <v>5.0000000000000002E-5</v>
      </c>
      <c r="Y36" s="1"/>
      <c r="Z36" s="1"/>
      <c r="AA36" s="1">
        <v>2.4199999999999999E-9</v>
      </c>
      <c r="AB36" s="1"/>
      <c r="AC36" s="9"/>
      <c r="AE36" s="2"/>
      <c r="AF36" s="2"/>
      <c r="AJ36" t="s">
        <v>352</v>
      </c>
    </row>
    <row r="37" spans="1:36" x14ac:dyDescent="0.25">
      <c r="A37" t="s">
        <v>588</v>
      </c>
      <c r="B37" t="s">
        <v>56</v>
      </c>
      <c r="C37" t="s">
        <v>57</v>
      </c>
      <c r="D37" t="s">
        <v>18</v>
      </c>
      <c r="E37" t="s">
        <v>19</v>
      </c>
      <c r="F37" t="s">
        <v>20</v>
      </c>
      <c r="G37" t="s">
        <v>20</v>
      </c>
      <c r="H37" t="s">
        <v>712</v>
      </c>
      <c r="I37">
        <v>98</v>
      </c>
      <c r="J37" t="s">
        <v>632</v>
      </c>
      <c r="K37" t="s">
        <v>39</v>
      </c>
      <c r="L37" t="str">
        <f t="shared" si="7"/>
        <v>Control</v>
      </c>
      <c r="M37" t="s">
        <v>590</v>
      </c>
      <c r="N37" t="s">
        <v>716</v>
      </c>
      <c r="Q37" t="s">
        <v>412</v>
      </c>
      <c r="R37" t="s">
        <v>709</v>
      </c>
      <c r="S37" t="s">
        <v>703</v>
      </c>
      <c r="T37" t="s">
        <v>616</v>
      </c>
      <c r="U37" s="1" t="s">
        <v>755</v>
      </c>
      <c r="V37" s="1">
        <v>1.7000000000000001E-9</v>
      </c>
      <c r="W37" s="1">
        <v>2.0000000000000001E-9</v>
      </c>
      <c r="X37" s="1">
        <v>1E-4</v>
      </c>
      <c r="Y37" s="1"/>
      <c r="Z37" s="1"/>
      <c r="AA37" s="1">
        <v>1.7000000000000001E-9</v>
      </c>
      <c r="AB37" s="1"/>
      <c r="AC37" s="9"/>
      <c r="AE37" s="2"/>
      <c r="AF37" s="2"/>
      <c r="AJ37" t="s">
        <v>352</v>
      </c>
    </row>
    <row r="38" spans="1:36" x14ac:dyDescent="0.25">
      <c r="A38" t="s">
        <v>588</v>
      </c>
      <c r="B38" t="s">
        <v>56</v>
      </c>
      <c r="C38" t="s">
        <v>57</v>
      </c>
      <c r="D38" t="s">
        <v>18</v>
      </c>
      <c r="E38" t="s">
        <v>19</v>
      </c>
      <c r="F38" t="s">
        <v>20</v>
      </c>
      <c r="G38" t="s">
        <v>20</v>
      </c>
      <c r="H38" t="s">
        <v>712</v>
      </c>
      <c r="I38">
        <v>98</v>
      </c>
      <c r="J38" t="s">
        <v>632</v>
      </c>
      <c r="K38" t="s">
        <v>51</v>
      </c>
      <c r="L38" t="str">
        <f t="shared" si="7"/>
        <v>Stress</v>
      </c>
      <c r="M38" t="s">
        <v>590</v>
      </c>
      <c r="N38" t="s">
        <v>716</v>
      </c>
      <c r="Q38" t="s">
        <v>412</v>
      </c>
      <c r="R38" t="s">
        <v>709</v>
      </c>
      <c r="S38" t="s">
        <v>703</v>
      </c>
      <c r="T38" t="s">
        <v>616</v>
      </c>
      <c r="U38" s="1" t="s">
        <v>755</v>
      </c>
      <c r="V38" s="1">
        <v>5.400000000000001E-10</v>
      </c>
      <c r="W38" s="1"/>
      <c r="X38" s="1"/>
      <c r="Y38" s="1"/>
      <c r="Z38" s="1"/>
      <c r="AA38" s="1">
        <v>8.3000000000000013E-10</v>
      </c>
      <c r="AB38" s="1"/>
      <c r="AC38" s="9"/>
      <c r="AE38" s="2"/>
      <c r="AF38" s="2"/>
      <c r="AJ38" t="s">
        <v>352</v>
      </c>
    </row>
    <row r="39" spans="1:36" x14ac:dyDescent="0.25">
      <c r="A39" t="s">
        <v>21</v>
      </c>
      <c r="B39" t="s">
        <v>22</v>
      </c>
      <c r="C39" t="s">
        <v>23</v>
      </c>
      <c r="D39" t="s">
        <v>24</v>
      </c>
      <c r="E39" t="s">
        <v>19</v>
      </c>
      <c r="F39" t="s">
        <v>25</v>
      </c>
      <c r="G39" t="s">
        <v>601</v>
      </c>
      <c r="H39" t="s">
        <v>713</v>
      </c>
      <c r="I39">
        <f>2*365</f>
        <v>730</v>
      </c>
      <c r="J39" t="s">
        <v>26</v>
      </c>
      <c r="K39" s="11" t="s">
        <v>39</v>
      </c>
      <c r="L39" t="str">
        <f t="shared" si="7"/>
        <v>Control</v>
      </c>
      <c r="Q39" t="s">
        <v>412</v>
      </c>
      <c r="R39" t="s">
        <v>709</v>
      </c>
      <c r="S39" t="s">
        <v>703</v>
      </c>
      <c r="T39" t="s">
        <v>615</v>
      </c>
      <c r="U39" s="1"/>
      <c r="V39" s="1"/>
      <c r="W39" s="1"/>
      <c r="X39" s="1"/>
      <c r="Y39" s="1"/>
      <c r="Z39" s="1"/>
      <c r="AB39" s="1">
        <f>'[8]Rodriguez-Dominguez&amp;Brodribb_20'!C2</f>
        <v>2.2604651162790657E-8</v>
      </c>
      <c r="AE39" s="2"/>
      <c r="AF39" s="2"/>
      <c r="AJ39" t="s">
        <v>27</v>
      </c>
    </row>
    <row r="40" spans="1:36" x14ac:dyDescent="0.25">
      <c r="A40" t="s">
        <v>21</v>
      </c>
      <c r="B40" t="s">
        <v>22</v>
      </c>
      <c r="C40" t="s">
        <v>23</v>
      </c>
      <c r="D40" t="s">
        <v>24</v>
      </c>
      <c r="E40" t="s">
        <v>19</v>
      </c>
      <c r="F40" t="s">
        <v>25</v>
      </c>
      <c r="G40" t="s">
        <v>601</v>
      </c>
      <c r="H40" t="s">
        <v>713</v>
      </c>
      <c r="I40">
        <f>2*365</f>
        <v>730</v>
      </c>
      <c r="J40" t="s">
        <v>26</v>
      </c>
      <c r="K40" s="11" t="s">
        <v>758</v>
      </c>
      <c r="L40" t="str">
        <f t="shared" si="7"/>
        <v>Stress</v>
      </c>
      <c r="Q40" t="s">
        <v>412</v>
      </c>
      <c r="R40" t="s">
        <v>709</v>
      </c>
      <c r="S40" t="s">
        <v>703</v>
      </c>
      <c r="T40" t="s">
        <v>615</v>
      </c>
      <c r="U40" s="1"/>
      <c r="V40" s="1"/>
      <c r="W40" s="1"/>
      <c r="X40" s="1"/>
      <c r="Y40" s="1"/>
      <c r="Z40" s="1"/>
      <c r="AB40" s="1">
        <f>'[8]Rodriguez-Dominguez&amp;Brodribb_20'!C3</f>
        <v>2.1348837209302198E-8</v>
      </c>
      <c r="AE40" s="2"/>
      <c r="AF40" s="2"/>
      <c r="AJ40" t="s">
        <v>27</v>
      </c>
    </row>
    <row r="41" spans="1:36" x14ac:dyDescent="0.25">
      <c r="A41" t="s">
        <v>21</v>
      </c>
      <c r="B41" t="s">
        <v>22</v>
      </c>
      <c r="C41" t="s">
        <v>23</v>
      </c>
      <c r="D41" t="s">
        <v>24</v>
      </c>
      <c r="E41" t="s">
        <v>19</v>
      </c>
      <c r="F41" t="s">
        <v>25</v>
      </c>
      <c r="G41" t="s">
        <v>601</v>
      </c>
      <c r="H41" t="s">
        <v>713</v>
      </c>
      <c r="I41">
        <f>2*365</f>
        <v>730</v>
      </c>
      <c r="J41" t="s">
        <v>26</v>
      </c>
      <c r="K41" s="11" t="s">
        <v>759</v>
      </c>
      <c r="L41" t="str">
        <f t="shared" si="7"/>
        <v>Stress</v>
      </c>
      <c r="Q41" t="s">
        <v>412</v>
      </c>
      <c r="R41" t="s">
        <v>709</v>
      </c>
      <c r="S41" t="s">
        <v>703</v>
      </c>
      <c r="T41" t="s">
        <v>615</v>
      </c>
      <c r="U41" s="1"/>
      <c r="V41" s="1"/>
      <c r="W41" s="1"/>
      <c r="X41" s="1"/>
      <c r="Y41" s="1"/>
      <c r="Z41" s="1"/>
      <c r="AB41" s="1">
        <f>'[8]Rodriguez-Dominguez&amp;Brodribb_20'!C4</f>
        <v>2.3232558139534796E-8</v>
      </c>
      <c r="AE41" s="2"/>
      <c r="AF41" s="2"/>
      <c r="AJ41" t="s">
        <v>27</v>
      </c>
    </row>
    <row r="42" spans="1:36" x14ac:dyDescent="0.25">
      <c r="A42" t="s">
        <v>586</v>
      </c>
      <c r="B42" t="s">
        <v>587</v>
      </c>
      <c r="C42" t="s">
        <v>577</v>
      </c>
      <c r="D42" t="s">
        <v>578</v>
      </c>
      <c r="E42" t="s">
        <v>19</v>
      </c>
      <c r="F42" t="s">
        <v>37</v>
      </c>
      <c r="G42" t="s">
        <v>622</v>
      </c>
      <c r="H42" t="s">
        <v>714</v>
      </c>
      <c r="I42">
        <f>4*7</f>
        <v>28</v>
      </c>
      <c r="J42" t="s">
        <v>633</v>
      </c>
      <c r="K42" t="s">
        <v>39</v>
      </c>
      <c r="L42" t="str">
        <f t="shared" si="7"/>
        <v>Control</v>
      </c>
      <c r="M42" t="s">
        <v>634</v>
      </c>
      <c r="N42" t="s">
        <v>716</v>
      </c>
      <c r="Q42" t="s">
        <v>412</v>
      </c>
      <c r="R42" t="s">
        <v>709</v>
      </c>
      <c r="S42" t="s">
        <v>703</v>
      </c>
      <c r="T42" t="s">
        <v>615</v>
      </c>
      <c r="U42" s="1" t="s">
        <v>755</v>
      </c>
      <c r="V42" s="1">
        <f>'[9]Liu_etal_2020_Fig3d-f'!C2</f>
        <v>2.1731123388581944E-8</v>
      </c>
      <c r="W42" s="1"/>
      <c r="X42" s="1"/>
      <c r="Y42" s="1"/>
      <c r="Z42" s="1"/>
      <c r="AB42" s="1"/>
      <c r="AE42" s="2"/>
      <c r="AF42" s="2"/>
      <c r="AJ42" t="s">
        <v>203</v>
      </c>
    </row>
    <row r="43" spans="1:36" x14ac:dyDescent="0.25">
      <c r="A43" t="s">
        <v>586</v>
      </c>
      <c r="B43" t="s">
        <v>587</v>
      </c>
      <c r="C43" t="s">
        <v>577</v>
      </c>
      <c r="D43" t="s">
        <v>578</v>
      </c>
      <c r="E43" t="s">
        <v>19</v>
      </c>
      <c r="F43" t="s">
        <v>37</v>
      </c>
      <c r="G43" t="s">
        <v>622</v>
      </c>
      <c r="H43" t="s">
        <v>714</v>
      </c>
      <c r="I43">
        <f>4*7</f>
        <v>28</v>
      </c>
      <c r="J43" t="s">
        <v>633</v>
      </c>
      <c r="K43" t="s">
        <v>574</v>
      </c>
      <c r="L43" t="str">
        <f t="shared" si="7"/>
        <v>Stress</v>
      </c>
      <c r="M43" t="s">
        <v>634</v>
      </c>
      <c r="N43" t="s">
        <v>716</v>
      </c>
      <c r="Q43" t="s">
        <v>412</v>
      </c>
      <c r="R43" t="s">
        <v>709</v>
      </c>
      <c r="S43" t="s">
        <v>703</v>
      </c>
      <c r="T43" t="s">
        <v>615</v>
      </c>
      <c r="U43" s="1" t="s">
        <v>755</v>
      </c>
      <c r="V43" s="1">
        <f>'[9]Liu_etal_2020_Fig3d-f'!C3</f>
        <v>2.8545119705340557E-9</v>
      </c>
      <c r="W43" s="1"/>
      <c r="X43" s="1"/>
      <c r="Y43" s="1"/>
      <c r="Z43" s="1"/>
      <c r="AB43" s="1"/>
      <c r="AE43" s="2"/>
      <c r="AF43" s="2"/>
      <c r="AJ43" t="s">
        <v>203</v>
      </c>
    </row>
    <row r="44" spans="1:36" x14ac:dyDescent="0.25">
      <c r="A44" t="s">
        <v>586</v>
      </c>
      <c r="B44" t="s">
        <v>587</v>
      </c>
      <c r="C44" t="s">
        <v>577</v>
      </c>
      <c r="D44" t="s">
        <v>578</v>
      </c>
      <c r="E44" t="s">
        <v>19</v>
      </c>
      <c r="F44" t="s">
        <v>37</v>
      </c>
      <c r="G44" t="s">
        <v>622</v>
      </c>
      <c r="H44" t="s">
        <v>714</v>
      </c>
      <c r="I44">
        <f>8*7</f>
        <v>56</v>
      </c>
      <c r="J44" t="s">
        <v>633</v>
      </c>
      <c r="K44" t="s">
        <v>39</v>
      </c>
      <c r="L44" t="str">
        <f t="shared" si="7"/>
        <v>Control</v>
      </c>
      <c r="M44" t="s">
        <v>635</v>
      </c>
      <c r="N44" t="s">
        <v>716</v>
      </c>
      <c r="Q44" t="s">
        <v>412</v>
      </c>
      <c r="R44" t="s">
        <v>709</v>
      </c>
      <c r="S44" t="s">
        <v>703</v>
      </c>
      <c r="T44" t="s">
        <v>615</v>
      </c>
      <c r="U44" s="1" t="s">
        <v>755</v>
      </c>
      <c r="V44" s="1">
        <f>'[9]Liu_etal_2020_Fig3d-f'!C8</f>
        <v>1.5837937384898695E-8</v>
      </c>
      <c r="W44" s="1"/>
      <c r="X44" s="1"/>
      <c r="Y44" s="1"/>
      <c r="Z44" s="1"/>
      <c r="AB44" s="1"/>
      <c r="AE44" s="2"/>
      <c r="AF44" s="2"/>
      <c r="AJ44" t="s">
        <v>203</v>
      </c>
    </row>
    <row r="45" spans="1:36" x14ac:dyDescent="0.25">
      <c r="A45" t="s">
        <v>586</v>
      </c>
      <c r="B45" t="s">
        <v>587</v>
      </c>
      <c r="C45" t="s">
        <v>577</v>
      </c>
      <c r="D45" t="s">
        <v>578</v>
      </c>
      <c r="E45" t="s">
        <v>19</v>
      </c>
      <c r="F45" t="s">
        <v>37</v>
      </c>
      <c r="G45" t="s">
        <v>622</v>
      </c>
      <c r="H45" t="s">
        <v>714</v>
      </c>
      <c r="I45">
        <f>8*7</f>
        <v>56</v>
      </c>
      <c r="J45" t="s">
        <v>633</v>
      </c>
      <c r="K45" t="s">
        <v>574</v>
      </c>
      <c r="L45" t="str">
        <f t="shared" si="7"/>
        <v>Stress</v>
      </c>
      <c r="M45" t="s">
        <v>635</v>
      </c>
      <c r="N45" t="s">
        <v>716</v>
      </c>
      <c r="Q45" t="s">
        <v>412</v>
      </c>
      <c r="R45" t="s">
        <v>709</v>
      </c>
      <c r="S45" t="s">
        <v>703</v>
      </c>
      <c r="T45" t="s">
        <v>615</v>
      </c>
      <c r="U45" s="1" t="s">
        <v>755</v>
      </c>
      <c r="V45" s="1">
        <f>'[9]Liu_etal_2020_Fig3d-f'!C9</f>
        <v>7.5506445672191385E-9</v>
      </c>
      <c r="W45" s="1"/>
      <c r="X45" s="1"/>
      <c r="Y45" s="1"/>
      <c r="Z45" s="1"/>
      <c r="AB45" s="1"/>
      <c r="AE45" s="2"/>
      <c r="AF45" s="2"/>
      <c r="AJ45" t="s">
        <v>203</v>
      </c>
    </row>
    <row r="46" spans="1:36" x14ac:dyDescent="0.25">
      <c r="A46" t="s">
        <v>586</v>
      </c>
      <c r="B46" t="s">
        <v>587</v>
      </c>
      <c r="C46" t="s">
        <v>577</v>
      </c>
      <c r="D46" t="s">
        <v>578</v>
      </c>
      <c r="E46" t="s">
        <v>19</v>
      </c>
      <c r="F46" t="s">
        <v>37</v>
      </c>
      <c r="G46" t="s">
        <v>622</v>
      </c>
      <c r="H46" t="s">
        <v>714</v>
      </c>
      <c r="I46">
        <f>16*7</f>
        <v>112</v>
      </c>
      <c r="J46" t="s">
        <v>633</v>
      </c>
      <c r="K46" t="s">
        <v>39</v>
      </c>
      <c r="L46" t="str">
        <f t="shared" si="7"/>
        <v>Control</v>
      </c>
      <c r="M46" t="s">
        <v>636</v>
      </c>
      <c r="N46" t="s">
        <v>716</v>
      </c>
      <c r="Q46" t="s">
        <v>412</v>
      </c>
      <c r="R46" t="s">
        <v>709</v>
      </c>
      <c r="S46" t="s">
        <v>703</v>
      </c>
      <c r="T46" t="s">
        <v>615</v>
      </c>
      <c r="U46" s="1" t="s">
        <v>755</v>
      </c>
      <c r="V46" s="1">
        <f>'[9]Liu_etal_2020_Fig3d-f'!C14</f>
        <v>8.1031307550644441E-9</v>
      </c>
      <c r="W46" s="1"/>
      <c r="X46" s="1"/>
      <c r="Y46" s="1"/>
      <c r="Z46" s="1"/>
      <c r="AB46" s="1"/>
      <c r="AE46" s="2"/>
      <c r="AF46" s="2"/>
      <c r="AJ46" t="s">
        <v>203</v>
      </c>
    </row>
    <row r="47" spans="1:36" x14ac:dyDescent="0.25">
      <c r="A47" t="s">
        <v>586</v>
      </c>
      <c r="B47" t="s">
        <v>587</v>
      </c>
      <c r="C47" t="s">
        <v>577</v>
      </c>
      <c r="D47" t="s">
        <v>578</v>
      </c>
      <c r="E47" t="s">
        <v>19</v>
      </c>
      <c r="F47" t="s">
        <v>37</v>
      </c>
      <c r="G47" t="s">
        <v>622</v>
      </c>
      <c r="H47" t="s">
        <v>714</v>
      </c>
      <c r="I47">
        <f>16*7</f>
        <v>112</v>
      </c>
      <c r="J47" t="s">
        <v>633</v>
      </c>
      <c r="K47" t="s">
        <v>574</v>
      </c>
      <c r="L47" t="str">
        <f t="shared" si="7"/>
        <v>Stress</v>
      </c>
      <c r="M47" t="s">
        <v>636</v>
      </c>
      <c r="N47" t="s">
        <v>716</v>
      </c>
      <c r="Q47" t="s">
        <v>412</v>
      </c>
      <c r="R47" t="s">
        <v>709</v>
      </c>
      <c r="S47" t="s">
        <v>703</v>
      </c>
      <c r="T47" t="s">
        <v>615</v>
      </c>
      <c r="U47" s="1" t="s">
        <v>755</v>
      </c>
      <c r="V47" s="1">
        <f>'[9]Liu_etal_2020_Fig3d-f'!C15</f>
        <v>7.1823204419889169E-9</v>
      </c>
      <c r="W47" s="1"/>
      <c r="X47" s="1"/>
      <c r="Y47" s="1"/>
      <c r="Z47" s="1"/>
      <c r="AB47" s="1"/>
      <c r="AE47" s="2"/>
      <c r="AF47" s="2"/>
      <c r="AJ47" t="s">
        <v>203</v>
      </c>
    </row>
    <row r="48" spans="1:36" x14ac:dyDescent="0.25">
      <c r="A48" t="s">
        <v>579</v>
      </c>
      <c r="B48" t="s">
        <v>580</v>
      </c>
      <c r="C48" t="s">
        <v>581</v>
      </c>
      <c r="D48" t="s">
        <v>18</v>
      </c>
      <c r="E48" t="s">
        <v>19</v>
      </c>
      <c r="F48" t="s">
        <v>20</v>
      </c>
      <c r="G48" t="s">
        <v>20</v>
      </c>
      <c r="H48" t="s">
        <v>712</v>
      </c>
      <c r="I48">
        <f t="shared" ref="I48:I56" si="8">+AVERAGE(45,52)</f>
        <v>48.5</v>
      </c>
      <c r="J48" t="s">
        <v>594</v>
      </c>
      <c r="K48" t="s">
        <v>39</v>
      </c>
      <c r="L48" t="str">
        <f t="shared" si="7"/>
        <v>Control</v>
      </c>
      <c r="Q48" t="s">
        <v>412</v>
      </c>
      <c r="R48" t="s">
        <v>709</v>
      </c>
      <c r="S48" t="s">
        <v>703</v>
      </c>
      <c r="T48" t="s">
        <v>616</v>
      </c>
      <c r="U48" s="1" t="s">
        <v>754</v>
      </c>
      <c r="V48" s="1">
        <f t="shared" ref="V48:V56" si="9">+AA48*AC48/10000</f>
        <v>3.5317245119305604E-11</v>
      </c>
      <c r="W48" s="1"/>
      <c r="X48" s="1"/>
      <c r="Y48" s="1"/>
      <c r="Z48" s="1"/>
      <c r="AA48" s="1">
        <f>[10]Li_etal_2020_Fig2ac!B2</f>
        <v>1.9267751479289902E-8</v>
      </c>
      <c r="AB48" s="1"/>
      <c r="AC48" s="2">
        <f>[11]Li_etal_2020_Fig1d!B2</f>
        <v>18.3297180043383</v>
      </c>
      <c r="AE48" s="2"/>
      <c r="AF48" s="2"/>
      <c r="AJ48" t="s">
        <v>352</v>
      </c>
    </row>
    <row r="49" spans="1:36" x14ac:dyDescent="0.25">
      <c r="A49" t="s">
        <v>579</v>
      </c>
      <c r="B49" t="s">
        <v>580</v>
      </c>
      <c r="C49" t="s">
        <v>581</v>
      </c>
      <c r="D49" t="s">
        <v>18</v>
      </c>
      <c r="E49" t="s">
        <v>19</v>
      </c>
      <c r="F49" t="s">
        <v>20</v>
      </c>
      <c r="G49" t="s">
        <v>20</v>
      </c>
      <c r="H49" t="s">
        <v>712</v>
      </c>
      <c r="I49">
        <f t="shared" si="8"/>
        <v>48.5</v>
      </c>
      <c r="J49" t="s">
        <v>594</v>
      </c>
      <c r="K49" t="s">
        <v>384</v>
      </c>
      <c r="L49" t="str">
        <f t="shared" si="7"/>
        <v>Stress</v>
      </c>
      <c r="Q49" t="s">
        <v>412</v>
      </c>
      <c r="R49" t="s">
        <v>709</v>
      </c>
      <c r="S49" t="s">
        <v>703</v>
      </c>
      <c r="T49" t="s">
        <v>616</v>
      </c>
      <c r="U49" s="1" t="s">
        <v>754</v>
      </c>
      <c r="V49" s="1">
        <f t="shared" si="9"/>
        <v>2.5953355838221379E-11</v>
      </c>
      <c r="W49" s="1"/>
      <c r="X49" s="1"/>
      <c r="Y49" s="1"/>
      <c r="Z49" s="1"/>
      <c r="AA49" s="1">
        <f>[10]Li_etal_2020_Fig2ac!B3</f>
        <v>1.4201183431952601E-8</v>
      </c>
      <c r="AB49" s="1"/>
      <c r="AC49" s="2">
        <f>[11]Li_etal_2020_Fig1d!B3</f>
        <v>18.275488069414301</v>
      </c>
      <c r="AE49" s="2"/>
      <c r="AF49" s="2"/>
      <c r="AJ49" t="s">
        <v>352</v>
      </c>
    </row>
    <row r="50" spans="1:36" x14ac:dyDescent="0.25">
      <c r="A50" t="s">
        <v>579</v>
      </c>
      <c r="B50" t="s">
        <v>580</v>
      </c>
      <c r="C50" t="s">
        <v>581</v>
      </c>
      <c r="D50" t="s">
        <v>18</v>
      </c>
      <c r="E50" t="s">
        <v>19</v>
      </c>
      <c r="F50" t="s">
        <v>20</v>
      </c>
      <c r="G50" t="s">
        <v>20</v>
      </c>
      <c r="H50" t="s">
        <v>712</v>
      </c>
      <c r="I50">
        <f t="shared" si="8"/>
        <v>48.5</v>
      </c>
      <c r="J50" t="s">
        <v>594</v>
      </c>
      <c r="K50" t="s">
        <v>582</v>
      </c>
      <c r="L50" t="str">
        <f t="shared" si="7"/>
        <v>Stress</v>
      </c>
      <c r="Q50" t="s">
        <v>412</v>
      </c>
      <c r="R50" t="s">
        <v>709</v>
      </c>
      <c r="S50" t="s">
        <v>703</v>
      </c>
      <c r="T50" t="s">
        <v>616</v>
      </c>
      <c r="U50" s="1" t="s">
        <v>754</v>
      </c>
      <c r="V50" s="1">
        <f t="shared" si="9"/>
        <v>1.7613096689727624E-11</v>
      </c>
      <c r="W50" s="1"/>
      <c r="X50" s="1"/>
      <c r="Y50" s="1"/>
      <c r="Z50" s="1"/>
      <c r="AA50" s="1">
        <f>[10]Li_etal_2020_Fig2ac!B4</f>
        <v>1.13165680473372E-8</v>
      </c>
      <c r="AB50" s="1"/>
      <c r="AC50" s="2">
        <f>[11]Li_etal_2020_Fig1d!B4</f>
        <v>15.5639913232104</v>
      </c>
      <c r="AE50" s="2"/>
      <c r="AF50" s="2"/>
      <c r="AJ50" t="s">
        <v>352</v>
      </c>
    </row>
    <row r="51" spans="1:36" x14ac:dyDescent="0.25">
      <c r="A51" t="s">
        <v>579</v>
      </c>
      <c r="B51" t="s">
        <v>580</v>
      </c>
      <c r="C51" t="s">
        <v>581</v>
      </c>
      <c r="D51" t="s">
        <v>18</v>
      </c>
      <c r="E51" t="s">
        <v>19</v>
      </c>
      <c r="F51" t="s">
        <v>20</v>
      </c>
      <c r="G51" t="s">
        <v>20</v>
      </c>
      <c r="H51" t="s">
        <v>712</v>
      </c>
      <c r="I51">
        <f t="shared" si="8"/>
        <v>48.5</v>
      </c>
      <c r="J51" t="s">
        <v>595</v>
      </c>
      <c r="K51" t="s">
        <v>39</v>
      </c>
      <c r="L51" t="str">
        <f t="shared" si="7"/>
        <v>Control</v>
      </c>
      <c r="M51" t="s">
        <v>39</v>
      </c>
      <c r="N51" t="str">
        <f t="shared" ref="N51:N56" si="10">+IF(M51="Control","Control","Stress")</f>
        <v>Control</v>
      </c>
      <c r="Q51" t="s">
        <v>412</v>
      </c>
      <c r="R51" t="s">
        <v>709</v>
      </c>
      <c r="S51" t="s">
        <v>703</v>
      </c>
      <c r="T51" t="s">
        <v>616</v>
      </c>
      <c r="U51" s="1" t="s">
        <v>754</v>
      </c>
      <c r="V51" s="1">
        <f t="shared" si="9"/>
        <v>3.0572125813448797E-11</v>
      </c>
      <c r="W51" s="1"/>
      <c r="X51" s="1"/>
      <c r="Y51" s="1"/>
      <c r="Z51" s="1"/>
      <c r="AA51" s="1">
        <f>[10]Li_etal_2020_Fig2ac!B5</f>
        <v>1.6678994082840201E-8</v>
      </c>
      <c r="AB51" s="1"/>
      <c r="AC51" s="2">
        <f>+AC48</f>
        <v>18.3297180043383</v>
      </c>
      <c r="AE51" s="2"/>
      <c r="AF51" s="2"/>
      <c r="AJ51" t="s">
        <v>352</v>
      </c>
    </row>
    <row r="52" spans="1:36" x14ac:dyDescent="0.25">
      <c r="A52" t="s">
        <v>579</v>
      </c>
      <c r="B52" t="s">
        <v>580</v>
      </c>
      <c r="C52" t="s">
        <v>581</v>
      </c>
      <c r="D52" t="s">
        <v>18</v>
      </c>
      <c r="E52" t="s">
        <v>19</v>
      </c>
      <c r="F52" t="s">
        <v>20</v>
      </c>
      <c r="G52" t="s">
        <v>20</v>
      </c>
      <c r="H52" t="s">
        <v>712</v>
      </c>
      <c r="I52">
        <f t="shared" si="8"/>
        <v>48.5</v>
      </c>
      <c r="J52" t="s">
        <v>595</v>
      </c>
      <c r="K52" t="s">
        <v>711</v>
      </c>
      <c r="L52" t="str">
        <f t="shared" si="7"/>
        <v>Stress</v>
      </c>
      <c r="M52" t="s">
        <v>39</v>
      </c>
      <c r="N52" t="str">
        <f t="shared" si="10"/>
        <v>Control</v>
      </c>
      <c r="Q52" t="s">
        <v>412</v>
      </c>
      <c r="R52" t="s">
        <v>709</v>
      </c>
      <c r="S52" t="s">
        <v>703</v>
      </c>
      <c r="T52" t="s">
        <v>616</v>
      </c>
      <c r="U52" s="1" t="s">
        <v>754</v>
      </c>
      <c r="V52" s="1">
        <f t="shared" si="9"/>
        <v>1.3082971800433767E-11</v>
      </c>
      <c r="W52" s="1"/>
      <c r="X52" s="1"/>
      <c r="Y52" s="1"/>
      <c r="Z52" s="1"/>
      <c r="AA52" s="1">
        <f>[10]Li_etal_2020_Fig2ac!B6</f>
        <v>7.1375739644970398E-9</v>
      </c>
      <c r="AB52" s="1"/>
      <c r="AC52" s="2">
        <f>+AC48</f>
        <v>18.3297180043383</v>
      </c>
      <c r="AE52" s="2"/>
      <c r="AF52" s="2"/>
      <c r="AJ52" t="s">
        <v>352</v>
      </c>
    </row>
    <row r="53" spans="1:36" x14ac:dyDescent="0.25">
      <c r="A53" t="s">
        <v>579</v>
      </c>
      <c r="B53" t="s">
        <v>580</v>
      </c>
      <c r="C53" t="s">
        <v>581</v>
      </c>
      <c r="D53" t="s">
        <v>18</v>
      </c>
      <c r="E53" t="s">
        <v>19</v>
      </c>
      <c r="F53" t="s">
        <v>20</v>
      </c>
      <c r="G53" t="s">
        <v>20</v>
      </c>
      <c r="H53" t="s">
        <v>712</v>
      </c>
      <c r="I53">
        <f t="shared" si="8"/>
        <v>48.5</v>
      </c>
      <c r="J53" t="s">
        <v>595</v>
      </c>
      <c r="K53" t="s">
        <v>39</v>
      </c>
      <c r="L53" t="str">
        <f t="shared" si="7"/>
        <v>Control</v>
      </c>
      <c r="M53" t="s">
        <v>384</v>
      </c>
      <c r="N53" t="str">
        <f t="shared" si="10"/>
        <v>Stress</v>
      </c>
      <c r="Q53" t="s">
        <v>412</v>
      </c>
      <c r="R53" t="s">
        <v>709</v>
      </c>
      <c r="S53" t="s">
        <v>703</v>
      </c>
      <c r="T53" t="s">
        <v>616</v>
      </c>
      <c r="U53" s="1" t="s">
        <v>754</v>
      </c>
      <c r="V53" s="1">
        <f t="shared" si="9"/>
        <v>1.0678724537601497E-11</v>
      </c>
      <c r="W53" s="1"/>
      <c r="X53" s="1"/>
      <c r="Y53" s="1"/>
      <c r="Z53" s="1"/>
      <c r="AA53" s="1">
        <f>[10]Li_etal_2020_Fig2ac!B7</f>
        <v>5.8431952662721597E-9</v>
      </c>
      <c r="AB53" s="1"/>
      <c r="AC53" s="2">
        <f>+AC49</f>
        <v>18.275488069414301</v>
      </c>
      <c r="AE53" s="2"/>
      <c r="AF53" s="2"/>
      <c r="AJ53" t="s">
        <v>352</v>
      </c>
    </row>
    <row r="54" spans="1:36" x14ac:dyDescent="0.25">
      <c r="A54" t="s">
        <v>579</v>
      </c>
      <c r="B54" t="s">
        <v>580</v>
      </c>
      <c r="C54" t="s">
        <v>581</v>
      </c>
      <c r="D54" t="s">
        <v>18</v>
      </c>
      <c r="E54" t="s">
        <v>19</v>
      </c>
      <c r="F54" t="s">
        <v>20</v>
      </c>
      <c r="G54" t="s">
        <v>20</v>
      </c>
      <c r="H54" t="s">
        <v>712</v>
      </c>
      <c r="I54">
        <f t="shared" si="8"/>
        <v>48.5</v>
      </c>
      <c r="J54" t="s">
        <v>595</v>
      </c>
      <c r="K54" t="s">
        <v>711</v>
      </c>
      <c r="L54" t="str">
        <f t="shared" si="7"/>
        <v>Stress</v>
      </c>
      <c r="M54" t="s">
        <v>384</v>
      </c>
      <c r="N54" t="str">
        <f t="shared" si="10"/>
        <v>Stress</v>
      </c>
      <c r="Q54" t="s">
        <v>412</v>
      </c>
      <c r="R54" t="s">
        <v>709</v>
      </c>
      <c r="S54" t="s">
        <v>703</v>
      </c>
      <c r="T54" t="s">
        <v>616</v>
      </c>
      <c r="U54" s="1" t="s">
        <v>754</v>
      </c>
      <c r="V54" s="1">
        <f t="shared" si="9"/>
        <v>6.1504046387451879E-12</v>
      </c>
      <c r="W54" s="1"/>
      <c r="X54" s="1"/>
      <c r="Y54" s="1"/>
      <c r="Z54" s="1"/>
      <c r="AA54" s="1">
        <f>[10]Li_etal_2020_Fig2ac!B8</f>
        <v>3.3653846153846098E-9</v>
      </c>
      <c r="AB54" s="1"/>
      <c r="AC54" s="2">
        <f>+AC49</f>
        <v>18.275488069414301</v>
      </c>
      <c r="AE54" s="2"/>
      <c r="AF54" s="2"/>
      <c r="AJ54" t="s">
        <v>352</v>
      </c>
    </row>
    <row r="55" spans="1:36" x14ac:dyDescent="0.25">
      <c r="A55" t="s">
        <v>579</v>
      </c>
      <c r="B55" t="s">
        <v>580</v>
      </c>
      <c r="C55" t="s">
        <v>581</v>
      </c>
      <c r="D55" t="s">
        <v>18</v>
      </c>
      <c r="E55" t="s">
        <v>19</v>
      </c>
      <c r="F55" t="s">
        <v>20</v>
      </c>
      <c r="G55" t="s">
        <v>20</v>
      </c>
      <c r="H55" t="s">
        <v>712</v>
      </c>
      <c r="I55">
        <f t="shared" si="8"/>
        <v>48.5</v>
      </c>
      <c r="J55" t="s">
        <v>595</v>
      </c>
      <c r="K55" t="s">
        <v>39</v>
      </c>
      <c r="L55" t="str">
        <f t="shared" si="7"/>
        <v>Control</v>
      </c>
      <c r="M55" t="s">
        <v>582</v>
      </c>
      <c r="N55" t="str">
        <f t="shared" si="10"/>
        <v>Stress</v>
      </c>
      <c r="Q55" t="s">
        <v>412</v>
      </c>
      <c r="R55" t="s">
        <v>709</v>
      </c>
      <c r="S55" t="s">
        <v>703</v>
      </c>
      <c r="T55" t="s">
        <v>616</v>
      </c>
      <c r="U55" s="1" t="s">
        <v>754</v>
      </c>
      <c r="V55" s="1">
        <f t="shared" si="9"/>
        <v>8.8065483448638733E-12</v>
      </c>
      <c r="W55" s="1"/>
      <c r="X55" s="1"/>
      <c r="Y55" s="1"/>
      <c r="Z55" s="1"/>
      <c r="AA55" s="1">
        <f>[10]Li_etal_2020_Fig2ac!B9</f>
        <v>5.6582840236686396E-9</v>
      </c>
      <c r="AB55" s="1"/>
      <c r="AC55" s="2">
        <f>+AC50</f>
        <v>15.5639913232104</v>
      </c>
      <c r="AE55" s="2"/>
      <c r="AF55" s="2"/>
      <c r="AJ55" t="s">
        <v>352</v>
      </c>
    </row>
    <row r="56" spans="1:36" x14ac:dyDescent="0.25">
      <c r="A56" t="s">
        <v>579</v>
      </c>
      <c r="B56" t="s">
        <v>580</v>
      </c>
      <c r="C56" t="s">
        <v>581</v>
      </c>
      <c r="D56" t="s">
        <v>18</v>
      </c>
      <c r="E56" t="s">
        <v>19</v>
      </c>
      <c r="F56" t="s">
        <v>20</v>
      </c>
      <c r="G56" t="s">
        <v>20</v>
      </c>
      <c r="H56" t="s">
        <v>712</v>
      </c>
      <c r="I56">
        <f t="shared" si="8"/>
        <v>48.5</v>
      </c>
      <c r="J56" t="s">
        <v>595</v>
      </c>
      <c r="K56" t="s">
        <v>711</v>
      </c>
      <c r="L56" t="str">
        <f t="shared" si="7"/>
        <v>Stress</v>
      </c>
      <c r="M56" t="s">
        <v>582</v>
      </c>
      <c r="N56" t="str">
        <f t="shared" si="10"/>
        <v>Stress</v>
      </c>
      <c r="Q56" t="s">
        <v>412</v>
      </c>
      <c r="R56" t="s">
        <v>709</v>
      </c>
      <c r="S56" t="s">
        <v>703</v>
      </c>
      <c r="T56" t="s">
        <v>616</v>
      </c>
      <c r="U56" s="1" t="s">
        <v>754</v>
      </c>
      <c r="V56" s="1">
        <f t="shared" si="9"/>
        <v>7.4251289966499198E-12</v>
      </c>
      <c r="W56" s="1"/>
      <c r="X56" s="1"/>
      <c r="Y56" s="1"/>
      <c r="Z56" s="1"/>
      <c r="AA56" s="1">
        <f>[10]Li_etal_2020_Fig2ac!B10</f>
        <v>4.7707100591715896E-9</v>
      </c>
      <c r="AB56" s="1"/>
      <c r="AC56" s="2">
        <f>+AC50</f>
        <v>15.5639913232104</v>
      </c>
      <c r="AE56" s="2"/>
      <c r="AF56" s="2"/>
      <c r="AJ56" t="s">
        <v>352</v>
      </c>
    </row>
    <row r="57" spans="1:36" x14ac:dyDescent="0.25">
      <c r="A57" t="s">
        <v>727</v>
      </c>
      <c r="B57" t="s">
        <v>34</v>
      </c>
      <c r="C57" t="s">
        <v>35</v>
      </c>
      <c r="D57" t="s">
        <v>36</v>
      </c>
      <c r="E57" t="s">
        <v>19</v>
      </c>
      <c r="F57" t="s">
        <v>37</v>
      </c>
      <c r="G57" t="s">
        <v>622</v>
      </c>
      <c r="H57" t="s">
        <v>714</v>
      </c>
      <c r="I57">
        <f>+(6+6)*7</f>
        <v>84</v>
      </c>
      <c r="J57" t="s">
        <v>51</v>
      </c>
      <c r="K57" t="s">
        <v>39</v>
      </c>
      <c r="L57" t="str">
        <f t="shared" si="7"/>
        <v>Control</v>
      </c>
      <c r="Q57" t="s">
        <v>412</v>
      </c>
      <c r="R57" t="s">
        <v>709</v>
      </c>
      <c r="S57" t="s">
        <v>703</v>
      </c>
      <c r="T57" t="s">
        <v>615</v>
      </c>
      <c r="U57" s="1"/>
      <c r="V57" s="1"/>
      <c r="W57" s="1">
        <f>'[12]Hernandes&amp;Barrios_2020_Fig1'!B2*0.001</f>
        <v>9.2171717171717102E-10</v>
      </c>
      <c r="X57" s="1"/>
      <c r="Y57" s="1"/>
      <c r="Z57" s="1"/>
      <c r="AB57" s="1"/>
      <c r="AC57" s="2"/>
      <c r="AE57" s="2"/>
      <c r="AF57" s="2"/>
      <c r="AJ57" t="s">
        <v>203</v>
      </c>
    </row>
    <row r="58" spans="1:36" x14ac:dyDescent="0.25">
      <c r="A58" t="s">
        <v>727</v>
      </c>
      <c r="B58" t="s">
        <v>34</v>
      </c>
      <c r="C58" t="s">
        <v>35</v>
      </c>
      <c r="D58" t="s">
        <v>36</v>
      </c>
      <c r="E58" t="s">
        <v>19</v>
      </c>
      <c r="F58" t="s">
        <v>37</v>
      </c>
      <c r="G58" t="s">
        <v>622</v>
      </c>
      <c r="H58" t="s">
        <v>714</v>
      </c>
      <c r="I58">
        <f>+(6+6)*7</f>
        <v>84</v>
      </c>
      <c r="J58" t="s">
        <v>51</v>
      </c>
      <c r="K58" t="s">
        <v>51</v>
      </c>
      <c r="L58" t="str">
        <f t="shared" si="7"/>
        <v>Stress</v>
      </c>
      <c r="Q58" t="s">
        <v>412</v>
      </c>
      <c r="R58" t="s">
        <v>709</v>
      </c>
      <c r="S58" t="s">
        <v>703</v>
      </c>
      <c r="T58" t="s">
        <v>615</v>
      </c>
      <c r="U58" s="1"/>
      <c r="V58" s="1"/>
      <c r="W58" s="1">
        <f>'[12]Hernandes&amp;Barrios_2020_Fig1'!B3*0.001</f>
        <v>5.9090909090909099E-10</v>
      </c>
      <c r="X58" s="1"/>
      <c r="Y58" s="1"/>
      <c r="Z58" s="1"/>
      <c r="AB58" s="1"/>
      <c r="AC58" s="2"/>
      <c r="AE58" s="2"/>
      <c r="AF58" s="2"/>
      <c r="AJ58" t="s">
        <v>203</v>
      </c>
    </row>
    <row r="59" spans="1:36" x14ac:dyDescent="0.25">
      <c r="A59" t="s">
        <v>727</v>
      </c>
      <c r="B59" t="s">
        <v>34</v>
      </c>
      <c r="C59" t="s">
        <v>35</v>
      </c>
      <c r="D59" t="s">
        <v>36</v>
      </c>
      <c r="E59" t="s">
        <v>19</v>
      </c>
      <c r="F59" t="s">
        <v>37</v>
      </c>
      <c r="G59" t="s">
        <v>622</v>
      </c>
      <c r="H59" t="s">
        <v>714</v>
      </c>
      <c r="I59">
        <f>+(6+6)*7</f>
        <v>84</v>
      </c>
      <c r="J59" t="s">
        <v>51</v>
      </c>
      <c r="K59" t="s">
        <v>39</v>
      </c>
      <c r="L59" t="str">
        <f t="shared" si="7"/>
        <v>Control</v>
      </c>
      <c r="Q59" t="s">
        <v>412</v>
      </c>
      <c r="R59" t="s">
        <v>709</v>
      </c>
      <c r="S59" t="s">
        <v>703</v>
      </c>
      <c r="T59" t="s">
        <v>616</v>
      </c>
      <c r="U59" s="1"/>
      <c r="V59" s="1"/>
      <c r="W59" s="1">
        <f>'[12]Hernandes&amp;Barrios_2020_Fig1'!B4*0.001</f>
        <v>1.02325581395348E-10</v>
      </c>
      <c r="X59" s="1"/>
      <c r="Y59" s="1"/>
      <c r="Z59" s="1"/>
      <c r="AB59" s="1"/>
      <c r="AC59" s="2"/>
      <c r="AE59" s="2"/>
      <c r="AF59" s="2"/>
      <c r="AJ59" t="s">
        <v>203</v>
      </c>
    </row>
    <row r="60" spans="1:36" x14ac:dyDescent="0.25">
      <c r="A60" t="s">
        <v>727</v>
      </c>
      <c r="B60" t="s">
        <v>34</v>
      </c>
      <c r="C60" t="s">
        <v>35</v>
      </c>
      <c r="D60" t="s">
        <v>36</v>
      </c>
      <c r="E60" t="s">
        <v>19</v>
      </c>
      <c r="F60" t="s">
        <v>37</v>
      </c>
      <c r="G60" t="s">
        <v>622</v>
      </c>
      <c r="H60" t="s">
        <v>714</v>
      </c>
      <c r="I60">
        <f>+(6+6)*7</f>
        <v>84</v>
      </c>
      <c r="J60" t="s">
        <v>51</v>
      </c>
      <c r="K60" t="s">
        <v>51</v>
      </c>
      <c r="L60" t="str">
        <f t="shared" si="7"/>
        <v>Stress</v>
      </c>
      <c r="Q60" t="s">
        <v>412</v>
      </c>
      <c r="R60" t="s">
        <v>709</v>
      </c>
      <c r="S60" t="s">
        <v>703</v>
      </c>
      <c r="T60" t="s">
        <v>616</v>
      </c>
      <c r="U60" s="1"/>
      <c r="V60" s="1"/>
      <c r="W60" s="1">
        <f>'[12]Hernandes&amp;Barrios_2020_Fig1'!B5*0.001</f>
        <v>3.5658914728681996E-11</v>
      </c>
      <c r="X60" s="1"/>
      <c r="Y60" s="1"/>
      <c r="Z60" s="1"/>
      <c r="AB60" s="1"/>
      <c r="AC60" s="2"/>
      <c r="AE60" s="2"/>
      <c r="AF60" s="2"/>
      <c r="AJ60" t="s">
        <v>203</v>
      </c>
    </row>
    <row r="61" spans="1:36" x14ac:dyDescent="0.25">
      <c r="A61" t="s">
        <v>28</v>
      </c>
      <c r="B61" t="s">
        <v>29</v>
      </c>
      <c r="C61" t="s">
        <v>30</v>
      </c>
      <c r="D61" t="s">
        <v>18</v>
      </c>
      <c r="E61" t="s">
        <v>31</v>
      </c>
      <c r="F61" t="s">
        <v>32</v>
      </c>
      <c r="G61" t="s">
        <v>32</v>
      </c>
      <c r="H61" t="s">
        <v>712</v>
      </c>
      <c r="I61">
        <v>15</v>
      </c>
      <c r="J61" t="s">
        <v>637</v>
      </c>
      <c r="K61" t="s">
        <v>39</v>
      </c>
      <c r="L61" t="str">
        <f t="shared" si="7"/>
        <v>Control</v>
      </c>
      <c r="M61" t="s">
        <v>417</v>
      </c>
      <c r="N61" t="s">
        <v>716</v>
      </c>
      <c r="Q61" t="s">
        <v>412</v>
      </c>
      <c r="R61" t="s">
        <v>709</v>
      </c>
      <c r="S61" t="s">
        <v>703</v>
      </c>
      <c r="T61" t="s">
        <v>615</v>
      </c>
      <c r="U61" s="1" t="s">
        <v>755</v>
      </c>
      <c r="V61" s="1">
        <v>3.7799999999999999E-10</v>
      </c>
      <c r="W61" s="1"/>
      <c r="X61" s="1"/>
      <c r="Y61" s="1"/>
      <c r="Z61" s="1"/>
      <c r="AA61" s="1">
        <v>1.3E-7</v>
      </c>
      <c r="AB61" s="1"/>
      <c r="AC61">
        <v>18.72</v>
      </c>
      <c r="AD61" s="3">
        <v>358.56</v>
      </c>
      <c r="AE61" s="2"/>
      <c r="AF61" s="2"/>
      <c r="AG61" s="2">
        <v>0.2</v>
      </c>
      <c r="AI61" s="3"/>
      <c r="AJ61" t="s">
        <v>203</v>
      </c>
    </row>
    <row r="62" spans="1:36" x14ac:dyDescent="0.25">
      <c r="A62" t="s">
        <v>28</v>
      </c>
      <c r="B62" t="s">
        <v>29</v>
      </c>
      <c r="C62" t="s">
        <v>30</v>
      </c>
      <c r="D62" t="s">
        <v>18</v>
      </c>
      <c r="E62" t="s">
        <v>31</v>
      </c>
      <c r="F62" t="s">
        <v>32</v>
      </c>
      <c r="G62" t="s">
        <v>32</v>
      </c>
      <c r="H62" t="s">
        <v>712</v>
      </c>
      <c r="I62">
        <v>15</v>
      </c>
      <c r="J62" t="s">
        <v>637</v>
      </c>
      <c r="K62" t="s">
        <v>39</v>
      </c>
      <c r="L62" t="str">
        <f t="shared" si="7"/>
        <v>Control</v>
      </c>
      <c r="M62" t="s">
        <v>418</v>
      </c>
      <c r="N62" t="s">
        <v>716</v>
      </c>
      <c r="Q62" t="s">
        <v>412</v>
      </c>
      <c r="R62" t="s">
        <v>709</v>
      </c>
      <c r="S62" t="s">
        <v>703</v>
      </c>
      <c r="T62" t="s">
        <v>615</v>
      </c>
      <c r="U62" s="1" t="s">
        <v>755</v>
      </c>
      <c r="V62" s="1">
        <v>4.8399999999999998E-10</v>
      </c>
      <c r="W62" s="1"/>
      <c r="X62" s="1"/>
      <c r="Y62" s="1"/>
      <c r="Z62" s="1"/>
      <c r="AA62" s="1">
        <v>9.2700000000000003E-8</v>
      </c>
      <c r="AB62" s="1"/>
      <c r="AC62">
        <v>20.260000000000002</v>
      </c>
      <c r="AD62" s="3">
        <v>477.08</v>
      </c>
      <c r="AE62" s="2"/>
      <c r="AF62" s="2"/>
      <c r="AG62" s="2">
        <v>0.19</v>
      </c>
      <c r="AI62" s="3"/>
      <c r="AJ62" t="s">
        <v>203</v>
      </c>
    </row>
    <row r="63" spans="1:36" x14ac:dyDescent="0.25">
      <c r="A63" t="s">
        <v>28</v>
      </c>
      <c r="B63" t="s">
        <v>29</v>
      </c>
      <c r="C63" t="s">
        <v>30</v>
      </c>
      <c r="D63" t="s">
        <v>18</v>
      </c>
      <c r="E63" t="s">
        <v>31</v>
      </c>
      <c r="F63" t="s">
        <v>32</v>
      </c>
      <c r="G63" t="s">
        <v>32</v>
      </c>
      <c r="H63" t="s">
        <v>712</v>
      </c>
      <c r="I63">
        <v>15</v>
      </c>
      <c r="J63" t="s">
        <v>637</v>
      </c>
      <c r="K63" t="s">
        <v>711</v>
      </c>
      <c r="L63" t="str">
        <f t="shared" ref="L63:L81" si="11">+IF(K63 = "Control", "Control", "Stress")</f>
        <v>Stress</v>
      </c>
      <c r="M63" t="s">
        <v>417</v>
      </c>
      <c r="N63" t="s">
        <v>716</v>
      </c>
      <c r="Q63" t="s">
        <v>412</v>
      </c>
      <c r="R63" t="s">
        <v>709</v>
      </c>
      <c r="S63" t="s">
        <v>703</v>
      </c>
      <c r="T63" t="s">
        <v>615</v>
      </c>
      <c r="U63" s="1" t="s">
        <v>755</v>
      </c>
      <c r="V63" s="1">
        <v>6.2700000000000001E-11</v>
      </c>
      <c r="W63" s="1"/>
      <c r="X63" s="1"/>
      <c r="Y63" s="1"/>
      <c r="Z63" s="1"/>
      <c r="AA63" s="1">
        <v>2E-8</v>
      </c>
      <c r="AB63" s="1"/>
      <c r="AC63">
        <v>18.72</v>
      </c>
      <c r="AD63" s="3">
        <v>358.56</v>
      </c>
      <c r="AE63" s="2"/>
      <c r="AF63" s="2"/>
      <c r="AG63" s="2">
        <v>0.2</v>
      </c>
      <c r="AI63" s="3"/>
      <c r="AJ63" t="s">
        <v>203</v>
      </c>
    </row>
    <row r="64" spans="1:36" x14ac:dyDescent="0.25">
      <c r="A64" t="s">
        <v>28</v>
      </c>
      <c r="B64" t="s">
        <v>29</v>
      </c>
      <c r="C64" t="s">
        <v>30</v>
      </c>
      <c r="D64" t="s">
        <v>18</v>
      </c>
      <c r="E64" t="s">
        <v>31</v>
      </c>
      <c r="F64" t="s">
        <v>32</v>
      </c>
      <c r="G64" t="s">
        <v>32</v>
      </c>
      <c r="H64" t="s">
        <v>712</v>
      </c>
      <c r="I64">
        <v>15</v>
      </c>
      <c r="J64" t="s">
        <v>637</v>
      </c>
      <c r="K64" t="s">
        <v>711</v>
      </c>
      <c r="L64" t="str">
        <f t="shared" si="11"/>
        <v>Stress</v>
      </c>
      <c r="M64" t="s">
        <v>418</v>
      </c>
      <c r="N64" t="s">
        <v>716</v>
      </c>
      <c r="Q64" t="s">
        <v>412</v>
      </c>
      <c r="R64" t="s">
        <v>709</v>
      </c>
      <c r="S64" t="s">
        <v>703</v>
      </c>
      <c r="T64" t="s">
        <v>615</v>
      </c>
      <c r="U64" s="1" t="s">
        <v>755</v>
      </c>
      <c r="V64" s="1">
        <v>1.0300000000000001E-10</v>
      </c>
      <c r="W64" s="1"/>
      <c r="X64" s="1"/>
      <c r="Y64" s="1"/>
      <c r="Z64" s="1"/>
      <c r="AA64" s="1">
        <v>2.1900000000000001E-8</v>
      </c>
      <c r="AB64" s="1"/>
      <c r="AC64">
        <v>20.260000000000002</v>
      </c>
      <c r="AD64" s="3">
        <v>477.08</v>
      </c>
      <c r="AE64" s="2"/>
      <c r="AF64" s="2"/>
      <c r="AG64" s="2">
        <v>0.19</v>
      </c>
      <c r="AI64" s="3"/>
      <c r="AJ64" t="s">
        <v>203</v>
      </c>
    </row>
    <row r="65" spans="1:36" x14ac:dyDescent="0.25">
      <c r="A65" t="s">
        <v>33</v>
      </c>
      <c r="B65" t="s">
        <v>34</v>
      </c>
      <c r="C65" t="s">
        <v>35</v>
      </c>
      <c r="D65" t="s">
        <v>36</v>
      </c>
      <c r="E65" t="s">
        <v>19</v>
      </c>
      <c r="F65" t="s">
        <v>37</v>
      </c>
      <c r="G65" t="s">
        <v>622</v>
      </c>
      <c r="H65" t="s">
        <v>714</v>
      </c>
      <c r="I65">
        <f>21+10</f>
        <v>31</v>
      </c>
      <c r="J65" t="s">
        <v>38</v>
      </c>
      <c r="K65" t="s">
        <v>39</v>
      </c>
      <c r="L65" t="str">
        <f t="shared" si="11"/>
        <v>Control</v>
      </c>
      <c r="Q65" t="s">
        <v>412</v>
      </c>
      <c r="R65" t="s">
        <v>709</v>
      </c>
      <c r="S65" t="s">
        <v>703</v>
      </c>
      <c r="T65" t="s">
        <v>615</v>
      </c>
      <c r="U65" s="1" t="s">
        <v>755</v>
      </c>
      <c r="V65" s="1">
        <f>[13]Gavassi_etal_2020_Fig3b!B2</f>
        <v>1.0453333333333301E-8</v>
      </c>
      <c r="W65" s="2"/>
      <c r="X65" s="1"/>
      <c r="Y65" s="1"/>
      <c r="Z65" s="1"/>
      <c r="AA65" s="1">
        <f>+V65/(AC65/10000)</f>
        <v>1.8010567424764477E-7</v>
      </c>
      <c r="AB65" s="1"/>
      <c r="AC65">
        <v>580.4</v>
      </c>
      <c r="AD65" s="3"/>
      <c r="AE65" s="2">
        <v>0.21</v>
      </c>
      <c r="AF65" s="2"/>
      <c r="AG65" s="2">
        <v>0.35</v>
      </c>
      <c r="AI65" s="3"/>
      <c r="AJ65" t="s">
        <v>203</v>
      </c>
    </row>
    <row r="66" spans="1:36" x14ac:dyDescent="0.25">
      <c r="A66" t="s">
        <v>33</v>
      </c>
      <c r="B66" t="s">
        <v>34</v>
      </c>
      <c r="C66" t="s">
        <v>35</v>
      </c>
      <c r="D66" t="s">
        <v>36</v>
      </c>
      <c r="E66" t="s">
        <v>19</v>
      </c>
      <c r="F66" t="s">
        <v>37</v>
      </c>
      <c r="G66" t="s">
        <v>622</v>
      </c>
      <c r="H66" t="s">
        <v>714</v>
      </c>
      <c r="I66">
        <f>21+10</f>
        <v>31</v>
      </c>
      <c r="J66" t="s">
        <v>38</v>
      </c>
      <c r="K66" t="s">
        <v>40</v>
      </c>
      <c r="L66" t="str">
        <f t="shared" si="11"/>
        <v>Stress</v>
      </c>
      <c r="Q66" t="s">
        <v>412</v>
      </c>
      <c r="R66" t="s">
        <v>709</v>
      </c>
      <c r="S66" t="s">
        <v>703</v>
      </c>
      <c r="T66" t="s">
        <v>615</v>
      </c>
      <c r="U66" s="1" t="s">
        <v>755</v>
      </c>
      <c r="V66" s="1">
        <f>[13]Gavassi_etal_2020_Fig3b!B3</f>
        <v>8.0499999999999993E-9</v>
      </c>
      <c r="X66" s="1"/>
      <c r="Y66" s="1"/>
      <c r="Z66" s="1"/>
      <c r="AA66" s="1">
        <f>+V66/(AC66/10000)</f>
        <v>2.2435897435897433E-7</v>
      </c>
      <c r="AB66" s="1"/>
      <c r="AC66">
        <v>358.8</v>
      </c>
      <c r="AD66" s="3"/>
      <c r="AE66" s="2">
        <v>0.15</v>
      </c>
      <c r="AF66" s="2"/>
      <c r="AG66" s="2">
        <v>0.45</v>
      </c>
      <c r="AI66" s="3"/>
      <c r="AJ66" t="s">
        <v>203</v>
      </c>
    </row>
    <row r="67" spans="1:36" x14ac:dyDescent="0.25">
      <c r="A67" t="s">
        <v>33</v>
      </c>
      <c r="B67" t="s">
        <v>34</v>
      </c>
      <c r="C67" t="s">
        <v>35</v>
      </c>
      <c r="D67" t="s">
        <v>36</v>
      </c>
      <c r="E67" t="s">
        <v>19</v>
      </c>
      <c r="F67" t="s">
        <v>37</v>
      </c>
      <c r="G67" t="s">
        <v>622</v>
      </c>
      <c r="H67" t="s">
        <v>714</v>
      </c>
      <c r="I67">
        <f>21+10</f>
        <v>31</v>
      </c>
      <c r="J67" t="s">
        <v>38</v>
      </c>
      <c r="K67" t="s">
        <v>41</v>
      </c>
      <c r="L67" t="str">
        <f t="shared" si="11"/>
        <v>Stress</v>
      </c>
      <c r="Q67" t="s">
        <v>412</v>
      </c>
      <c r="R67" t="s">
        <v>709</v>
      </c>
      <c r="S67" t="s">
        <v>703</v>
      </c>
      <c r="T67" t="s">
        <v>615</v>
      </c>
      <c r="U67" s="1" t="s">
        <v>755</v>
      </c>
      <c r="V67" s="1">
        <f>[13]Gavassi_etal_2020_Fig3b!B4</f>
        <v>5.2966666666666602E-9</v>
      </c>
      <c r="X67" s="1"/>
      <c r="Y67" s="1"/>
      <c r="Z67" s="1"/>
      <c r="AA67" s="1">
        <f>+V67/(AC67/10000)</f>
        <v>3.9176528599605475E-7</v>
      </c>
      <c r="AB67" s="1"/>
      <c r="AC67">
        <v>135.19999999999999</v>
      </c>
      <c r="AD67" s="3"/>
      <c r="AE67" s="2">
        <v>0.1</v>
      </c>
      <c r="AF67" s="2"/>
      <c r="AG67" s="2">
        <v>0.49</v>
      </c>
      <c r="AI67" s="3"/>
      <c r="AJ67" t="s">
        <v>203</v>
      </c>
    </row>
    <row r="68" spans="1:36" x14ac:dyDescent="0.25">
      <c r="A68" t="s">
        <v>33</v>
      </c>
      <c r="B68" t="s">
        <v>34</v>
      </c>
      <c r="C68" t="s">
        <v>35</v>
      </c>
      <c r="D68" t="s">
        <v>36</v>
      </c>
      <c r="E68" t="s">
        <v>19</v>
      </c>
      <c r="F68" t="s">
        <v>37</v>
      </c>
      <c r="G68" t="s">
        <v>622</v>
      </c>
      <c r="H68" t="s">
        <v>714</v>
      </c>
      <c r="I68">
        <f>21+10</f>
        <v>31</v>
      </c>
      <c r="J68" t="s">
        <v>38</v>
      </c>
      <c r="K68" t="s">
        <v>42</v>
      </c>
      <c r="L68" t="str">
        <f t="shared" si="11"/>
        <v>Stress</v>
      </c>
      <c r="Q68" t="s">
        <v>412</v>
      </c>
      <c r="R68" t="s">
        <v>709</v>
      </c>
      <c r="S68" t="s">
        <v>703</v>
      </c>
      <c r="T68" t="s">
        <v>615</v>
      </c>
      <c r="U68" s="1" t="s">
        <v>755</v>
      </c>
      <c r="V68" s="1">
        <f>[13]Gavassi_etal_2020_Fig3b!B5</f>
        <v>3.0333333333333299E-9</v>
      </c>
      <c r="X68" s="1"/>
      <c r="Y68" s="1"/>
      <c r="Z68" s="1"/>
      <c r="AA68" s="1">
        <f>+V68/(AC68/10000)</f>
        <v>6.770833333333326E-7</v>
      </c>
      <c r="AB68" s="1"/>
      <c r="AC68">
        <v>44.8</v>
      </c>
      <c r="AD68" s="3"/>
      <c r="AE68" s="2">
        <v>0.04</v>
      </c>
      <c r="AF68" s="2"/>
      <c r="AG68" s="2">
        <v>0.45</v>
      </c>
      <c r="AI68" s="3"/>
      <c r="AJ68" t="s">
        <v>203</v>
      </c>
    </row>
    <row r="69" spans="1:36" x14ac:dyDescent="0.25">
      <c r="A69" t="s">
        <v>43</v>
      </c>
      <c r="B69" t="s">
        <v>44</v>
      </c>
      <c r="C69" t="s">
        <v>45</v>
      </c>
      <c r="D69" t="s">
        <v>46</v>
      </c>
      <c r="E69" t="s">
        <v>19</v>
      </c>
      <c r="G69" t="s">
        <v>621</v>
      </c>
      <c r="H69" t="s">
        <v>714</v>
      </c>
      <c r="I69">
        <f>365+2*30</f>
        <v>425</v>
      </c>
      <c r="J69" t="s">
        <v>425</v>
      </c>
      <c r="K69" t="s">
        <v>39</v>
      </c>
      <c r="L69" t="str">
        <f t="shared" si="11"/>
        <v>Control</v>
      </c>
      <c r="M69" t="s">
        <v>628</v>
      </c>
      <c r="N69" t="s">
        <v>716</v>
      </c>
      <c r="Q69" t="s">
        <v>412</v>
      </c>
      <c r="R69" t="s">
        <v>709</v>
      </c>
      <c r="S69" t="s">
        <v>703</v>
      </c>
      <c r="T69" t="s">
        <v>615</v>
      </c>
      <c r="U69" s="1"/>
      <c r="V69" s="1"/>
      <c r="X69" s="1">
        <f>[14]Dayer_etal_2020_Fig5b!B2</f>
        <v>6.5879265091863103E-9</v>
      </c>
      <c r="Y69" s="1"/>
      <c r="Z69" s="1"/>
      <c r="AB69" s="1"/>
      <c r="AD69" s="3"/>
      <c r="AE69" s="2"/>
      <c r="AF69" s="2"/>
      <c r="AJ69" t="s">
        <v>47</v>
      </c>
    </row>
    <row r="70" spans="1:36" x14ac:dyDescent="0.25">
      <c r="A70" t="s">
        <v>43</v>
      </c>
      <c r="B70" t="s">
        <v>44</v>
      </c>
      <c r="C70" t="s">
        <v>45</v>
      </c>
      <c r="D70" t="s">
        <v>46</v>
      </c>
      <c r="E70" t="s">
        <v>19</v>
      </c>
      <c r="G70" t="s">
        <v>621</v>
      </c>
      <c r="H70" t="s">
        <v>714</v>
      </c>
      <c r="I70">
        <f>365+2*30</f>
        <v>425</v>
      </c>
      <c r="J70" t="s">
        <v>425</v>
      </c>
      <c r="K70" t="s">
        <v>51</v>
      </c>
      <c r="L70" t="str">
        <f t="shared" si="11"/>
        <v>Stress</v>
      </c>
      <c r="M70" t="s">
        <v>628</v>
      </c>
      <c r="N70" t="s">
        <v>716</v>
      </c>
      <c r="Q70" t="s">
        <v>412</v>
      </c>
      <c r="R70" t="s">
        <v>709</v>
      </c>
      <c r="S70" t="s">
        <v>703</v>
      </c>
      <c r="T70" t="s">
        <v>615</v>
      </c>
      <c r="U70" s="1"/>
      <c r="V70" s="1"/>
      <c r="X70" s="1">
        <f>[14]Dayer_etal_2020_Fig5b!B3</f>
        <v>1.78477690288713E-9</v>
      </c>
      <c r="Y70" s="1"/>
      <c r="Z70" s="1"/>
      <c r="AB70" s="1"/>
      <c r="AD70" s="3"/>
      <c r="AE70" s="2"/>
      <c r="AF70" s="2"/>
      <c r="AJ70" t="s">
        <v>47</v>
      </c>
    </row>
    <row r="71" spans="1:36" x14ac:dyDescent="0.25">
      <c r="A71" t="s">
        <v>43</v>
      </c>
      <c r="B71" t="s">
        <v>44</v>
      </c>
      <c r="C71" t="s">
        <v>45</v>
      </c>
      <c r="D71" t="s">
        <v>46</v>
      </c>
      <c r="E71" t="s">
        <v>19</v>
      </c>
      <c r="G71" t="s">
        <v>621</v>
      </c>
      <c r="H71" t="s">
        <v>714</v>
      </c>
      <c r="I71">
        <f>365+2*30</f>
        <v>425</v>
      </c>
      <c r="J71" t="s">
        <v>425</v>
      </c>
      <c r="K71" t="s">
        <v>39</v>
      </c>
      <c r="L71" t="str">
        <f t="shared" si="11"/>
        <v>Control</v>
      </c>
      <c r="M71" t="s">
        <v>629</v>
      </c>
      <c r="N71" t="s">
        <v>716</v>
      </c>
      <c r="Q71" t="s">
        <v>412</v>
      </c>
      <c r="R71" t="s">
        <v>709</v>
      </c>
      <c r="S71" t="s">
        <v>703</v>
      </c>
      <c r="T71" t="s">
        <v>615</v>
      </c>
      <c r="U71" s="1"/>
      <c r="V71" s="1"/>
      <c r="X71" s="1">
        <f>[14]Dayer_etal_2020_Fig5b!B4</f>
        <v>6.2992125984251801E-10</v>
      </c>
      <c r="Y71" s="1"/>
      <c r="Z71" s="1"/>
      <c r="AB71" s="1"/>
      <c r="AD71" s="3"/>
      <c r="AE71" s="2"/>
      <c r="AF71" s="2"/>
      <c r="AJ71" t="s">
        <v>47</v>
      </c>
    </row>
    <row r="72" spans="1:36" x14ac:dyDescent="0.25">
      <c r="A72" t="s">
        <v>43</v>
      </c>
      <c r="B72" t="s">
        <v>44</v>
      </c>
      <c r="C72" t="s">
        <v>45</v>
      </c>
      <c r="D72" t="s">
        <v>46</v>
      </c>
      <c r="E72" t="s">
        <v>19</v>
      </c>
      <c r="G72" t="s">
        <v>621</v>
      </c>
      <c r="H72" t="s">
        <v>714</v>
      </c>
      <c r="I72">
        <f>365+2*30</f>
        <v>425</v>
      </c>
      <c r="J72" t="s">
        <v>425</v>
      </c>
      <c r="K72" t="s">
        <v>51</v>
      </c>
      <c r="L72" t="str">
        <f t="shared" si="11"/>
        <v>Stress</v>
      </c>
      <c r="M72" t="s">
        <v>629</v>
      </c>
      <c r="N72" t="s">
        <v>716</v>
      </c>
      <c r="Q72" t="s">
        <v>412</v>
      </c>
      <c r="R72" t="s">
        <v>709</v>
      </c>
      <c r="S72" t="s">
        <v>703</v>
      </c>
      <c r="T72" t="s">
        <v>615</v>
      </c>
      <c r="U72" s="1"/>
      <c r="V72" s="1"/>
      <c r="X72" s="1">
        <f>[14]Dayer_etal_2020_Fig5b!B5</f>
        <v>1.2335958005249299E-9</v>
      </c>
      <c r="Y72" s="1"/>
      <c r="Z72" s="1"/>
      <c r="AB72" s="1"/>
      <c r="AD72" s="3"/>
      <c r="AE72" s="2"/>
      <c r="AF72" s="2"/>
      <c r="AJ72" t="s">
        <v>47</v>
      </c>
    </row>
    <row r="73" spans="1:36" x14ac:dyDescent="0.25">
      <c r="A73" t="s">
        <v>230</v>
      </c>
      <c r="B73" t="s">
        <v>231</v>
      </c>
      <c r="C73" t="s">
        <v>232</v>
      </c>
      <c r="D73" t="s">
        <v>200</v>
      </c>
      <c r="E73" t="s">
        <v>19</v>
      </c>
      <c r="F73" t="s">
        <v>201</v>
      </c>
      <c r="G73" t="s">
        <v>620</v>
      </c>
      <c r="H73" t="s">
        <v>713</v>
      </c>
      <c r="I73">
        <f t="shared" ref="I73:I78" si="12">1*365+4*30+7*7</f>
        <v>534</v>
      </c>
      <c r="J73" t="s">
        <v>632</v>
      </c>
      <c r="K73" t="s">
        <v>39</v>
      </c>
      <c r="L73" t="str">
        <f t="shared" si="11"/>
        <v>Control</v>
      </c>
      <c r="M73">
        <v>15</v>
      </c>
      <c r="N73" t="s">
        <v>716</v>
      </c>
      <c r="Q73" t="s">
        <v>412</v>
      </c>
      <c r="R73" t="s">
        <v>709</v>
      </c>
      <c r="S73" t="s">
        <v>703</v>
      </c>
      <c r="T73" t="s">
        <v>615</v>
      </c>
      <c r="U73" s="1" t="s">
        <v>754</v>
      </c>
      <c r="V73" s="1">
        <f t="shared" ref="V73:V78" si="13">+X73*AE73</f>
        <v>7.8093569400000016E-8</v>
      </c>
      <c r="W73" s="1"/>
      <c r="X73" s="1">
        <f>'[15]Rodriguez-Gamir_etal_2019_Fig2f'!C2</f>
        <v>9.2200200000000006E-9</v>
      </c>
      <c r="AE73">
        <v>8.4700000000000006</v>
      </c>
      <c r="AJ73" t="s">
        <v>47</v>
      </c>
    </row>
    <row r="74" spans="1:36" x14ac:dyDescent="0.25">
      <c r="A74" t="s">
        <v>230</v>
      </c>
      <c r="B74" t="s">
        <v>231</v>
      </c>
      <c r="C74" t="s">
        <v>232</v>
      </c>
      <c r="D74" t="s">
        <v>200</v>
      </c>
      <c r="E74" t="s">
        <v>19</v>
      </c>
      <c r="F74" t="s">
        <v>201</v>
      </c>
      <c r="G74" t="s">
        <v>620</v>
      </c>
      <c r="H74" t="s">
        <v>713</v>
      </c>
      <c r="I74">
        <f t="shared" si="12"/>
        <v>534</v>
      </c>
      <c r="J74" t="s">
        <v>632</v>
      </c>
      <c r="K74" t="s">
        <v>51</v>
      </c>
      <c r="L74" t="str">
        <f t="shared" si="11"/>
        <v>Stress</v>
      </c>
      <c r="M74">
        <v>15</v>
      </c>
      <c r="N74" t="s">
        <v>716</v>
      </c>
      <c r="Q74" t="s">
        <v>412</v>
      </c>
      <c r="R74" t="s">
        <v>709</v>
      </c>
      <c r="S74" t="s">
        <v>703</v>
      </c>
      <c r="T74" t="s">
        <v>615</v>
      </c>
      <c r="U74" s="1" t="s">
        <v>754</v>
      </c>
      <c r="V74" s="1">
        <f t="shared" si="13"/>
        <v>4.3247555999999995E-8</v>
      </c>
      <c r="W74" s="1"/>
      <c r="X74" s="1">
        <f>'[15]Rodriguez-Gamir_etal_2019_Fig2f'!C3</f>
        <v>5.4605499999999997E-9</v>
      </c>
      <c r="AE74">
        <v>7.92</v>
      </c>
      <c r="AJ74" t="s">
        <v>47</v>
      </c>
    </row>
    <row r="75" spans="1:36" x14ac:dyDescent="0.25">
      <c r="A75" t="s">
        <v>230</v>
      </c>
      <c r="B75" t="s">
        <v>231</v>
      </c>
      <c r="C75" t="s">
        <v>232</v>
      </c>
      <c r="D75" t="s">
        <v>200</v>
      </c>
      <c r="E75" t="s">
        <v>19</v>
      </c>
      <c r="F75" t="s">
        <v>201</v>
      </c>
      <c r="G75" t="s">
        <v>620</v>
      </c>
      <c r="H75" t="s">
        <v>713</v>
      </c>
      <c r="I75">
        <f t="shared" si="12"/>
        <v>534</v>
      </c>
      <c r="J75" t="s">
        <v>632</v>
      </c>
      <c r="K75" t="s">
        <v>39</v>
      </c>
      <c r="L75" t="str">
        <f t="shared" si="11"/>
        <v>Control</v>
      </c>
      <c r="M75">
        <v>44</v>
      </c>
      <c r="N75" t="s">
        <v>716</v>
      </c>
      <c r="Q75" t="s">
        <v>412</v>
      </c>
      <c r="R75" t="s">
        <v>709</v>
      </c>
      <c r="S75" t="s">
        <v>703</v>
      </c>
      <c r="T75" t="s">
        <v>615</v>
      </c>
      <c r="U75" s="1" t="s">
        <v>754</v>
      </c>
      <c r="V75" s="1">
        <f t="shared" si="13"/>
        <v>4.7638046400000001E-8</v>
      </c>
      <c r="W75" s="1"/>
      <c r="X75" s="1">
        <f>'[15]Rodriguez-Gamir_etal_2019_Fig2f'!C4</f>
        <v>5.9696799999999996E-9</v>
      </c>
      <c r="AE75">
        <v>7.98</v>
      </c>
      <c r="AJ75" t="s">
        <v>47</v>
      </c>
    </row>
    <row r="76" spans="1:36" x14ac:dyDescent="0.25">
      <c r="A76" t="s">
        <v>230</v>
      </c>
      <c r="B76" t="s">
        <v>231</v>
      </c>
      <c r="C76" t="s">
        <v>232</v>
      </c>
      <c r="D76" t="s">
        <v>200</v>
      </c>
      <c r="E76" t="s">
        <v>19</v>
      </c>
      <c r="F76" t="s">
        <v>201</v>
      </c>
      <c r="G76" t="s">
        <v>620</v>
      </c>
      <c r="H76" t="s">
        <v>713</v>
      </c>
      <c r="I76">
        <f t="shared" si="12"/>
        <v>534</v>
      </c>
      <c r="J76" t="s">
        <v>632</v>
      </c>
      <c r="K76" t="s">
        <v>51</v>
      </c>
      <c r="L76" t="str">
        <f t="shared" si="11"/>
        <v>Stress</v>
      </c>
      <c r="M76">
        <v>44</v>
      </c>
      <c r="N76" t="s">
        <v>716</v>
      </c>
      <c r="Q76" t="s">
        <v>412</v>
      </c>
      <c r="R76" t="s">
        <v>709</v>
      </c>
      <c r="S76" t="s">
        <v>703</v>
      </c>
      <c r="T76" t="s">
        <v>615</v>
      </c>
      <c r="U76" s="1" t="s">
        <v>754</v>
      </c>
      <c r="V76" s="1">
        <f t="shared" si="13"/>
        <v>3.0384338600000001E-8</v>
      </c>
      <c r="W76" s="1"/>
      <c r="X76" s="1">
        <f>'[15]Rodriguez-Gamir_etal_2019_Fig2f'!C5</f>
        <v>3.9822200000000003E-9</v>
      </c>
      <c r="AE76">
        <v>7.63</v>
      </c>
      <c r="AJ76" t="s">
        <v>47</v>
      </c>
    </row>
    <row r="77" spans="1:36" x14ac:dyDescent="0.25">
      <c r="A77" t="s">
        <v>230</v>
      </c>
      <c r="B77" t="s">
        <v>231</v>
      </c>
      <c r="C77" t="s">
        <v>232</v>
      </c>
      <c r="D77" t="s">
        <v>200</v>
      </c>
      <c r="E77" t="s">
        <v>19</v>
      </c>
      <c r="F77" t="s">
        <v>201</v>
      </c>
      <c r="G77" t="s">
        <v>620</v>
      </c>
      <c r="H77" t="s">
        <v>713</v>
      </c>
      <c r="I77">
        <f t="shared" si="12"/>
        <v>534</v>
      </c>
      <c r="J77" t="s">
        <v>632</v>
      </c>
      <c r="K77" t="s">
        <v>39</v>
      </c>
      <c r="L77" t="str">
        <f t="shared" si="11"/>
        <v>Control</v>
      </c>
      <c r="M77">
        <v>48</v>
      </c>
      <c r="N77" t="s">
        <v>716</v>
      </c>
      <c r="Q77" t="s">
        <v>412</v>
      </c>
      <c r="R77" t="s">
        <v>709</v>
      </c>
      <c r="S77" t="s">
        <v>703</v>
      </c>
      <c r="T77" t="s">
        <v>615</v>
      </c>
      <c r="U77" s="1" t="s">
        <v>754</v>
      </c>
      <c r="V77" s="1">
        <f t="shared" si="13"/>
        <v>6.1322048E-8</v>
      </c>
      <c r="W77" s="1"/>
      <c r="X77" s="1">
        <f>'[15]Rodriguez-Gamir_etal_2019_Fig2f'!C6</f>
        <v>6.6654400000000001E-9</v>
      </c>
      <c r="AE77">
        <v>9.1999999999999993</v>
      </c>
      <c r="AJ77" t="s">
        <v>47</v>
      </c>
    </row>
    <row r="78" spans="1:36" x14ac:dyDescent="0.25">
      <c r="A78" t="s">
        <v>230</v>
      </c>
      <c r="B78" t="s">
        <v>231</v>
      </c>
      <c r="C78" t="s">
        <v>232</v>
      </c>
      <c r="D78" t="s">
        <v>200</v>
      </c>
      <c r="E78" t="s">
        <v>19</v>
      </c>
      <c r="F78" t="s">
        <v>201</v>
      </c>
      <c r="G78" t="s">
        <v>620</v>
      </c>
      <c r="H78" t="s">
        <v>713</v>
      </c>
      <c r="I78">
        <f t="shared" si="12"/>
        <v>534</v>
      </c>
      <c r="J78" t="s">
        <v>632</v>
      </c>
      <c r="K78" t="s">
        <v>51</v>
      </c>
      <c r="L78" t="str">
        <f t="shared" si="11"/>
        <v>Stress</v>
      </c>
      <c r="M78">
        <v>48</v>
      </c>
      <c r="N78" t="s">
        <v>716</v>
      </c>
      <c r="Q78" t="s">
        <v>412</v>
      </c>
      <c r="R78" t="s">
        <v>709</v>
      </c>
      <c r="S78" t="s">
        <v>703</v>
      </c>
      <c r="T78" t="s">
        <v>615</v>
      </c>
      <c r="U78" s="1" t="s">
        <v>754</v>
      </c>
      <c r="V78" s="1">
        <f t="shared" si="13"/>
        <v>3.0282920399999995E-8</v>
      </c>
      <c r="W78" s="1"/>
      <c r="X78" s="1">
        <f>'[15]Rodriguez-Gamir_etal_2019_Fig2f'!C7</f>
        <v>3.5922799999999999E-9</v>
      </c>
      <c r="AE78">
        <v>8.43</v>
      </c>
      <c r="AJ78" t="s">
        <v>47</v>
      </c>
    </row>
    <row r="79" spans="1:36" x14ac:dyDescent="0.25">
      <c r="A79" t="s">
        <v>233</v>
      </c>
      <c r="B79" t="s">
        <v>56</v>
      </c>
      <c r="C79" t="s">
        <v>57</v>
      </c>
      <c r="D79" t="s">
        <v>18</v>
      </c>
      <c r="E79" t="s">
        <v>19</v>
      </c>
      <c r="F79" t="s">
        <v>20</v>
      </c>
      <c r="G79" t="s">
        <v>20</v>
      </c>
      <c r="H79" t="s">
        <v>712</v>
      </c>
      <c r="I79">
        <f>6*7</f>
        <v>42</v>
      </c>
      <c r="J79" s="6" t="s">
        <v>406</v>
      </c>
      <c r="K79" t="s">
        <v>39</v>
      </c>
      <c r="L79" t="str">
        <f t="shared" si="11"/>
        <v>Control</v>
      </c>
      <c r="Q79" t="s">
        <v>412</v>
      </c>
      <c r="R79" t="s">
        <v>709</v>
      </c>
      <c r="S79" t="s">
        <v>703</v>
      </c>
      <c r="T79" t="s">
        <v>615</v>
      </c>
      <c r="U79" s="1" t="s">
        <v>754</v>
      </c>
      <c r="V79" s="1">
        <f t="shared" ref="V79:V81" si="14">+AA79*AC79/10000</f>
        <v>4.1202405874437409E-8</v>
      </c>
      <c r="W79" s="1"/>
      <c r="Y79" s="1"/>
      <c r="Z79" s="1"/>
      <c r="AA79" s="1">
        <f>[16]Ding_etal_2019_Fig4!C2</f>
        <v>4.4785223776562402E-6</v>
      </c>
      <c r="AC79">
        <v>92</v>
      </c>
      <c r="AD79">
        <v>1013</v>
      </c>
      <c r="AG79" s="2">
        <v>0.28000000000000003</v>
      </c>
      <c r="AI79" s="3"/>
      <c r="AJ79" t="s">
        <v>47</v>
      </c>
    </row>
    <row r="80" spans="1:36" x14ac:dyDescent="0.25">
      <c r="A80" t="s">
        <v>233</v>
      </c>
      <c r="B80" t="s">
        <v>56</v>
      </c>
      <c r="C80" t="s">
        <v>57</v>
      </c>
      <c r="D80" t="s">
        <v>18</v>
      </c>
      <c r="E80" t="s">
        <v>19</v>
      </c>
      <c r="F80" t="s">
        <v>20</v>
      </c>
      <c r="G80" t="s">
        <v>20</v>
      </c>
      <c r="H80" t="s">
        <v>712</v>
      </c>
      <c r="I80">
        <f>6*7</f>
        <v>42</v>
      </c>
      <c r="J80" s="6" t="s">
        <v>406</v>
      </c>
      <c r="K80" t="s">
        <v>711</v>
      </c>
      <c r="L80" t="str">
        <f t="shared" si="11"/>
        <v>Stress</v>
      </c>
      <c r="Q80" t="s">
        <v>412</v>
      </c>
      <c r="R80" t="s">
        <v>709</v>
      </c>
      <c r="S80" t="s">
        <v>703</v>
      </c>
      <c r="T80" t="s">
        <v>615</v>
      </c>
      <c r="U80" s="1" t="s">
        <v>754</v>
      </c>
      <c r="V80" s="1">
        <f t="shared" si="14"/>
        <v>5.5265009655253895E-9</v>
      </c>
      <c r="W80" s="1"/>
      <c r="Y80" s="1"/>
      <c r="Z80" s="1"/>
      <c r="AA80" s="1">
        <f>[16]Ding_etal_2019_Fig4!C3</f>
        <v>8.6351577586334206E-7</v>
      </c>
      <c r="AC80">
        <v>64</v>
      </c>
      <c r="AD80">
        <v>706</v>
      </c>
      <c r="AG80" s="2">
        <v>0.28999999999999998</v>
      </c>
      <c r="AI80" s="3"/>
      <c r="AJ80" t="s">
        <v>47</v>
      </c>
    </row>
    <row r="81" spans="1:36" x14ac:dyDescent="0.25">
      <c r="A81" t="s">
        <v>233</v>
      </c>
      <c r="B81" t="s">
        <v>56</v>
      </c>
      <c r="C81" t="s">
        <v>57</v>
      </c>
      <c r="D81" t="s">
        <v>18</v>
      </c>
      <c r="E81" t="s">
        <v>19</v>
      </c>
      <c r="F81" t="s">
        <v>20</v>
      </c>
      <c r="G81" t="s">
        <v>20</v>
      </c>
      <c r="H81" t="s">
        <v>712</v>
      </c>
      <c r="I81">
        <f>6*7</f>
        <v>42</v>
      </c>
      <c r="J81" s="6" t="s">
        <v>406</v>
      </c>
      <c r="K81" t="s">
        <v>711</v>
      </c>
      <c r="L81" t="str">
        <f t="shared" si="11"/>
        <v>Stress</v>
      </c>
      <c r="Q81" t="s">
        <v>412</v>
      </c>
      <c r="R81" t="s">
        <v>709</v>
      </c>
      <c r="S81" t="s">
        <v>703</v>
      </c>
      <c r="T81" t="s">
        <v>615</v>
      </c>
      <c r="U81" s="1" t="s">
        <v>754</v>
      </c>
      <c r="V81" s="1">
        <f t="shared" si="14"/>
        <v>5.8810607512355988E-9</v>
      </c>
      <c r="W81" s="1"/>
      <c r="Y81" s="1"/>
      <c r="Z81" s="1"/>
      <c r="AA81" s="1">
        <f>[16]Ding_etal_2019_Fig4!C4</f>
        <v>7.9473793935616197E-7</v>
      </c>
      <c r="AC81">
        <v>74</v>
      </c>
      <c r="AD81">
        <v>835</v>
      </c>
      <c r="AG81" s="2">
        <v>0.28000000000000003</v>
      </c>
      <c r="AI81" s="3"/>
      <c r="AJ81" t="s">
        <v>47</v>
      </c>
    </row>
    <row r="82" spans="1:36" x14ac:dyDescent="0.25">
      <c r="A82" t="s">
        <v>234</v>
      </c>
      <c r="B82" t="s">
        <v>235</v>
      </c>
      <c r="C82" t="s">
        <v>232</v>
      </c>
      <c r="D82" t="s">
        <v>200</v>
      </c>
      <c r="E82" t="s">
        <v>19</v>
      </c>
      <c r="F82" t="s">
        <v>201</v>
      </c>
      <c r="G82" t="s">
        <v>620</v>
      </c>
      <c r="H82" t="s">
        <v>713</v>
      </c>
      <c r="I82">
        <f t="shared" ref="I82:I87" si="15">(1+3+9+4+3)*7</f>
        <v>140</v>
      </c>
      <c r="J82" s="6" t="s">
        <v>771</v>
      </c>
      <c r="K82" t="s">
        <v>421</v>
      </c>
      <c r="L82" t="s">
        <v>716</v>
      </c>
      <c r="M82" t="s">
        <v>419</v>
      </c>
      <c r="N82" t="s">
        <v>716</v>
      </c>
      <c r="Q82" t="s">
        <v>412</v>
      </c>
      <c r="R82" t="s">
        <v>709</v>
      </c>
      <c r="S82" t="s">
        <v>703</v>
      </c>
      <c r="T82" t="s">
        <v>615</v>
      </c>
      <c r="U82" s="1" t="s">
        <v>755</v>
      </c>
      <c r="V82" s="1">
        <v>8.6999999999999999E-10</v>
      </c>
      <c r="W82" s="1"/>
      <c r="AD82" s="7"/>
      <c r="AJ82" t="s">
        <v>47</v>
      </c>
    </row>
    <row r="83" spans="1:36" x14ac:dyDescent="0.25">
      <c r="A83" t="s">
        <v>234</v>
      </c>
      <c r="B83" t="s">
        <v>235</v>
      </c>
      <c r="C83" t="s">
        <v>232</v>
      </c>
      <c r="D83" t="s">
        <v>200</v>
      </c>
      <c r="E83" t="s">
        <v>19</v>
      </c>
      <c r="F83" t="s">
        <v>201</v>
      </c>
      <c r="G83" t="s">
        <v>620</v>
      </c>
      <c r="H83" t="s">
        <v>713</v>
      </c>
      <c r="I83">
        <f t="shared" si="15"/>
        <v>140</v>
      </c>
      <c r="J83" s="6" t="s">
        <v>771</v>
      </c>
      <c r="K83" t="s">
        <v>421</v>
      </c>
      <c r="L83" t="s">
        <v>716</v>
      </c>
      <c r="M83" t="s">
        <v>420</v>
      </c>
      <c r="N83" t="s">
        <v>716</v>
      </c>
      <c r="Q83" t="s">
        <v>412</v>
      </c>
      <c r="R83" t="s">
        <v>709</v>
      </c>
      <c r="S83" t="s">
        <v>703</v>
      </c>
      <c r="T83" t="s">
        <v>615</v>
      </c>
      <c r="U83" s="1" t="s">
        <v>755</v>
      </c>
      <c r="V83" s="1">
        <v>6.9999999999999996E-10</v>
      </c>
      <c r="W83" s="1"/>
      <c r="AD83" s="7"/>
      <c r="AJ83" t="s">
        <v>47</v>
      </c>
    </row>
    <row r="84" spans="1:36" x14ac:dyDescent="0.25">
      <c r="A84" t="s">
        <v>234</v>
      </c>
      <c r="B84" t="s">
        <v>235</v>
      </c>
      <c r="C84" t="s">
        <v>232</v>
      </c>
      <c r="D84" t="s">
        <v>200</v>
      </c>
      <c r="E84" t="s">
        <v>19</v>
      </c>
      <c r="F84" t="s">
        <v>201</v>
      </c>
      <c r="G84" t="s">
        <v>620</v>
      </c>
      <c r="H84" t="s">
        <v>713</v>
      </c>
      <c r="I84">
        <f t="shared" si="15"/>
        <v>140</v>
      </c>
      <c r="J84" s="6" t="s">
        <v>771</v>
      </c>
      <c r="K84" t="s">
        <v>421</v>
      </c>
      <c r="L84" t="s">
        <v>716</v>
      </c>
      <c r="M84" t="s">
        <v>214</v>
      </c>
      <c r="N84" t="s">
        <v>716</v>
      </c>
      <c r="Q84" t="s">
        <v>412</v>
      </c>
      <c r="R84" t="s">
        <v>709</v>
      </c>
      <c r="S84" t="s">
        <v>703</v>
      </c>
      <c r="T84" t="s">
        <v>615</v>
      </c>
      <c r="U84" s="1" t="s">
        <v>755</v>
      </c>
      <c r="V84" s="1">
        <v>1.3200000000000002E-9</v>
      </c>
      <c r="W84" s="1"/>
      <c r="AD84" s="7"/>
      <c r="AJ84" t="s">
        <v>47</v>
      </c>
    </row>
    <row r="85" spans="1:36" x14ac:dyDescent="0.25">
      <c r="A85" t="s">
        <v>234</v>
      </c>
      <c r="B85" t="s">
        <v>235</v>
      </c>
      <c r="C85" t="s">
        <v>232</v>
      </c>
      <c r="D85" t="s">
        <v>200</v>
      </c>
      <c r="E85" t="s">
        <v>19</v>
      </c>
      <c r="F85" t="s">
        <v>201</v>
      </c>
      <c r="G85" t="s">
        <v>620</v>
      </c>
      <c r="H85" t="s">
        <v>713</v>
      </c>
      <c r="I85">
        <f t="shared" si="15"/>
        <v>140</v>
      </c>
      <c r="J85" s="6" t="s">
        <v>771</v>
      </c>
      <c r="K85" t="s">
        <v>422</v>
      </c>
      <c r="L85" t="s">
        <v>716</v>
      </c>
      <c r="M85" t="s">
        <v>419</v>
      </c>
      <c r="N85" t="s">
        <v>716</v>
      </c>
      <c r="Q85" t="s">
        <v>412</v>
      </c>
      <c r="R85" t="s">
        <v>709</v>
      </c>
      <c r="S85" t="s">
        <v>703</v>
      </c>
      <c r="T85" t="s">
        <v>615</v>
      </c>
      <c r="U85" s="1" t="s">
        <v>755</v>
      </c>
      <c r="V85" s="1">
        <v>4.3000000000000001E-10</v>
      </c>
      <c r="W85" s="1"/>
      <c r="AJ85" t="s">
        <v>47</v>
      </c>
    </row>
    <row r="86" spans="1:36" x14ac:dyDescent="0.25">
      <c r="A86" t="s">
        <v>234</v>
      </c>
      <c r="B86" t="s">
        <v>235</v>
      </c>
      <c r="C86" t="s">
        <v>232</v>
      </c>
      <c r="D86" t="s">
        <v>200</v>
      </c>
      <c r="E86" t="s">
        <v>19</v>
      </c>
      <c r="F86" t="s">
        <v>201</v>
      </c>
      <c r="G86" t="s">
        <v>620</v>
      </c>
      <c r="H86" t="s">
        <v>713</v>
      </c>
      <c r="I86">
        <f t="shared" si="15"/>
        <v>140</v>
      </c>
      <c r="J86" s="6" t="s">
        <v>771</v>
      </c>
      <c r="K86" t="s">
        <v>422</v>
      </c>
      <c r="L86" t="s">
        <v>716</v>
      </c>
      <c r="M86" t="s">
        <v>420</v>
      </c>
      <c r="N86" t="s">
        <v>716</v>
      </c>
      <c r="Q86" t="s">
        <v>412</v>
      </c>
      <c r="R86" t="s">
        <v>709</v>
      </c>
      <c r="S86" t="s">
        <v>703</v>
      </c>
      <c r="T86" t="s">
        <v>615</v>
      </c>
      <c r="U86" s="1" t="s">
        <v>755</v>
      </c>
      <c r="V86" s="1">
        <v>7.1000000000000003E-10</v>
      </c>
      <c r="W86" s="1"/>
      <c r="AJ86" t="s">
        <v>47</v>
      </c>
    </row>
    <row r="87" spans="1:36" x14ac:dyDescent="0.25">
      <c r="A87" t="s">
        <v>234</v>
      </c>
      <c r="B87" t="s">
        <v>235</v>
      </c>
      <c r="C87" t="s">
        <v>232</v>
      </c>
      <c r="D87" t="s">
        <v>200</v>
      </c>
      <c r="E87" t="s">
        <v>19</v>
      </c>
      <c r="F87" t="s">
        <v>201</v>
      </c>
      <c r="G87" t="s">
        <v>620</v>
      </c>
      <c r="H87" t="s">
        <v>713</v>
      </c>
      <c r="I87">
        <f t="shared" si="15"/>
        <v>140</v>
      </c>
      <c r="J87" s="6" t="s">
        <v>771</v>
      </c>
      <c r="K87" t="s">
        <v>422</v>
      </c>
      <c r="L87" t="s">
        <v>716</v>
      </c>
      <c r="M87" t="s">
        <v>214</v>
      </c>
      <c r="N87" t="s">
        <v>716</v>
      </c>
      <c r="Q87" t="s">
        <v>412</v>
      </c>
      <c r="R87" t="s">
        <v>709</v>
      </c>
      <c r="S87" t="s">
        <v>703</v>
      </c>
      <c r="T87" t="s">
        <v>615</v>
      </c>
      <c r="U87" s="1" t="s">
        <v>755</v>
      </c>
      <c r="V87" s="1">
        <v>1.07E-9</v>
      </c>
      <c r="W87" s="1"/>
      <c r="AJ87" t="s">
        <v>47</v>
      </c>
    </row>
    <row r="88" spans="1:36" x14ac:dyDescent="0.25">
      <c r="A88" t="s">
        <v>236</v>
      </c>
      <c r="B88" t="s">
        <v>237</v>
      </c>
      <c r="C88" t="s">
        <v>238</v>
      </c>
      <c r="D88" t="s">
        <v>152</v>
      </c>
      <c r="E88" t="s">
        <v>19</v>
      </c>
      <c r="F88" t="s">
        <v>72</v>
      </c>
      <c r="G88" t="s">
        <v>601</v>
      </c>
      <c r="H88" t="s">
        <v>713</v>
      </c>
      <c r="I88">
        <f t="shared" ref="I88:I101" si="16">+(3*2)*30</f>
        <v>180</v>
      </c>
      <c r="J88" t="s">
        <v>632</v>
      </c>
      <c r="K88" t="s">
        <v>39</v>
      </c>
      <c r="L88" t="str">
        <f t="shared" ref="L88:L113" si="17">+IF(K88 = "Control", "Control", "Stress")</f>
        <v>Control</v>
      </c>
      <c r="M88" t="s">
        <v>638</v>
      </c>
      <c r="N88" t="s">
        <v>716</v>
      </c>
      <c r="Q88" t="s">
        <v>412</v>
      </c>
      <c r="R88" t="s">
        <v>709</v>
      </c>
      <c r="S88" t="s">
        <v>703</v>
      </c>
      <c r="T88" t="s">
        <v>615</v>
      </c>
      <c r="U88" s="1"/>
      <c r="V88" s="1"/>
      <c r="W88" s="1"/>
      <c r="AA88" s="1">
        <f>[17]Geng_etal_2018_Fig3!C2</f>
        <v>6.3847223127335698E-8</v>
      </c>
      <c r="AE88">
        <f>[18]Geng_etal_2018_Fig2c!B2</f>
        <v>5.0299003796142898</v>
      </c>
      <c r="AJ88" t="s">
        <v>47</v>
      </c>
    </row>
    <row r="89" spans="1:36" x14ac:dyDescent="0.25">
      <c r="A89" t="s">
        <v>236</v>
      </c>
      <c r="B89" t="s">
        <v>237</v>
      </c>
      <c r="C89" t="s">
        <v>238</v>
      </c>
      <c r="D89" t="s">
        <v>152</v>
      </c>
      <c r="E89" t="s">
        <v>19</v>
      </c>
      <c r="F89" t="s">
        <v>72</v>
      </c>
      <c r="G89" t="s">
        <v>601</v>
      </c>
      <c r="H89" t="s">
        <v>713</v>
      </c>
      <c r="I89">
        <f t="shared" si="16"/>
        <v>180</v>
      </c>
      <c r="J89" t="s">
        <v>632</v>
      </c>
      <c r="K89" t="s">
        <v>39</v>
      </c>
      <c r="L89" t="str">
        <f t="shared" si="17"/>
        <v>Control</v>
      </c>
      <c r="M89" t="s">
        <v>639</v>
      </c>
      <c r="N89" t="s">
        <v>716</v>
      </c>
      <c r="Q89" t="s">
        <v>412</v>
      </c>
      <c r="R89" t="s">
        <v>709</v>
      </c>
      <c r="S89" t="s">
        <v>703</v>
      </c>
      <c r="T89" t="s">
        <v>615</v>
      </c>
      <c r="U89" s="1"/>
      <c r="V89" s="1"/>
      <c r="W89" s="1"/>
      <c r="AA89" s="1">
        <f>[17]Geng_etal_2018_Fig3!C3</f>
        <v>3.1573358116128603E-9</v>
      </c>
      <c r="AE89">
        <f>[18]Geng_etal_2018_Fig2c!B3</f>
        <v>1.7873745019791001</v>
      </c>
      <c r="AJ89" t="s">
        <v>47</v>
      </c>
    </row>
    <row r="90" spans="1:36" x14ac:dyDescent="0.25">
      <c r="A90" t="s">
        <v>236</v>
      </c>
      <c r="B90" t="s">
        <v>237</v>
      </c>
      <c r="C90" t="s">
        <v>238</v>
      </c>
      <c r="D90" t="s">
        <v>152</v>
      </c>
      <c r="E90" t="s">
        <v>19</v>
      </c>
      <c r="F90" t="s">
        <v>72</v>
      </c>
      <c r="G90" t="s">
        <v>601</v>
      </c>
      <c r="H90" t="s">
        <v>713</v>
      </c>
      <c r="I90">
        <f t="shared" si="16"/>
        <v>180</v>
      </c>
      <c r="J90" t="s">
        <v>632</v>
      </c>
      <c r="K90" t="s">
        <v>39</v>
      </c>
      <c r="L90" t="str">
        <f t="shared" si="17"/>
        <v>Control</v>
      </c>
      <c r="M90" t="s">
        <v>641</v>
      </c>
      <c r="N90" t="s">
        <v>716</v>
      </c>
      <c r="Q90" t="s">
        <v>412</v>
      </c>
      <c r="R90" t="s">
        <v>709</v>
      </c>
      <c r="S90" t="s">
        <v>703</v>
      </c>
      <c r="T90" t="s">
        <v>615</v>
      </c>
      <c r="U90" s="1"/>
      <c r="V90" s="1"/>
      <c r="W90" s="1"/>
      <c r="AA90" s="1">
        <f>[17]Geng_etal_2018_Fig3!C4</f>
        <v>3.2781292766613003E-9</v>
      </c>
      <c r="AE90">
        <f>[18]Geng_etal_2018_Fig2c!B4</f>
        <v>1.20198008889004</v>
      </c>
      <c r="AJ90" t="s">
        <v>47</v>
      </c>
    </row>
    <row r="91" spans="1:36" x14ac:dyDescent="0.25">
      <c r="A91" t="s">
        <v>236</v>
      </c>
      <c r="B91" t="s">
        <v>237</v>
      </c>
      <c r="C91" t="s">
        <v>238</v>
      </c>
      <c r="D91" t="s">
        <v>152</v>
      </c>
      <c r="E91" t="s">
        <v>19</v>
      </c>
      <c r="F91" t="s">
        <v>72</v>
      </c>
      <c r="G91" t="s">
        <v>601</v>
      </c>
      <c r="H91" t="s">
        <v>713</v>
      </c>
      <c r="I91">
        <f t="shared" si="16"/>
        <v>180</v>
      </c>
      <c r="J91" t="s">
        <v>632</v>
      </c>
      <c r="K91" t="s">
        <v>39</v>
      </c>
      <c r="L91" t="str">
        <f t="shared" si="17"/>
        <v>Control</v>
      </c>
      <c r="M91" t="s">
        <v>642</v>
      </c>
      <c r="N91" t="s">
        <v>716</v>
      </c>
      <c r="Q91" t="s">
        <v>412</v>
      </c>
      <c r="R91" t="s">
        <v>709</v>
      </c>
      <c r="S91" t="s">
        <v>703</v>
      </c>
      <c r="T91" t="s">
        <v>615</v>
      </c>
      <c r="U91" s="1"/>
      <c r="V91" s="1"/>
      <c r="W91" s="1"/>
      <c r="AA91" s="1">
        <f>[17]Geng_etal_2018_Fig3!C5</f>
        <v>9.1953611592001699E-8</v>
      </c>
      <c r="AE91">
        <f>[18]Geng_etal_2018_Fig2c!B5</f>
        <v>8.6433936600662093</v>
      </c>
      <c r="AJ91" t="s">
        <v>47</v>
      </c>
    </row>
    <row r="92" spans="1:36" x14ac:dyDescent="0.25">
      <c r="A92" t="s">
        <v>236</v>
      </c>
      <c r="B92" t="s">
        <v>237</v>
      </c>
      <c r="C92" t="s">
        <v>238</v>
      </c>
      <c r="D92" t="s">
        <v>152</v>
      </c>
      <c r="E92" t="s">
        <v>19</v>
      </c>
      <c r="F92" t="s">
        <v>72</v>
      </c>
      <c r="G92" t="s">
        <v>601</v>
      </c>
      <c r="H92" t="s">
        <v>713</v>
      </c>
      <c r="I92">
        <f t="shared" si="16"/>
        <v>180</v>
      </c>
      <c r="J92" t="s">
        <v>632</v>
      </c>
      <c r="K92" t="s">
        <v>39</v>
      </c>
      <c r="L92" t="str">
        <f t="shared" si="17"/>
        <v>Control</v>
      </c>
      <c r="M92" t="s">
        <v>640</v>
      </c>
      <c r="N92" t="s">
        <v>716</v>
      </c>
      <c r="Q92" t="s">
        <v>412</v>
      </c>
      <c r="R92" t="s">
        <v>709</v>
      </c>
      <c r="S92" t="s">
        <v>703</v>
      </c>
      <c r="T92" t="s">
        <v>615</v>
      </c>
      <c r="U92" s="1"/>
      <c r="V92" s="1"/>
      <c r="W92" s="1"/>
      <c r="AA92" s="1">
        <f>[17]Geng_etal_2018_Fig3!C6</f>
        <v>9.3376227215929813E-8</v>
      </c>
      <c r="AE92">
        <f>[18]Geng_etal_2018_Fig2c!B6</f>
        <v>8.5002609645639104</v>
      </c>
      <c r="AJ92" t="s">
        <v>47</v>
      </c>
    </row>
    <row r="93" spans="1:36" x14ac:dyDescent="0.25">
      <c r="A93" t="s">
        <v>236</v>
      </c>
      <c r="B93" t="s">
        <v>237</v>
      </c>
      <c r="C93" t="s">
        <v>238</v>
      </c>
      <c r="D93" t="s">
        <v>152</v>
      </c>
      <c r="E93" t="s">
        <v>19</v>
      </c>
      <c r="F93" t="s">
        <v>72</v>
      </c>
      <c r="G93" t="s">
        <v>601</v>
      </c>
      <c r="H93" t="s">
        <v>713</v>
      </c>
      <c r="I93">
        <f t="shared" si="16"/>
        <v>180</v>
      </c>
      <c r="J93" t="s">
        <v>632</v>
      </c>
      <c r="K93" t="s">
        <v>39</v>
      </c>
      <c r="L93" t="str">
        <f t="shared" si="17"/>
        <v>Control</v>
      </c>
      <c r="M93" t="s">
        <v>643</v>
      </c>
      <c r="N93" t="s">
        <v>716</v>
      </c>
      <c r="Q93" t="s">
        <v>412</v>
      </c>
      <c r="R93" t="s">
        <v>709</v>
      </c>
      <c r="S93" t="s">
        <v>703</v>
      </c>
      <c r="T93" t="s">
        <v>615</v>
      </c>
      <c r="U93" s="1"/>
      <c r="V93" s="1"/>
      <c r="AA93" s="1">
        <f>[17]Geng_etal_2018_Fig3!C7</f>
        <v>1.06074297387889E-7</v>
      </c>
      <c r="AE93">
        <f>[18]Geng_etal_2018_Fig2c!B7</f>
        <v>9.1968152597812995</v>
      </c>
      <c r="AJ93" t="s">
        <v>47</v>
      </c>
    </row>
    <row r="94" spans="1:36" x14ac:dyDescent="0.25">
      <c r="A94" t="s">
        <v>236</v>
      </c>
      <c r="B94" t="s">
        <v>237</v>
      </c>
      <c r="C94" t="s">
        <v>238</v>
      </c>
      <c r="D94" t="s">
        <v>152</v>
      </c>
      <c r="E94" t="s">
        <v>19</v>
      </c>
      <c r="F94" t="s">
        <v>72</v>
      </c>
      <c r="G94" t="s">
        <v>601</v>
      </c>
      <c r="H94" t="s">
        <v>713</v>
      </c>
      <c r="I94">
        <f t="shared" si="16"/>
        <v>180</v>
      </c>
      <c r="J94" t="s">
        <v>632</v>
      </c>
      <c r="K94" t="s">
        <v>39</v>
      </c>
      <c r="L94" t="str">
        <f t="shared" si="17"/>
        <v>Control</v>
      </c>
      <c r="M94" t="s">
        <v>644</v>
      </c>
      <c r="N94" t="s">
        <v>716</v>
      </c>
      <c r="Q94" t="s">
        <v>412</v>
      </c>
      <c r="R94" t="s">
        <v>709</v>
      </c>
      <c r="S94" t="s">
        <v>703</v>
      </c>
      <c r="T94" t="s">
        <v>615</v>
      </c>
      <c r="U94" s="1"/>
      <c r="V94" s="1"/>
      <c r="W94" s="1"/>
      <c r="AA94" s="1">
        <f>[17]Geng_etal_2018_Fig3!C8</f>
        <v>1.1282344137942201E-7</v>
      </c>
      <c r="AE94">
        <f>[18]Geng_etal_2018_Fig2c!B8</f>
        <v>9.2364533456953399</v>
      </c>
      <c r="AJ94" t="s">
        <v>47</v>
      </c>
    </row>
    <row r="95" spans="1:36" x14ac:dyDescent="0.25">
      <c r="A95" t="s">
        <v>236</v>
      </c>
      <c r="B95" t="s">
        <v>237</v>
      </c>
      <c r="C95" t="s">
        <v>238</v>
      </c>
      <c r="D95" t="s">
        <v>152</v>
      </c>
      <c r="E95" t="s">
        <v>19</v>
      </c>
      <c r="F95" t="s">
        <v>72</v>
      </c>
      <c r="G95" t="s">
        <v>601</v>
      </c>
      <c r="H95" t="s">
        <v>713</v>
      </c>
      <c r="I95">
        <f t="shared" si="16"/>
        <v>180</v>
      </c>
      <c r="J95" t="s">
        <v>632</v>
      </c>
      <c r="K95" t="s">
        <v>51</v>
      </c>
      <c r="L95" t="str">
        <f t="shared" si="17"/>
        <v>Stress</v>
      </c>
      <c r="M95" t="s">
        <v>638</v>
      </c>
      <c r="N95" t="s">
        <v>716</v>
      </c>
      <c r="Q95" t="s">
        <v>412</v>
      </c>
      <c r="R95" t="s">
        <v>709</v>
      </c>
      <c r="S95" t="s">
        <v>703</v>
      </c>
      <c r="T95" t="s">
        <v>615</v>
      </c>
      <c r="U95" s="1"/>
      <c r="V95" s="1"/>
      <c r="W95" s="1"/>
      <c r="AA95" s="1">
        <f>[17]Geng_etal_2018_Fig3!C9</f>
        <v>2.4621466397304998E-8</v>
      </c>
      <c r="AE95">
        <f>[18]Geng_etal_2018_Fig2c!B9</f>
        <v>3.1957389835673302</v>
      </c>
      <c r="AJ95" t="s">
        <v>47</v>
      </c>
    </row>
    <row r="96" spans="1:36" x14ac:dyDescent="0.25">
      <c r="A96" t="s">
        <v>236</v>
      </c>
      <c r="B96" t="s">
        <v>237</v>
      </c>
      <c r="C96" t="s">
        <v>238</v>
      </c>
      <c r="D96" t="s">
        <v>152</v>
      </c>
      <c r="E96" t="s">
        <v>19</v>
      </c>
      <c r="F96" t="s">
        <v>72</v>
      </c>
      <c r="G96" t="s">
        <v>601</v>
      </c>
      <c r="H96" t="s">
        <v>713</v>
      </c>
      <c r="I96">
        <f t="shared" si="16"/>
        <v>180</v>
      </c>
      <c r="J96" t="s">
        <v>632</v>
      </c>
      <c r="K96" t="s">
        <v>51</v>
      </c>
      <c r="L96" t="str">
        <f t="shared" si="17"/>
        <v>Stress</v>
      </c>
      <c r="M96" t="s">
        <v>639</v>
      </c>
      <c r="N96" t="s">
        <v>716</v>
      </c>
      <c r="Q96" t="s">
        <v>412</v>
      </c>
      <c r="R96" t="s">
        <v>709</v>
      </c>
      <c r="S96" t="s">
        <v>703</v>
      </c>
      <c r="T96" t="s">
        <v>615</v>
      </c>
      <c r="U96" s="1"/>
      <c r="V96" s="1"/>
      <c r="W96" s="1"/>
      <c r="AA96" s="1">
        <f>[17]Geng_etal_2018_Fig3!C10</f>
        <v>6.2527448552529802E-10</v>
      </c>
      <c r="AE96">
        <f>[18]Geng_etal_2018_Fig2c!B10</f>
        <v>0.93857769449964501</v>
      </c>
      <c r="AJ96" t="s">
        <v>47</v>
      </c>
    </row>
    <row r="97" spans="1:36" x14ac:dyDescent="0.25">
      <c r="A97" t="s">
        <v>236</v>
      </c>
      <c r="B97" t="s">
        <v>237</v>
      </c>
      <c r="C97" t="s">
        <v>238</v>
      </c>
      <c r="D97" t="s">
        <v>152</v>
      </c>
      <c r="E97" t="s">
        <v>19</v>
      </c>
      <c r="F97" t="s">
        <v>72</v>
      </c>
      <c r="G97" t="s">
        <v>601</v>
      </c>
      <c r="H97" t="s">
        <v>713</v>
      </c>
      <c r="I97">
        <f t="shared" si="16"/>
        <v>180</v>
      </c>
      <c r="J97" t="s">
        <v>632</v>
      </c>
      <c r="K97" t="s">
        <v>51</v>
      </c>
      <c r="L97" t="str">
        <f t="shared" si="17"/>
        <v>Stress</v>
      </c>
      <c r="M97" t="s">
        <v>641</v>
      </c>
      <c r="N97" t="s">
        <v>716</v>
      </c>
      <c r="Q97" t="s">
        <v>412</v>
      </c>
      <c r="R97" t="s">
        <v>709</v>
      </c>
      <c r="S97" t="s">
        <v>703</v>
      </c>
      <c r="T97" t="s">
        <v>615</v>
      </c>
      <c r="U97" s="1"/>
      <c r="V97" s="1"/>
      <c r="W97" s="1"/>
      <c r="AA97" s="1">
        <f>[17]Geng_etal_2018_Fig3!C11</f>
        <v>9.5243459806808494E-10</v>
      </c>
      <c r="AE97">
        <f>[18]Geng_etal_2018_Fig2c!B11</f>
        <v>0.85295538316406005</v>
      </c>
      <c r="AJ97" t="s">
        <v>47</v>
      </c>
    </row>
    <row r="98" spans="1:36" x14ac:dyDescent="0.25">
      <c r="A98" t="s">
        <v>236</v>
      </c>
      <c r="B98" t="s">
        <v>237</v>
      </c>
      <c r="C98" t="s">
        <v>238</v>
      </c>
      <c r="D98" t="s">
        <v>152</v>
      </c>
      <c r="E98" t="s">
        <v>19</v>
      </c>
      <c r="F98" t="s">
        <v>72</v>
      </c>
      <c r="G98" t="s">
        <v>601</v>
      </c>
      <c r="H98" t="s">
        <v>713</v>
      </c>
      <c r="I98">
        <f t="shared" si="16"/>
        <v>180</v>
      </c>
      <c r="J98" t="s">
        <v>632</v>
      </c>
      <c r="K98" t="s">
        <v>51</v>
      </c>
      <c r="L98" t="str">
        <f t="shared" si="17"/>
        <v>Stress</v>
      </c>
      <c r="M98" t="s">
        <v>642</v>
      </c>
      <c r="N98" t="s">
        <v>716</v>
      </c>
      <c r="Q98" t="s">
        <v>412</v>
      </c>
      <c r="R98" t="s">
        <v>709</v>
      </c>
      <c r="S98" t="s">
        <v>703</v>
      </c>
      <c r="T98" t="s">
        <v>615</v>
      </c>
      <c r="U98" s="1"/>
      <c r="V98" s="1"/>
      <c r="W98" s="1"/>
      <c r="AA98" s="1">
        <f>[17]Geng_etal_2018_Fig3!C12</f>
        <v>5.7475615735485403E-8</v>
      </c>
      <c r="AE98">
        <f>[18]Geng_etal_2018_Fig2c!B12</f>
        <v>5.6815285715675001</v>
      </c>
      <c r="AJ98" t="s">
        <v>47</v>
      </c>
    </row>
    <row r="99" spans="1:36" x14ac:dyDescent="0.25">
      <c r="A99" t="s">
        <v>236</v>
      </c>
      <c r="B99" t="s">
        <v>237</v>
      </c>
      <c r="C99" t="s">
        <v>238</v>
      </c>
      <c r="D99" t="s">
        <v>152</v>
      </c>
      <c r="E99" t="s">
        <v>19</v>
      </c>
      <c r="F99" t="s">
        <v>72</v>
      </c>
      <c r="G99" t="s">
        <v>601</v>
      </c>
      <c r="H99" t="s">
        <v>713</v>
      </c>
      <c r="I99">
        <f t="shared" si="16"/>
        <v>180</v>
      </c>
      <c r="J99" t="s">
        <v>632</v>
      </c>
      <c r="K99" t="s">
        <v>51</v>
      </c>
      <c r="L99" t="str">
        <f t="shared" si="17"/>
        <v>Stress</v>
      </c>
      <c r="M99" t="s">
        <v>640</v>
      </c>
      <c r="N99" t="s">
        <v>716</v>
      </c>
      <c r="Q99" t="s">
        <v>412</v>
      </c>
      <c r="R99" t="s">
        <v>709</v>
      </c>
      <c r="S99" t="s">
        <v>703</v>
      </c>
      <c r="T99" t="s">
        <v>615</v>
      </c>
      <c r="U99" s="1"/>
      <c r="V99" s="1"/>
      <c r="W99" s="1"/>
      <c r="AA99" s="1">
        <f>[17]Geng_etal_2018_Fig3!C13</f>
        <v>5.7971547007505502E-8</v>
      </c>
      <c r="AE99">
        <f>[18]Geng_etal_2018_Fig2c!B13</f>
        <v>5.8238326398944196</v>
      </c>
      <c r="AJ99" t="s">
        <v>47</v>
      </c>
    </row>
    <row r="100" spans="1:36" x14ac:dyDescent="0.25">
      <c r="A100" t="s">
        <v>236</v>
      </c>
      <c r="B100" t="s">
        <v>237</v>
      </c>
      <c r="C100" t="s">
        <v>238</v>
      </c>
      <c r="D100" t="s">
        <v>152</v>
      </c>
      <c r="E100" t="s">
        <v>19</v>
      </c>
      <c r="F100" t="s">
        <v>72</v>
      </c>
      <c r="G100" t="s">
        <v>601</v>
      </c>
      <c r="H100" t="s">
        <v>713</v>
      </c>
      <c r="I100">
        <f t="shared" si="16"/>
        <v>180</v>
      </c>
      <c r="J100" t="s">
        <v>632</v>
      </c>
      <c r="K100" t="s">
        <v>51</v>
      </c>
      <c r="L100" t="str">
        <f t="shared" si="17"/>
        <v>Stress</v>
      </c>
      <c r="M100" t="s">
        <v>643</v>
      </c>
      <c r="N100" t="s">
        <v>716</v>
      </c>
      <c r="Q100" t="s">
        <v>412</v>
      </c>
      <c r="R100" t="s">
        <v>709</v>
      </c>
      <c r="S100" t="s">
        <v>703</v>
      </c>
      <c r="T100" t="s">
        <v>615</v>
      </c>
      <c r="U100" s="1"/>
      <c r="V100" s="1"/>
      <c r="W100" s="1"/>
      <c r="AA100" s="1">
        <f>[17]Geng_etal_2018_Fig3!C14</f>
        <v>5.40962732303297E-8</v>
      </c>
      <c r="AE100">
        <f>[18]Geng_etal_2018_Fig2c!B14</f>
        <v>6.9019799808301796</v>
      </c>
      <c r="AJ100" t="s">
        <v>47</v>
      </c>
    </row>
    <row r="101" spans="1:36" x14ac:dyDescent="0.25">
      <c r="A101" t="s">
        <v>236</v>
      </c>
      <c r="B101" t="s">
        <v>237</v>
      </c>
      <c r="C101" t="s">
        <v>238</v>
      </c>
      <c r="D101" t="s">
        <v>152</v>
      </c>
      <c r="E101" t="s">
        <v>19</v>
      </c>
      <c r="F101" t="s">
        <v>72</v>
      </c>
      <c r="G101" t="s">
        <v>601</v>
      </c>
      <c r="H101" t="s">
        <v>713</v>
      </c>
      <c r="I101">
        <f t="shared" si="16"/>
        <v>180</v>
      </c>
      <c r="J101" t="s">
        <v>632</v>
      </c>
      <c r="K101" t="s">
        <v>51</v>
      </c>
      <c r="L101" t="str">
        <f t="shared" si="17"/>
        <v>Stress</v>
      </c>
      <c r="M101" t="s">
        <v>644</v>
      </c>
      <c r="N101" t="s">
        <v>716</v>
      </c>
      <c r="Q101" t="s">
        <v>412</v>
      </c>
      <c r="R101" t="s">
        <v>709</v>
      </c>
      <c r="S101" t="s">
        <v>703</v>
      </c>
      <c r="T101" t="s">
        <v>615</v>
      </c>
      <c r="U101" s="1"/>
      <c r="V101" s="1"/>
      <c r="W101" s="1"/>
      <c r="AA101" s="1">
        <f>[17]Geng_etal_2018_Fig3!C15</f>
        <v>5.7430730478589398E-8</v>
      </c>
      <c r="AE101">
        <f>[18]Geng_etal_2018_Fig2c!B15</f>
        <v>6.9254484214075198</v>
      </c>
      <c r="AJ101" t="s">
        <v>47</v>
      </c>
    </row>
    <row r="102" spans="1:36" x14ac:dyDescent="0.25">
      <c r="A102" t="s">
        <v>321</v>
      </c>
      <c r="B102" t="s">
        <v>343</v>
      </c>
      <c r="C102" t="s">
        <v>344</v>
      </c>
      <c r="D102" t="s">
        <v>92</v>
      </c>
      <c r="E102" t="s">
        <v>19</v>
      </c>
      <c r="F102" t="s">
        <v>72</v>
      </c>
      <c r="G102" t="s">
        <v>624</v>
      </c>
      <c r="H102" t="s">
        <v>713</v>
      </c>
      <c r="I102">
        <f t="shared" ref="I102:I113" si="18">7*30</f>
        <v>210</v>
      </c>
      <c r="J102" t="s">
        <v>423</v>
      </c>
      <c r="K102" t="s">
        <v>39</v>
      </c>
      <c r="L102" t="str">
        <f t="shared" si="17"/>
        <v>Control</v>
      </c>
      <c r="Q102" t="s">
        <v>412</v>
      </c>
      <c r="R102" t="s">
        <v>709</v>
      </c>
      <c r="S102" t="s">
        <v>703</v>
      </c>
      <c r="T102" t="s">
        <v>615</v>
      </c>
      <c r="U102" s="1"/>
      <c r="V102" s="1"/>
      <c r="W102" s="1"/>
      <c r="AB102" s="1">
        <f>[19]Creek_etal_2018_Fig2a!$D$7</f>
        <v>6.8823499999999994E-8</v>
      </c>
      <c r="AJ102" t="s">
        <v>27</v>
      </c>
    </row>
    <row r="103" spans="1:36" x14ac:dyDescent="0.25">
      <c r="A103" t="s">
        <v>321</v>
      </c>
      <c r="B103" t="s">
        <v>343</v>
      </c>
      <c r="C103" t="s">
        <v>344</v>
      </c>
      <c r="D103" t="s">
        <v>92</v>
      </c>
      <c r="E103" t="s">
        <v>19</v>
      </c>
      <c r="F103" t="s">
        <v>72</v>
      </c>
      <c r="G103" t="s">
        <v>624</v>
      </c>
      <c r="H103" t="s">
        <v>713</v>
      </c>
      <c r="I103">
        <f t="shared" si="18"/>
        <v>210</v>
      </c>
      <c r="J103" t="s">
        <v>423</v>
      </c>
      <c r="K103" t="s">
        <v>349</v>
      </c>
      <c r="L103" t="str">
        <f t="shared" si="17"/>
        <v>Stress</v>
      </c>
      <c r="Q103" t="s">
        <v>412</v>
      </c>
      <c r="R103" t="s">
        <v>709</v>
      </c>
      <c r="S103" t="s">
        <v>703</v>
      </c>
      <c r="T103" t="s">
        <v>615</v>
      </c>
      <c r="U103" s="1"/>
      <c r="V103" s="1"/>
      <c r="W103" s="1"/>
      <c r="AB103" s="1">
        <f>[19]Creek_etal_2018_Fig2a!$D$13</f>
        <v>3.2934999999999997E-8</v>
      </c>
      <c r="AJ103" t="s">
        <v>27</v>
      </c>
    </row>
    <row r="104" spans="1:36" x14ac:dyDescent="0.25">
      <c r="A104" t="s">
        <v>321</v>
      </c>
      <c r="B104" t="s">
        <v>343</v>
      </c>
      <c r="C104" t="s">
        <v>344</v>
      </c>
      <c r="D104" t="s">
        <v>92</v>
      </c>
      <c r="E104" t="s">
        <v>19</v>
      </c>
      <c r="F104" t="s">
        <v>72</v>
      </c>
      <c r="G104" t="s">
        <v>624</v>
      </c>
      <c r="H104" t="s">
        <v>713</v>
      </c>
      <c r="I104">
        <f t="shared" si="18"/>
        <v>210</v>
      </c>
      <c r="J104" t="s">
        <v>423</v>
      </c>
      <c r="K104" t="s">
        <v>350</v>
      </c>
      <c r="L104" t="str">
        <f t="shared" si="17"/>
        <v>Stress</v>
      </c>
      <c r="Q104" t="s">
        <v>412</v>
      </c>
      <c r="R104" t="s">
        <v>709</v>
      </c>
      <c r="S104" t="s">
        <v>703</v>
      </c>
      <c r="T104" t="s">
        <v>615</v>
      </c>
      <c r="U104" s="1"/>
      <c r="V104" s="1"/>
      <c r="W104" s="1"/>
      <c r="AB104" s="1">
        <f>[19]Creek_etal_2018_Fig2a!$D$15</f>
        <v>2.4742999999999999E-8</v>
      </c>
      <c r="AJ104" t="s">
        <v>27</v>
      </c>
    </row>
    <row r="105" spans="1:36" x14ac:dyDescent="0.25">
      <c r="A105" t="s">
        <v>321</v>
      </c>
      <c r="B105" t="s">
        <v>343</v>
      </c>
      <c r="C105" t="s">
        <v>344</v>
      </c>
      <c r="D105" t="s">
        <v>92</v>
      </c>
      <c r="E105" t="s">
        <v>19</v>
      </c>
      <c r="F105" t="s">
        <v>72</v>
      </c>
      <c r="G105" t="s">
        <v>624</v>
      </c>
      <c r="H105" t="s">
        <v>713</v>
      </c>
      <c r="I105">
        <f t="shared" si="18"/>
        <v>210</v>
      </c>
      <c r="J105" t="s">
        <v>423</v>
      </c>
      <c r="K105" t="s">
        <v>351</v>
      </c>
      <c r="L105" t="str">
        <f t="shared" si="17"/>
        <v>Stress</v>
      </c>
      <c r="Q105" t="s">
        <v>412</v>
      </c>
      <c r="R105" t="s">
        <v>709</v>
      </c>
      <c r="S105" t="s">
        <v>703</v>
      </c>
      <c r="T105" t="s">
        <v>615</v>
      </c>
      <c r="U105" s="1"/>
      <c r="V105" s="1"/>
      <c r="W105" s="1"/>
      <c r="AB105" s="1">
        <f>[19]Creek_etal_2018_Fig2a!$D$18</f>
        <v>1.9393200000000001E-8</v>
      </c>
      <c r="AJ105" t="s">
        <v>27</v>
      </c>
    </row>
    <row r="106" spans="1:36" x14ac:dyDescent="0.25">
      <c r="A106" t="s">
        <v>321</v>
      </c>
      <c r="B106" t="s">
        <v>345</v>
      </c>
      <c r="C106" t="s">
        <v>348</v>
      </c>
      <c r="D106" t="s">
        <v>347</v>
      </c>
      <c r="E106" t="s">
        <v>19</v>
      </c>
      <c r="F106" t="s">
        <v>72</v>
      </c>
      <c r="G106" t="s">
        <v>624</v>
      </c>
      <c r="H106" t="s">
        <v>713</v>
      </c>
      <c r="I106">
        <f t="shared" si="18"/>
        <v>210</v>
      </c>
      <c r="J106" t="s">
        <v>423</v>
      </c>
      <c r="K106" t="s">
        <v>39</v>
      </c>
      <c r="L106" t="str">
        <f t="shared" si="17"/>
        <v>Control</v>
      </c>
      <c r="Q106" t="s">
        <v>412</v>
      </c>
      <c r="R106" t="s">
        <v>709</v>
      </c>
      <c r="S106" t="s">
        <v>703</v>
      </c>
      <c r="T106" t="s">
        <v>615</v>
      </c>
      <c r="U106" s="1"/>
      <c r="V106" s="1"/>
      <c r="W106" s="1"/>
      <c r="AB106" s="1">
        <f>[20]Creek_etal_2018_Fig2b!$D$6</f>
        <v>6.7413333333333286E-8</v>
      </c>
      <c r="AJ106" t="s">
        <v>27</v>
      </c>
    </row>
    <row r="107" spans="1:36" x14ac:dyDescent="0.25">
      <c r="A107" t="s">
        <v>321</v>
      </c>
      <c r="B107" t="s">
        <v>345</v>
      </c>
      <c r="C107" t="s">
        <v>348</v>
      </c>
      <c r="D107" t="s">
        <v>347</v>
      </c>
      <c r="E107" t="s">
        <v>19</v>
      </c>
      <c r="F107" t="s">
        <v>72</v>
      </c>
      <c r="G107" t="s">
        <v>624</v>
      </c>
      <c r="H107" t="s">
        <v>713</v>
      </c>
      <c r="I107">
        <f t="shared" si="18"/>
        <v>210</v>
      </c>
      <c r="J107" t="s">
        <v>423</v>
      </c>
      <c r="K107" t="s">
        <v>340</v>
      </c>
      <c r="L107" t="str">
        <f t="shared" si="17"/>
        <v>Stress</v>
      </c>
      <c r="Q107" t="s">
        <v>412</v>
      </c>
      <c r="R107" t="s">
        <v>709</v>
      </c>
      <c r="S107" t="s">
        <v>703</v>
      </c>
      <c r="T107" t="s">
        <v>615</v>
      </c>
      <c r="U107" s="1"/>
      <c r="V107" s="1"/>
      <c r="W107" s="1"/>
      <c r="AB107" s="1">
        <f>[20]Creek_etal_2018_Fig2b!$D$10</f>
        <v>4.1046666666666615E-8</v>
      </c>
      <c r="AJ107" t="s">
        <v>27</v>
      </c>
    </row>
    <row r="108" spans="1:36" x14ac:dyDescent="0.25">
      <c r="A108" t="s">
        <v>321</v>
      </c>
      <c r="B108" t="s">
        <v>345</v>
      </c>
      <c r="C108" t="s">
        <v>348</v>
      </c>
      <c r="D108" t="s">
        <v>347</v>
      </c>
      <c r="E108" t="s">
        <v>19</v>
      </c>
      <c r="F108" t="s">
        <v>72</v>
      </c>
      <c r="G108" t="s">
        <v>624</v>
      </c>
      <c r="H108" t="s">
        <v>713</v>
      </c>
      <c r="I108">
        <f t="shared" si="18"/>
        <v>210</v>
      </c>
      <c r="J108" t="s">
        <v>423</v>
      </c>
      <c r="K108" t="s">
        <v>342</v>
      </c>
      <c r="L108" t="str">
        <f t="shared" si="17"/>
        <v>Stress</v>
      </c>
      <c r="Q108" t="s">
        <v>412</v>
      </c>
      <c r="R108" t="s">
        <v>709</v>
      </c>
      <c r="S108" t="s">
        <v>703</v>
      </c>
      <c r="T108" t="s">
        <v>615</v>
      </c>
      <c r="U108" s="1"/>
      <c r="V108" s="1"/>
      <c r="W108" s="1"/>
      <c r="AJ108" t="s">
        <v>27</v>
      </c>
    </row>
    <row r="109" spans="1:36" x14ac:dyDescent="0.25">
      <c r="A109" t="s">
        <v>321</v>
      </c>
      <c r="B109" t="s">
        <v>345</v>
      </c>
      <c r="C109" t="s">
        <v>348</v>
      </c>
      <c r="D109" t="s">
        <v>347</v>
      </c>
      <c r="E109" t="s">
        <v>19</v>
      </c>
      <c r="F109" t="s">
        <v>72</v>
      </c>
      <c r="G109" t="s">
        <v>624</v>
      </c>
      <c r="H109" t="s">
        <v>713</v>
      </c>
      <c r="I109">
        <f t="shared" si="18"/>
        <v>210</v>
      </c>
      <c r="J109" t="s">
        <v>423</v>
      </c>
      <c r="K109" t="s">
        <v>341</v>
      </c>
      <c r="L109" t="str">
        <f t="shared" si="17"/>
        <v>Stress</v>
      </c>
      <c r="Q109" t="s">
        <v>412</v>
      </c>
      <c r="R109" t="s">
        <v>709</v>
      </c>
      <c r="S109" t="s">
        <v>703</v>
      </c>
      <c r="T109" t="s">
        <v>615</v>
      </c>
      <c r="U109" s="1"/>
      <c r="V109" s="1"/>
      <c r="W109" s="1"/>
      <c r="AB109" s="1">
        <f>[20]Creek_etal_2018_Fig2b!$D$20</f>
        <v>1.381333333333334E-8</v>
      </c>
      <c r="AJ109" t="s">
        <v>27</v>
      </c>
    </row>
    <row r="110" spans="1:36" x14ac:dyDescent="0.25">
      <c r="A110" t="s">
        <v>321</v>
      </c>
      <c r="B110" t="s">
        <v>346</v>
      </c>
      <c r="C110" t="s">
        <v>348</v>
      </c>
      <c r="D110" t="s">
        <v>347</v>
      </c>
      <c r="E110" t="s">
        <v>19</v>
      </c>
      <c r="F110" t="s">
        <v>72</v>
      </c>
      <c r="G110" t="s">
        <v>624</v>
      </c>
      <c r="H110" t="s">
        <v>713</v>
      </c>
      <c r="I110">
        <f t="shared" si="18"/>
        <v>210</v>
      </c>
      <c r="J110" t="s">
        <v>423</v>
      </c>
      <c r="K110" t="s">
        <v>39</v>
      </c>
      <c r="L110" t="str">
        <f t="shared" si="17"/>
        <v>Control</v>
      </c>
      <c r="Q110" t="s">
        <v>412</v>
      </c>
      <c r="R110" t="s">
        <v>709</v>
      </c>
      <c r="S110" t="s">
        <v>703</v>
      </c>
      <c r="T110" t="s">
        <v>615</v>
      </c>
      <c r="U110" s="1"/>
      <c r="V110" s="1"/>
      <c r="W110" s="1"/>
      <c r="AB110">
        <f>[21]Creek_etal_2018_Fig2c!$D$9</f>
        <v>3.7838333333333294E-8</v>
      </c>
      <c r="AJ110" t="s">
        <v>27</v>
      </c>
    </row>
    <row r="111" spans="1:36" x14ac:dyDescent="0.25">
      <c r="A111" t="s">
        <v>321</v>
      </c>
      <c r="B111" t="s">
        <v>346</v>
      </c>
      <c r="C111" t="s">
        <v>348</v>
      </c>
      <c r="D111" t="s">
        <v>347</v>
      </c>
      <c r="E111" t="s">
        <v>19</v>
      </c>
      <c r="F111" t="s">
        <v>72</v>
      </c>
      <c r="G111" t="s">
        <v>624</v>
      </c>
      <c r="H111" t="s">
        <v>713</v>
      </c>
      <c r="I111">
        <f t="shared" si="18"/>
        <v>210</v>
      </c>
      <c r="J111" t="s">
        <v>423</v>
      </c>
      <c r="K111" t="s">
        <v>340</v>
      </c>
      <c r="L111" t="str">
        <f t="shared" si="17"/>
        <v>Stress</v>
      </c>
      <c r="Q111" t="s">
        <v>412</v>
      </c>
      <c r="R111" t="s">
        <v>709</v>
      </c>
      <c r="S111" t="s">
        <v>703</v>
      </c>
      <c r="T111" t="s">
        <v>615</v>
      </c>
      <c r="U111" s="1"/>
      <c r="V111" s="1"/>
      <c r="W111" s="1"/>
      <c r="AJ111" t="s">
        <v>27</v>
      </c>
    </row>
    <row r="112" spans="1:36" x14ac:dyDescent="0.25">
      <c r="A112" t="s">
        <v>321</v>
      </c>
      <c r="B112" t="s">
        <v>346</v>
      </c>
      <c r="C112" t="s">
        <v>348</v>
      </c>
      <c r="D112" t="s">
        <v>347</v>
      </c>
      <c r="E112" t="s">
        <v>19</v>
      </c>
      <c r="F112" t="s">
        <v>72</v>
      </c>
      <c r="G112" t="s">
        <v>624</v>
      </c>
      <c r="H112" t="s">
        <v>713</v>
      </c>
      <c r="I112">
        <f t="shared" si="18"/>
        <v>210</v>
      </c>
      <c r="J112" t="s">
        <v>423</v>
      </c>
      <c r="K112" t="s">
        <v>342</v>
      </c>
      <c r="L112" t="str">
        <f t="shared" si="17"/>
        <v>Stress</v>
      </c>
      <c r="Q112" t="s">
        <v>412</v>
      </c>
      <c r="R112" t="s">
        <v>709</v>
      </c>
      <c r="S112" t="s">
        <v>703</v>
      </c>
      <c r="T112" t="s">
        <v>615</v>
      </c>
      <c r="U112" s="1"/>
      <c r="V112" s="1"/>
      <c r="W112" s="1"/>
      <c r="AB112">
        <f>[21]Creek_etal_2018_Fig2c!$D$14</f>
        <v>1.6435555555555572E-8</v>
      </c>
      <c r="AJ112" t="s">
        <v>27</v>
      </c>
    </row>
    <row r="113" spans="1:36" x14ac:dyDescent="0.25">
      <c r="A113" t="s">
        <v>321</v>
      </c>
      <c r="B113" t="s">
        <v>346</v>
      </c>
      <c r="C113" t="s">
        <v>348</v>
      </c>
      <c r="D113" t="s">
        <v>347</v>
      </c>
      <c r="E113" t="s">
        <v>19</v>
      </c>
      <c r="F113" t="s">
        <v>72</v>
      </c>
      <c r="G113" t="s">
        <v>624</v>
      </c>
      <c r="H113" t="s">
        <v>713</v>
      </c>
      <c r="I113">
        <f t="shared" si="18"/>
        <v>210</v>
      </c>
      <c r="J113" t="s">
        <v>423</v>
      </c>
      <c r="K113" t="s">
        <v>341</v>
      </c>
      <c r="L113" t="str">
        <f t="shared" si="17"/>
        <v>Stress</v>
      </c>
      <c r="Q113" t="s">
        <v>412</v>
      </c>
      <c r="R113" t="s">
        <v>709</v>
      </c>
      <c r="S113" t="s">
        <v>703</v>
      </c>
      <c r="T113" t="s">
        <v>615</v>
      </c>
      <c r="U113" s="1"/>
      <c r="V113" s="1"/>
      <c r="W113" s="1"/>
      <c r="AB113">
        <f>[21]Creek_etal_2018_Fig2c!$D$18</f>
        <v>6.9633333333333633E-9</v>
      </c>
      <c r="AJ113" t="s">
        <v>27</v>
      </c>
    </row>
    <row r="114" spans="1:36" x14ac:dyDescent="0.25">
      <c r="A114" t="s">
        <v>366</v>
      </c>
      <c r="B114" t="s">
        <v>252</v>
      </c>
      <c r="C114" t="s">
        <v>367</v>
      </c>
      <c r="D114" t="s">
        <v>253</v>
      </c>
      <c r="E114" t="s">
        <v>19</v>
      </c>
      <c r="F114" t="s">
        <v>129</v>
      </c>
      <c r="G114" t="s">
        <v>624</v>
      </c>
      <c r="H114" t="s">
        <v>713</v>
      </c>
      <c r="I114">
        <f t="shared" ref="I114:I119" si="19">1*365</f>
        <v>365</v>
      </c>
      <c r="J114" t="s">
        <v>772</v>
      </c>
      <c r="K114" t="s">
        <v>372</v>
      </c>
      <c r="L114" t="s">
        <v>716</v>
      </c>
      <c r="Q114" t="s">
        <v>412</v>
      </c>
      <c r="R114" t="s">
        <v>709</v>
      </c>
      <c r="S114" t="s">
        <v>703</v>
      </c>
      <c r="T114" t="s">
        <v>615</v>
      </c>
      <c r="U114" s="1"/>
      <c r="V114" s="1"/>
      <c r="W114" s="1"/>
      <c r="Z114" s="1">
        <v>2.0000000000000001E-10</v>
      </c>
      <c r="AJ114" t="s">
        <v>47</v>
      </c>
    </row>
    <row r="115" spans="1:36" x14ac:dyDescent="0.25">
      <c r="A115" t="s">
        <v>366</v>
      </c>
      <c r="B115" t="s">
        <v>252</v>
      </c>
      <c r="C115" t="s">
        <v>367</v>
      </c>
      <c r="D115" t="s">
        <v>253</v>
      </c>
      <c r="E115" t="s">
        <v>19</v>
      </c>
      <c r="F115" t="s">
        <v>129</v>
      </c>
      <c r="G115" t="s">
        <v>624</v>
      </c>
      <c r="H115" t="s">
        <v>713</v>
      </c>
      <c r="I115">
        <f t="shared" si="19"/>
        <v>365</v>
      </c>
      <c r="J115" t="s">
        <v>772</v>
      </c>
      <c r="K115" t="s">
        <v>373</v>
      </c>
      <c r="L115" t="s">
        <v>716</v>
      </c>
      <c r="Q115" t="s">
        <v>412</v>
      </c>
      <c r="R115" t="s">
        <v>709</v>
      </c>
      <c r="S115" t="s">
        <v>703</v>
      </c>
      <c r="T115" t="s">
        <v>615</v>
      </c>
      <c r="U115" s="1"/>
      <c r="V115" s="1"/>
      <c r="W115" s="1"/>
      <c r="Z115" s="1">
        <v>1.4000000000000001E-10</v>
      </c>
      <c r="AJ115" t="s">
        <v>47</v>
      </c>
    </row>
    <row r="116" spans="1:36" x14ac:dyDescent="0.25">
      <c r="A116" t="s">
        <v>366</v>
      </c>
      <c r="B116" t="s">
        <v>252</v>
      </c>
      <c r="C116" t="s">
        <v>367</v>
      </c>
      <c r="D116" t="s">
        <v>253</v>
      </c>
      <c r="E116" t="s">
        <v>19</v>
      </c>
      <c r="F116" t="s">
        <v>129</v>
      </c>
      <c r="G116" t="s">
        <v>624</v>
      </c>
      <c r="H116" t="s">
        <v>713</v>
      </c>
      <c r="I116">
        <f t="shared" si="19"/>
        <v>365</v>
      </c>
      <c r="J116" t="s">
        <v>772</v>
      </c>
      <c r="K116" t="s">
        <v>374</v>
      </c>
      <c r="L116" t="s">
        <v>716</v>
      </c>
      <c r="Q116" t="s">
        <v>412</v>
      </c>
      <c r="R116" t="s">
        <v>709</v>
      </c>
      <c r="S116" t="s">
        <v>703</v>
      </c>
      <c r="T116" t="s">
        <v>615</v>
      </c>
      <c r="U116" s="1"/>
      <c r="V116" s="1"/>
      <c r="W116" s="1"/>
      <c r="Z116" s="1">
        <v>8.9999999999999999E-11</v>
      </c>
      <c r="AJ116" t="s">
        <v>47</v>
      </c>
    </row>
    <row r="117" spans="1:36" x14ac:dyDescent="0.25">
      <c r="A117" t="s">
        <v>366</v>
      </c>
      <c r="B117" t="s">
        <v>368</v>
      </c>
      <c r="C117" t="s">
        <v>369</v>
      </c>
      <c r="D117" t="s">
        <v>370</v>
      </c>
      <c r="E117" t="s">
        <v>19</v>
      </c>
      <c r="F117" t="s">
        <v>371</v>
      </c>
      <c r="G117" t="s">
        <v>137</v>
      </c>
      <c r="H117" t="s">
        <v>137</v>
      </c>
      <c r="I117">
        <f t="shared" si="19"/>
        <v>365</v>
      </c>
      <c r="J117" t="s">
        <v>772</v>
      </c>
      <c r="K117" t="s">
        <v>372</v>
      </c>
      <c r="L117" t="s">
        <v>716</v>
      </c>
      <c r="Q117" t="s">
        <v>412</v>
      </c>
      <c r="R117" t="s">
        <v>709</v>
      </c>
      <c r="S117" t="s">
        <v>703</v>
      </c>
      <c r="T117" t="s">
        <v>615</v>
      </c>
      <c r="U117" s="1"/>
      <c r="V117" s="1"/>
      <c r="W117" s="1"/>
      <c r="Z117" s="1">
        <v>8.0000000000000003E-10</v>
      </c>
      <c r="AJ117" t="s">
        <v>47</v>
      </c>
    </row>
    <row r="118" spans="1:36" x14ac:dyDescent="0.25">
      <c r="A118" t="s">
        <v>366</v>
      </c>
      <c r="B118" t="s">
        <v>368</v>
      </c>
      <c r="C118" t="s">
        <v>369</v>
      </c>
      <c r="D118" t="s">
        <v>370</v>
      </c>
      <c r="E118" t="s">
        <v>19</v>
      </c>
      <c r="F118" t="s">
        <v>371</v>
      </c>
      <c r="G118" t="s">
        <v>137</v>
      </c>
      <c r="H118" t="s">
        <v>137</v>
      </c>
      <c r="I118">
        <f t="shared" si="19"/>
        <v>365</v>
      </c>
      <c r="J118" t="s">
        <v>772</v>
      </c>
      <c r="K118" t="s">
        <v>373</v>
      </c>
      <c r="L118" t="s">
        <v>716</v>
      </c>
      <c r="Q118" t="s">
        <v>412</v>
      </c>
      <c r="R118" t="s">
        <v>709</v>
      </c>
      <c r="S118" t="s">
        <v>703</v>
      </c>
      <c r="T118" t="s">
        <v>615</v>
      </c>
      <c r="U118" s="1"/>
      <c r="V118" s="1"/>
      <c r="W118" s="1"/>
      <c r="Z118" s="1">
        <v>1.44E-9</v>
      </c>
      <c r="AJ118" t="s">
        <v>47</v>
      </c>
    </row>
    <row r="119" spans="1:36" x14ac:dyDescent="0.25">
      <c r="A119" t="s">
        <v>366</v>
      </c>
      <c r="B119" t="s">
        <v>368</v>
      </c>
      <c r="C119" t="s">
        <v>369</v>
      </c>
      <c r="D119" t="s">
        <v>370</v>
      </c>
      <c r="E119" t="s">
        <v>19</v>
      </c>
      <c r="F119" t="s">
        <v>371</v>
      </c>
      <c r="G119" t="s">
        <v>137</v>
      </c>
      <c r="H119" t="s">
        <v>137</v>
      </c>
      <c r="I119">
        <f t="shared" si="19"/>
        <v>365</v>
      </c>
      <c r="J119" t="s">
        <v>772</v>
      </c>
      <c r="K119" t="s">
        <v>374</v>
      </c>
      <c r="L119" t="s">
        <v>716</v>
      </c>
      <c r="Q119" t="s">
        <v>412</v>
      </c>
      <c r="R119" t="s">
        <v>709</v>
      </c>
      <c r="S119" t="s">
        <v>703</v>
      </c>
      <c r="T119" t="s">
        <v>615</v>
      </c>
      <c r="U119" s="1"/>
      <c r="V119" s="1"/>
      <c r="W119" s="1"/>
      <c r="Z119" s="1">
        <v>4.2E-10</v>
      </c>
      <c r="AJ119" t="s">
        <v>47</v>
      </c>
    </row>
    <row r="120" spans="1:36" x14ac:dyDescent="0.25">
      <c r="A120" t="s">
        <v>48</v>
      </c>
      <c r="B120" t="s">
        <v>34</v>
      </c>
      <c r="C120" t="s">
        <v>35</v>
      </c>
      <c r="D120" t="s">
        <v>36</v>
      </c>
      <c r="E120" t="s">
        <v>19</v>
      </c>
      <c r="F120" t="s">
        <v>37</v>
      </c>
      <c r="G120" t="s">
        <v>622</v>
      </c>
      <c r="H120" t="s">
        <v>714</v>
      </c>
      <c r="J120" t="s">
        <v>49</v>
      </c>
      <c r="K120" t="s">
        <v>39</v>
      </c>
      <c r="L120" t="str">
        <f t="shared" ref="L120:L131" si="20">+IF(K120 = "Control", "Control", "Stress")</f>
        <v>Control</v>
      </c>
      <c r="M120" t="s">
        <v>39</v>
      </c>
      <c r="N120" t="str">
        <f t="shared" ref="N120:N131" si="21">+IF(M120="Control","Control","Stress")</f>
        <v>Control</v>
      </c>
      <c r="Q120" t="s">
        <v>412</v>
      </c>
      <c r="R120" t="s">
        <v>709</v>
      </c>
      <c r="S120" t="s">
        <v>703</v>
      </c>
      <c r="T120" t="s">
        <v>615</v>
      </c>
      <c r="U120" s="1"/>
      <c r="V120" s="1"/>
      <c r="W120" s="1"/>
      <c r="X120" s="1"/>
      <c r="Y120" s="1"/>
      <c r="Z120" s="1"/>
      <c r="AA120" s="1">
        <f>[22]Shi_etal_2016_Fig2!B2</f>
        <v>1.7542168674698699E-7</v>
      </c>
      <c r="AB120" s="1"/>
      <c r="AE120" s="2"/>
      <c r="AF120" s="2"/>
      <c r="AJ120" t="s">
        <v>203</v>
      </c>
    </row>
    <row r="121" spans="1:36" x14ac:dyDescent="0.25">
      <c r="A121" t="s">
        <v>48</v>
      </c>
      <c r="B121" t="s">
        <v>34</v>
      </c>
      <c r="C121" t="s">
        <v>35</v>
      </c>
      <c r="D121" t="s">
        <v>36</v>
      </c>
      <c r="E121" t="s">
        <v>19</v>
      </c>
      <c r="F121" t="s">
        <v>37</v>
      </c>
      <c r="G121" t="s">
        <v>622</v>
      </c>
      <c r="H121" t="s">
        <v>714</v>
      </c>
      <c r="J121" t="s">
        <v>49</v>
      </c>
      <c r="K121" t="s">
        <v>39</v>
      </c>
      <c r="L121" t="str">
        <f t="shared" si="20"/>
        <v>Control</v>
      </c>
      <c r="M121" t="s">
        <v>50</v>
      </c>
      <c r="N121" t="str">
        <f t="shared" si="21"/>
        <v>Stress</v>
      </c>
      <c r="Q121" t="s">
        <v>412</v>
      </c>
      <c r="R121" t="s">
        <v>709</v>
      </c>
      <c r="S121" t="s">
        <v>703</v>
      </c>
      <c r="T121" t="s">
        <v>615</v>
      </c>
      <c r="U121" s="1"/>
      <c r="V121" s="1"/>
      <c r="W121" s="1"/>
      <c r="X121" s="1"/>
      <c r="Y121" s="1"/>
      <c r="Z121" s="1"/>
      <c r="AA121" s="1">
        <f>[22]Shi_etal_2016_Fig2!B3</f>
        <v>1.53734939759036E-7</v>
      </c>
      <c r="AB121" s="1"/>
      <c r="AE121" s="2"/>
      <c r="AF121" s="2"/>
      <c r="AJ121" t="s">
        <v>203</v>
      </c>
    </row>
    <row r="122" spans="1:36" x14ac:dyDescent="0.25">
      <c r="A122" t="s">
        <v>48</v>
      </c>
      <c r="B122" t="s">
        <v>34</v>
      </c>
      <c r="C122" t="s">
        <v>35</v>
      </c>
      <c r="D122" t="s">
        <v>36</v>
      </c>
      <c r="E122" t="s">
        <v>19</v>
      </c>
      <c r="F122" t="s">
        <v>37</v>
      </c>
      <c r="G122" t="s">
        <v>622</v>
      </c>
      <c r="H122" t="s">
        <v>714</v>
      </c>
      <c r="J122" t="s">
        <v>49</v>
      </c>
      <c r="K122" t="s">
        <v>51</v>
      </c>
      <c r="L122" t="str">
        <f t="shared" si="20"/>
        <v>Stress</v>
      </c>
      <c r="M122" t="s">
        <v>39</v>
      </c>
      <c r="N122" t="str">
        <f t="shared" si="21"/>
        <v>Control</v>
      </c>
      <c r="Q122" t="s">
        <v>412</v>
      </c>
      <c r="R122" t="s">
        <v>709</v>
      </c>
      <c r="S122" t="s">
        <v>703</v>
      </c>
      <c r="T122" t="s">
        <v>615</v>
      </c>
      <c r="U122" s="1"/>
      <c r="V122" s="1"/>
      <c r="W122" s="1"/>
      <c r="X122" s="1"/>
      <c r="Y122" s="1"/>
      <c r="Z122" s="1"/>
      <c r="AA122" s="1">
        <f>[22]Shi_etal_2016_Fig2!B4</f>
        <v>3.8554216867469801E-9</v>
      </c>
      <c r="AB122" s="1"/>
      <c r="AE122" s="2"/>
      <c r="AF122" s="2"/>
      <c r="AJ122" t="s">
        <v>203</v>
      </c>
    </row>
    <row r="123" spans="1:36" x14ac:dyDescent="0.25">
      <c r="A123" t="s">
        <v>48</v>
      </c>
      <c r="B123" t="s">
        <v>34</v>
      </c>
      <c r="C123" t="s">
        <v>35</v>
      </c>
      <c r="D123" t="s">
        <v>36</v>
      </c>
      <c r="E123" t="s">
        <v>19</v>
      </c>
      <c r="F123" t="s">
        <v>37</v>
      </c>
      <c r="G123" t="s">
        <v>622</v>
      </c>
      <c r="H123" t="s">
        <v>714</v>
      </c>
      <c r="J123" t="s">
        <v>49</v>
      </c>
      <c r="K123" t="s">
        <v>51</v>
      </c>
      <c r="L123" t="str">
        <f t="shared" si="20"/>
        <v>Stress</v>
      </c>
      <c r="M123" t="s">
        <v>50</v>
      </c>
      <c r="N123" t="str">
        <f t="shared" si="21"/>
        <v>Stress</v>
      </c>
      <c r="Q123" t="s">
        <v>412</v>
      </c>
      <c r="R123" t="s">
        <v>709</v>
      </c>
      <c r="S123" t="s">
        <v>703</v>
      </c>
      <c r="T123" t="s">
        <v>615</v>
      </c>
      <c r="U123" s="1"/>
      <c r="V123" s="1"/>
      <c r="W123" s="1"/>
      <c r="X123" s="1"/>
      <c r="Y123" s="1"/>
      <c r="Z123" s="1"/>
      <c r="AA123" s="1">
        <f>[22]Shi_etal_2016_Fig2!B5</f>
        <v>2.0120481927710799E-8</v>
      </c>
      <c r="AB123" s="1"/>
      <c r="AE123" s="2"/>
      <c r="AF123" s="2"/>
      <c r="AJ123" t="s">
        <v>203</v>
      </c>
    </row>
    <row r="124" spans="1:36" x14ac:dyDescent="0.25">
      <c r="A124" t="s">
        <v>567</v>
      </c>
      <c r="B124" t="s">
        <v>16</v>
      </c>
      <c r="C124" t="s">
        <v>17</v>
      </c>
      <c r="D124" t="s">
        <v>18</v>
      </c>
      <c r="E124" t="s">
        <v>19</v>
      </c>
      <c r="F124" t="s">
        <v>20</v>
      </c>
      <c r="G124" t="s">
        <v>20</v>
      </c>
      <c r="H124" t="s">
        <v>712</v>
      </c>
      <c r="I124">
        <f t="shared" ref="I124:I131" si="22">3+AVERAGE(4,5)</f>
        <v>7.5</v>
      </c>
      <c r="J124" t="s">
        <v>645</v>
      </c>
      <c r="K124" t="s">
        <v>39</v>
      </c>
      <c r="L124" t="str">
        <f t="shared" si="20"/>
        <v>Control</v>
      </c>
      <c r="M124" t="s">
        <v>39</v>
      </c>
      <c r="N124" t="str">
        <f t="shared" si="21"/>
        <v>Control</v>
      </c>
      <c r="O124" t="s">
        <v>568</v>
      </c>
      <c r="P124" t="s">
        <v>716</v>
      </c>
      <c r="Q124" t="s">
        <v>412</v>
      </c>
      <c r="R124" t="s">
        <v>709</v>
      </c>
      <c r="S124" t="s">
        <v>703</v>
      </c>
      <c r="T124" t="s">
        <v>616</v>
      </c>
      <c r="U124" s="1" t="s">
        <v>754</v>
      </c>
      <c r="V124" s="1">
        <f>+W124*AF124</f>
        <v>5.0749999999999993E-12</v>
      </c>
      <c r="W124" s="1">
        <f>0.00000029/3600</f>
        <v>8.0555555555555544E-11</v>
      </c>
      <c r="X124" s="1"/>
      <c r="Y124" s="1"/>
      <c r="Z124" s="1"/>
      <c r="AB124" s="1"/>
      <c r="AE124" s="2"/>
      <c r="AF124" s="5">
        <v>6.3E-2</v>
      </c>
      <c r="AJ124" t="s">
        <v>352</v>
      </c>
    </row>
    <row r="125" spans="1:36" x14ac:dyDescent="0.25">
      <c r="A125" t="s">
        <v>567</v>
      </c>
      <c r="B125" t="s">
        <v>16</v>
      </c>
      <c r="C125" t="s">
        <v>17</v>
      </c>
      <c r="D125" t="s">
        <v>18</v>
      </c>
      <c r="E125" t="s">
        <v>19</v>
      </c>
      <c r="F125" t="s">
        <v>20</v>
      </c>
      <c r="G125" t="s">
        <v>20</v>
      </c>
      <c r="H125" t="s">
        <v>712</v>
      </c>
      <c r="I125">
        <f t="shared" si="22"/>
        <v>7.5</v>
      </c>
      <c r="J125" t="s">
        <v>645</v>
      </c>
      <c r="K125" t="s">
        <v>39</v>
      </c>
      <c r="L125" t="str">
        <f t="shared" si="20"/>
        <v>Control</v>
      </c>
      <c r="M125" t="s">
        <v>39</v>
      </c>
      <c r="N125" t="str">
        <f t="shared" si="21"/>
        <v>Control</v>
      </c>
      <c r="O125" t="s">
        <v>569</v>
      </c>
      <c r="P125" t="s">
        <v>716</v>
      </c>
      <c r="Q125" t="s">
        <v>412</v>
      </c>
      <c r="R125" t="s">
        <v>709</v>
      </c>
      <c r="S125" t="s">
        <v>703</v>
      </c>
      <c r="T125" t="s">
        <v>616</v>
      </c>
      <c r="U125" s="1" t="s">
        <v>754</v>
      </c>
      <c r="V125" s="1">
        <f t="shared" ref="V125:V131" si="23">+W125*AF125</f>
        <v>2.0400000000000002E-12</v>
      </c>
      <c r="W125" s="1">
        <f>0.000000136/3600</f>
        <v>3.7777777777777781E-11</v>
      </c>
      <c r="X125" s="1"/>
      <c r="Y125" s="1"/>
      <c r="Z125" s="1"/>
      <c r="AB125" s="1"/>
      <c r="AE125" s="2"/>
      <c r="AF125" s="5">
        <v>5.3999999999999999E-2</v>
      </c>
      <c r="AJ125" t="s">
        <v>352</v>
      </c>
    </row>
    <row r="126" spans="1:36" x14ac:dyDescent="0.25">
      <c r="A126" t="s">
        <v>567</v>
      </c>
      <c r="B126" t="s">
        <v>16</v>
      </c>
      <c r="C126" t="s">
        <v>17</v>
      </c>
      <c r="D126" t="s">
        <v>18</v>
      </c>
      <c r="E126" t="s">
        <v>19</v>
      </c>
      <c r="F126" t="s">
        <v>20</v>
      </c>
      <c r="G126" t="s">
        <v>20</v>
      </c>
      <c r="H126" t="s">
        <v>712</v>
      </c>
      <c r="I126">
        <f t="shared" si="22"/>
        <v>7.5</v>
      </c>
      <c r="J126" t="s">
        <v>645</v>
      </c>
      <c r="K126" t="s">
        <v>711</v>
      </c>
      <c r="L126" t="str">
        <f t="shared" si="20"/>
        <v>Stress</v>
      </c>
      <c r="M126" t="s">
        <v>39</v>
      </c>
      <c r="N126" t="str">
        <f t="shared" si="21"/>
        <v>Control</v>
      </c>
      <c r="O126" t="s">
        <v>568</v>
      </c>
      <c r="P126" t="s">
        <v>716</v>
      </c>
      <c r="Q126" t="s">
        <v>412</v>
      </c>
      <c r="R126" t="s">
        <v>709</v>
      </c>
      <c r="S126" t="s">
        <v>703</v>
      </c>
      <c r="T126" t="s">
        <v>616</v>
      </c>
      <c r="U126" s="1" t="s">
        <v>754</v>
      </c>
      <c r="V126" s="1">
        <f t="shared" si="23"/>
        <v>2.9749999999999997E-12</v>
      </c>
      <c r="W126" s="1">
        <f>0.00000017/3600</f>
        <v>4.7222222222222216E-11</v>
      </c>
      <c r="X126" s="1"/>
      <c r="Y126" s="1"/>
      <c r="Z126" s="1"/>
      <c r="AB126" s="1"/>
      <c r="AE126" s="2"/>
      <c r="AF126" s="5">
        <v>6.3E-2</v>
      </c>
      <c r="AJ126" t="s">
        <v>352</v>
      </c>
    </row>
    <row r="127" spans="1:36" x14ac:dyDescent="0.25">
      <c r="A127" t="s">
        <v>567</v>
      </c>
      <c r="B127" t="s">
        <v>16</v>
      </c>
      <c r="C127" t="s">
        <v>17</v>
      </c>
      <c r="D127" t="s">
        <v>18</v>
      </c>
      <c r="E127" t="s">
        <v>19</v>
      </c>
      <c r="F127" t="s">
        <v>20</v>
      </c>
      <c r="G127" t="s">
        <v>20</v>
      </c>
      <c r="H127" t="s">
        <v>712</v>
      </c>
      <c r="I127">
        <f t="shared" si="22"/>
        <v>7.5</v>
      </c>
      <c r="J127" t="s">
        <v>645</v>
      </c>
      <c r="K127" t="s">
        <v>711</v>
      </c>
      <c r="L127" t="str">
        <f t="shared" si="20"/>
        <v>Stress</v>
      </c>
      <c r="M127" t="s">
        <v>39</v>
      </c>
      <c r="N127" t="str">
        <f t="shared" si="21"/>
        <v>Control</v>
      </c>
      <c r="O127" t="s">
        <v>569</v>
      </c>
      <c r="P127" t="s">
        <v>716</v>
      </c>
      <c r="Q127" t="s">
        <v>412</v>
      </c>
      <c r="R127" t="s">
        <v>709</v>
      </c>
      <c r="S127" t="s">
        <v>703</v>
      </c>
      <c r="T127" t="s">
        <v>616</v>
      </c>
      <c r="U127" s="1" t="s">
        <v>754</v>
      </c>
      <c r="V127" s="1">
        <f t="shared" si="23"/>
        <v>1.0200000000000001E-12</v>
      </c>
      <c r="W127" s="1">
        <f>0.000000068/3600</f>
        <v>1.888888888888889E-11</v>
      </c>
      <c r="X127" s="1"/>
      <c r="Y127" s="1"/>
      <c r="Z127" s="1"/>
      <c r="AB127" s="1"/>
      <c r="AE127" s="2"/>
      <c r="AF127" s="5">
        <v>5.3999999999999999E-2</v>
      </c>
      <c r="AJ127" t="s">
        <v>352</v>
      </c>
    </row>
    <row r="128" spans="1:36" x14ac:dyDescent="0.25">
      <c r="A128" t="s">
        <v>567</v>
      </c>
      <c r="B128" t="s">
        <v>16</v>
      </c>
      <c r="C128" t="s">
        <v>17</v>
      </c>
      <c r="D128" t="s">
        <v>18</v>
      </c>
      <c r="E128" t="s">
        <v>19</v>
      </c>
      <c r="F128" t="s">
        <v>20</v>
      </c>
      <c r="G128" t="s">
        <v>20</v>
      </c>
      <c r="H128" t="s">
        <v>712</v>
      </c>
      <c r="I128">
        <f t="shared" si="22"/>
        <v>7.5</v>
      </c>
      <c r="J128" t="s">
        <v>645</v>
      </c>
      <c r="K128" t="s">
        <v>39</v>
      </c>
      <c r="L128" t="str">
        <f t="shared" si="20"/>
        <v>Control</v>
      </c>
      <c r="M128" t="s">
        <v>79</v>
      </c>
      <c r="N128" t="str">
        <f t="shared" si="21"/>
        <v>Stress</v>
      </c>
      <c r="O128" t="s">
        <v>568</v>
      </c>
      <c r="P128" t="s">
        <v>716</v>
      </c>
      <c r="Q128" t="s">
        <v>412</v>
      </c>
      <c r="R128" t="s">
        <v>709</v>
      </c>
      <c r="S128" t="s">
        <v>703</v>
      </c>
      <c r="T128" t="s">
        <v>616</v>
      </c>
      <c r="U128" s="1" t="s">
        <v>754</v>
      </c>
      <c r="V128" s="1">
        <f t="shared" si="23"/>
        <v>1.0675E-11</v>
      </c>
      <c r="W128" s="1">
        <f>0.00000061/3600</f>
        <v>1.6944444444444445E-10</v>
      </c>
      <c r="X128" s="1"/>
      <c r="Y128" s="1"/>
      <c r="Z128" s="1"/>
      <c r="AB128" s="1"/>
      <c r="AE128" s="2"/>
      <c r="AF128" s="5">
        <v>6.3E-2</v>
      </c>
      <c r="AJ128" t="s">
        <v>352</v>
      </c>
    </row>
    <row r="129" spans="1:36" x14ac:dyDescent="0.25">
      <c r="A129" t="s">
        <v>567</v>
      </c>
      <c r="B129" t="s">
        <v>16</v>
      </c>
      <c r="C129" t="s">
        <v>17</v>
      </c>
      <c r="D129" t="s">
        <v>18</v>
      </c>
      <c r="E129" t="s">
        <v>19</v>
      </c>
      <c r="F129" t="s">
        <v>20</v>
      </c>
      <c r="G129" t="s">
        <v>20</v>
      </c>
      <c r="H129" t="s">
        <v>712</v>
      </c>
      <c r="I129">
        <f t="shared" si="22"/>
        <v>7.5</v>
      </c>
      <c r="J129" t="s">
        <v>645</v>
      </c>
      <c r="K129" t="s">
        <v>39</v>
      </c>
      <c r="L129" t="str">
        <f t="shared" si="20"/>
        <v>Control</v>
      </c>
      <c r="M129" t="s">
        <v>79</v>
      </c>
      <c r="N129" t="str">
        <f t="shared" si="21"/>
        <v>Stress</v>
      </c>
      <c r="O129" t="s">
        <v>569</v>
      </c>
      <c r="P129" t="s">
        <v>716</v>
      </c>
      <c r="Q129" t="s">
        <v>412</v>
      </c>
      <c r="R129" t="s">
        <v>709</v>
      </c>
      <c r="S129" t="s">
        <v>703</v>
      </c>
      <c r="T129" t="s">
        <v>616</v>
      </c>
      <c r="U129" s="1" t="s">
        <v>754</v>
      </c>
      <c r="V129" s="1">
        <f t="shared" si="23"/>
        <v>5.8500000000000003E-12</v>
      </c>
      <c r="W129" s="1">
        <f>0.00000039/3600</f>
        <v>1.0833333333333333E-10</v>
      </c>
      <c r="X129" s="1"/>
      <c r="Y129" s="1"/>
      <c r="Z129" s="1"/>
      <c r="AB129" s="1"/>
      <c r="AE129" s="2"/>
      <c r="AF129" s="5">
        <v>5.3999999999999999E-2</v>
      </c>
      <c r="AJ129" t="s">
        <v>352</v>
      </c>
    </row>
    <row r="130" spans="1:36" x14ac:dyDescent="0.25">
      <c r="A130" t="s">
        <v>567</v>
      </c>
      <c r="B130" t="s">
        <v>16</v>
      </c>
      <c r="C130" t="s">
        <v>17</v>
      </c>
      <c r="D130" t="s">
        <v>18</v>
      </c>
      <c r="E130" t="s">
        <v>19</v>
      </c>
      <c r="F130" t="s">
        <v>20</v>
      </c>
      <c r="G130" t="s">
        <v>20</v>
      </c>
      <c r="H130" t="s">
        <v>712</v>
      </c>
      <c r="I130">
        <f t="shared" si="22"/>
        <v>7.5</v>
      </c>
      <c r="J130" t="s">
        <v>645</v>
      </c>
      <c r="K130" t="s">
        <v>711</v>
      </c>
      <c r="L130" t="str">
        <f t="shared" si="20"/>
        <v>Stress</v>
      </c>
      <c r="M130" t="s">
        <v>79</v>
      </c>
      <c r="N130" t="str">
        <f t="shared" si="21"/>
        <v>Stress</v>
      </c>
      <c r="O130" t="s">
        <v>568</v>
      </c>
      <c r="P130" t="s">
        <v>716</v>
      </c>
      <c r="Q130" t="s">
        <v>412</v>
      </c>
      <c r="R130" t="s">
        <v>709</v>
      </c>
      <c r="S130" t="s">
        <v>703</v>
      </c>
      <c r="T130" t="s">
        <v>616</v>
      </c>
      <c r="U130" s="1" t="s">
        <v>754</v>
      </c>
      <c r="V130" s="1">
        <f t="shared" si="23"/>
        <v>3.22E-12</v>
      </c>
      <c r="W130" s="1">
        <f>0.000000184/3600</f>
        <v>5.1111111111111113E-11</v>
      </c>
      <c r="X130" s="1"/>
      <c r="Y130" s="1"/>
      <c r="Z130" s="1"/>
      <c r="AB130" s="1"/>
      <c r="AE130" s="2"/>
      <c r="AF130" s="5">
        <v>6.3E-2</v>
      </c>
      <c r="AJ130" t="s">
        <v>352</v>
      </c>
    </row>
    <row r="131" spans="1:36" x14ac:dyDescent="0.25">
      <c r="A131" t="s">
        <v>567</v>
      </c>
      <c r="B131" t="s">
        <v>16</v>
      </c>
      <c r="C131" t="s">
        <v>17</v>
      </c>
      <c r="D131" t="s">
        <v>18</v>
      </c>
      <c r="E131" t="s">
        <v>19</v>
      </c>
      <c r="F131" t="s">
        <v>20</v>
      </c>
      <c r="G131" t="s">
        <v>20</v>
      </c>
      <c r="H131" t="s">
        <v>712</v>
      </c>
      <c r="I131">
        <f t="shared" si="22"/>
        <v>7.5</v>
      </c>
      <c r="J131" t="s">
        <v>645</v>
      </c>
      <c r="K131" t="s">
        <v>711</v>
      </c>
      <c r="L131" t="str">
        <f t="shared" si="20"/>
        <v>Stress</v>
      </c>
      <c r="M131" t="s">
        <v>79</v>
      </c>
      <c r="N131" t="str">
        <f t="shared" si="21"/>
        <v>Stress</v>
      </c>
      <c r="O131" t="s">
        <v>569</v>
      </c>
      <c r="P131" t="s">
        <v>716</v>
      </c>
      <c r="Q131" t="s">
        <v>412</v>
      </c>
      <c r="R131" t="s">
        <v>709</v>
      </c>
      <c r="S131" t="s">
        <v>703</v>
      </c>
      <c r="T131" t="s">
        <v>616</v>
      </c>
      <c r="U131" s="1" t="s">
        <v>754</v>
      </c>
      <c r="V131" s="1">
        <f t="shared" si="23"/>
        <v>1.3350000000000001E-12</v>
      </c>
      <c r="W131" s="1">
        <f>0.000000089/3600</f>
        <v>2.4722222222222223E-11</v>
      </c>
      <c r="X131" s="1"/>
      <c r="Y131" s="1"/>
      <c r="Z131" s="1"/>
      <c r="AB131" s="1"/>
      <c r="AE131" s="2"/>
      <c r="AF131" s="5">
        <v>5.3999999999999999E-2</v>
      </c>
      <c r="AJ131" t="s">
        <v>352</v>
      </c>
    </row>
    <row r="132" spans="1:36" x14ac:dyDescent="0.25">
      <c r="A132" t="s">
        <v>239</v>
      </c>
      <c r="B132" t="s">
        <v>240</v>
      </c>
      <c r="C132" t="s">
        <v>154</v>
      </c>
      <c r="D132" t="s">
        <v>155</v>
      </c>
      <c r="E132" t="s">
        <v>19</v>
      </c>
      <c r="F132" t="s">
        <v>72</v>
      </c>
      <c r="G132" t="s">
        <v>601</v>
      </c>
      <c r="H132" t="s">
        <v>713</v>
      </c>
      <c r="I132">
        <f>10*30</f>
        <v>300</v>
      </c>
      <c r="J132" t="s">
        <v>778</v>
      </c>
      <c r="Q132" t="s">
        <v>412</v>
      </c>
      <c r="R132" t="s">
        <v>709</v>
      </c>
      <c r="S132" t="s">
        <v>703</v>
      </c>
      <c r="T132" t="s">
        <v>615</v>
      </c>
      <c r="U132" s="1" t="s">
        <v>755</v>
      </c>
      <c r="V132" s="1">
        <f>104.03*0.0000000001</f>
        <v>1.0403000000000001E-8</v>
      </c>
      <c r="W132" s="1"/>
      <c r="X132">
        <f>28.12*0.0000000001</f>
        <v>2.8120000000000002E-9</v>
      </c>
      <c r="AE132">
        <v>3.7</v>
      </c>
      <c r="AJ132" t="s">
        <v>47</v>
      </c>
    </row>
    <row r="133" spans="1:36" x14ac:dyDescent="0.25">
      <c r="A133" t="s">
        <v>239</v>
      </c>
      <c r="B133" t="s">
        <v>241</v>
      </c>
      <c r="C133" t="s">
        <v>154</v>
      </c>
      <c r="D133" t="s">
        <v>155</v>
      </c>
      <c r="E133" t="s">
        <v>19</v>
      </c>
      <c r="F133" t="s">
        <v>72</v>
      </c>
      <c r="G133" t="s">
        <v>601</v>
      </c>
      <c r="H133" t="s">
        <v>713</v>
      </c>
      <c r="I133">
        <f>10*30</f>
        <v>300</v>
      </c>
      <c r="J133" t="s">
        <v>778</v>
      </c>
      <c r="Q133" t="s">
        <v>412</v>
      </c>
      <c r="R133" t="s">
        <v>709</v>
      </c>
      <c r="S133" t="s">
        <v>703</v>
      </c>
      <c r="T133" t="s">
        <v>615</v>
      </c>
      <c r="U133" s="1" t="s">
        <v>755</v>
      </c>
      <c r="V133" s="1">
        <f>52.87*0.0000000001</f>
        <v>5.2869999999999996E-9</v>
      </c>
      <c r="W133" s="1"/>
      <c r="X133">
        <f>14.37*0.0000000001</f>
        <v>1.4369999999999999E-9</v>
      </c>
      <c r="AE133">
        <v>3.68</v>
      </c>
      <c r="AJ133" t="s">
        <v>47</v>
      </c>
    </row>
    <row r="134" spans="1:36" x14ac:dyDescent="0.25">
      <c r="A134" t="s">
        <v>52</v>
      </c>
      <c r="B134" t="s">
        <v>53</v>
      </c>
      <c r="C134" t="s">
        <v>54</v>
      </c>
      <c r="D134" t="s">
        <v>18</v>
      </c>
      <c r="E134" t="s">
        <v>31</v>
      </c>
      <c r="F134" t="s">
        <v>32</v>
      </c>
      <c r="G134" t="s">
        <v>32</v>
      </c>
      <c r="H134" t="s">
        <v>712</v>
      </c>
      <c r="I134">
        <f t="shared" ref="I134:I149" si="24">14+12</f>
        <v>26</v>
      </c>
      <c r="J134" t="s">
        <v>64</v>
      </c>
      <c r="K134" t="s">
        <v>39</v>
      </c>
      <c r="L134" t="str">
        <f t="shared" ref="L134:L149" si="25">+IF(K134 = "Control", "Control", "Stress")</f>
        <v>Control</v>
      </c>
      <c r="Q134" t="s">
        <v>412</v>
      </c>
      <c r="R134" t="s">
        <v>709</v>
      </c>
      <c r="S134" t="s">
        <v>703</v>
      </c>
      <c r="T134" t="s">
        <v>615</v>
      </c>
      <c r="U134" s="1" t="s">
        <v>755</v>
      </c>
      <c r="V134" s="1">
        <f>[23]Niu_etal_2016_Fig1a_c!B2</f>
        <v>3.49425287356321E-10</v>
      </c>
      <c r="W134" s="1"/>
      <c r="X134" s="1"/>
      <c r="Y134" s="1"/>
      <c r="Z134" s="1"/>
      <c r="AA134" s="1">
        <f>[24]Niu_etal_2016_Fig2!$C$2</f>
        <v>1.68004027361202E-7</v>
      </c>
      <c r="AB134" s="1"/>
      <c r="AC134" s="3">
        <f>+V134/AA134*10000</f>
        <v>20.798625654673771</v>
      </c>
      <c r="AE134" s="2"/>
      <c r="AF134" s="2"/>
      <c r="AJ134" t="s">
        <v>203</v>
      </c>
    </row>
    <row r="135" spans="1:36" x14ac:dyDescent="0.25">
      <c r="A135" t="s">
        <v>52</v>
      </c>
      <c r="B135" t="s">
        <v>53</v>
      </c>
      <c r="C135" t="s">
        <v>54</v>
      </c>
      <c r="D135" t="s">
        <v>18</v>
      </c>
      <c r="E135" t="s">
        <v>31</v>
      </c>
      <c r="F135" t="s">
        <v>32</v>
      </c>
      <c r="G135" t="s">
        <v>32</v>
      </c>
      <c r="H135" t="s">
        <v>712</v>
      </c>
      <c r="I135">
        <f t="shared" si="24"/>
        <v>26</v>
      </c>
      <c r="J135" t="s">
        <v>64</v>
      </c>
      <c r="K135" t="s">
        <v>39</v>
      </c>
      <c r="L135" t="str">
        <f t="shared" si="25"/>
        <v>Control</v>
      </c>
      <c r="Q135" t="s">
        <v>412</v>
      </c>
      <c r="R135" t="s">
        <v>709</v>
      </c>
      <c r="S135" t="s">
        <v>703</v>
      </c>
      <c r="T135" t="s">
        <v>615</v>
      </c>
      <c r="U135" s="1" t="s">
        <v>755</v>
      </c>
      <c r="V135" s="1">
        <f>[23]Niu_etal_2016_Fig1a_c!B3</f>
        <v>3.5172413793103402E-10</v>
      </c>
      <c r="W135" s="2"/>
      <c r="X135" s="1"/>
      <c r="Y135" s="1"/>
      <c r="Z135" s="1"/>
      <c r="AB135" s="1"/>
      <c r="AC135" s="3"/>
      <c r="AE135" s="2"/>
      <c r="AF135" s="2"/>
      <c r="AJ135" t="s">
        <v>203</v>
      </c>
    </row>
    <row r="136" spans="1:36" x14ac:dyDescent="0.25">
      <c r="A136" t="s">
        <v>52</v>
      </c>
      <c r="B136" t="s">
        <v>53</v>
      </c>
      <c r="C136" t="s">
        <v>54</v>
      </c>
      <c r="D136" t="s">
        <v>18</v>
      </c>
      <c r="E136" t="s">
        <v>31</v>
      </c>
      <c r="F136" t="s">
        <v>32</v>
      </c>
      <c r="G136" t="s">
        <v>32</v>
      </c>
      <c r="H136" t="s">
        <v>712</v>
      </c>
      <c r="I136">
        <f t="shared" si="24"/>
        <v>26</v>
      </c>
      <c r="J136" t="s">
        <v>64</v>
      </c>
      <c r="K136" t="s">
        <v>39</v>
      </c>
      <c r="L136" t="str">
        <f t="shared" si="25"/>
        <v>Control</v>
      </c>
      <c r="Q136" t="s">
        <v>412</v>
      </c>
      <c r="R136" t="s">
        <v>709</v>
      </c>
      <c r="S136" t="s">
        <v>703</v>
      </c>
      <c r="T136" t="s">
        <v>615</v>
      </c>
      <c r="U136" s="1" t="s">
        <v>755</v>
      </c>
      <c r="V136" s="1">
        <f>[23]Niu_etal_2016_Fig1a_c!B4</f>
        <v>3.7011494252873498E-10</v>
      </c>
      <c r="W136" s="1"/>
      <c r="X136" s="1"/>
      <c r="Y136" s="1"/>
      <c r="Z136" s="1"/>
      <c r="AA136" s="1">
        <f>[24]Niu_etal_2016_Fig2!$C$4</f>
        <v>1.7972813899762101E-7</v>
      </c>
      <c r="AB136" s="1"/>
      <c r="AC136" s="3">
        <f t="shared" ref="AC136:AC142" si="26">+V136/AA136*10000</f>
        <v>20.593043726649505</v>
      </c>
      <c r="AE136" s="2"/>
      <c r="AF136" s="2"/>
      <c r="AJ136" t="s">
        <v>203</v>
      </c>
    </row>
    <row r="137" spans="1:36" x14ac:dyDescent="0.25">
      <c r="A137" t="s">
        <v>52</v>
      </c>
      <c r="B137" t="s">
        <v>53</v>
      </c>
      <c r="C137" t="s">
        <v>54</v>
      </c>
      <c r="D137" t="s">
        <v>18</v>
      </c>
      <c r="E137" t="s">
        <v>31</v>
      </c>
      <c r="F137" t="s">
        <v>32</v>
      </c>
      <c r="G137" t="s">
        <v>32</v>
      </c>
      <c r="H137" t="s">
        <v>712</v>
      </c>
      <c r="I137">
        <f t="shared" si="24"/>
        <v>26</v>
      </c>
      <c r="J137" t="s">
        <v>64</v>
      </c>
      <c r="K137" t="s">
        <v>591</v>
      </c>
      <c r="L137" t="str">
        <f t="shared" si="25"/>
        <v>Stress</v>
      </c>
      <c r="Q137" t="s">
        <v>412</v>
      </c>
      <c r="R137" t="s">
        <v>709</v>
      </c>
      <c r="S137" t="s">
        <v>703</v>
      </c>
      <c r="T137" t="s">
        <v>615</v>
      </c>
      <c r="U137" s="1" t="s">
        <v>755</v>
      </c>
      <c r="V137" s="1">
        <f>[23]Niu_etal_2016_Fig1a_c!B5</f>
        <v>3.4022988505747099E-10</v>
      </c>
      <c r="W137" s="1"/>
      <c r="X137" s="1"/>
      <c r="Y137" s="1"/>
      <c r="Z137" s="1"/>
      <c r="AA137" s="1">
        <f>[24]Niu_etal_2016_Fig2!$C$7</f>
        <v>1.68000497065618E-7</v>
      </c>
      <c r="AB137" s="1"/>
      <c r="AC137" s="3">
        <f t="shared" si="26"/>
        <v>20.251718953223289</v>
      </c>
      <c r="AE137" s="2"/>
      <c r="AF137" s="2"/>
      <c r="AJ137" t="s">
        <v>203</v>
      </c>
    </row>
    <row r="138" spans="1:36" x14ac:dyDescent="0.25">
      <c r="A138" t="s">
        <v>52</v>
      </c>
      <c r="B138" t="s">
        <v>53</v>
      </c>
      <c r="C138" t="s">
        <v>54</v>
      </c>
      <c r="D138" t="s">
        <v>18</v>
      </c>
      <c r="E138" t="s">
        <v>31</v>
      </c>
      <c r="F138" t="s">
        <v>32</v>
      </c>
      <c r="G138" t="s">
        <v>32</v>
      </c>
      <c r="H138" t="s">
        <v>712</v>
      </c>
      <c r="I138">
        <f t="shared" si="24"/>
        <v>26</v>
      </c>
      <c r="J138" t="s">
        <v>64</v>
      </c>
      <c r="K138" t="s">
        <v>39</v>
      </c>
      <c r="L138" t="str">
        <f t="shared" si="25"/>
        <v>Control</v>
      </c>
      <c r="Q138" t="s">
        <v>412</v>
      </c>
      <c r="R138" t="s">
        <v>709</v>
      </c>
      <c r="S138" t="s">
        <v>703</v>
      </c>
      <c r="T138" t="s">
        <v>615</v>
      </c>
      <c r="U138" s="1" t="s">
        <v>755</v>
      </c>
      <c r="V138" s="1">
        <f>[23]Niu_etal_2016_Fig1a_c!B6</f>
        <v>3.3793103448275802E-10</v>
      </c>
      <c r="W138" s="1"/>
      <c r="X138" s="1"/>
      <c r="Y138" s="1"/>
      <c r="Z138" s="1"/>
      <c r="AA138" s="1">
        <f>[24]Niu_etal_2016_Fig2!$C$5</f>
        <v>1.6565991109303501E-7</v>
      </c>
      <c r="AB138" s="1"/>
      <c r="AC138" s="3">
        <f t="shared" si="26"/>
        <v>20.39908341451271</v>
      </c>
      <c r="AE138" s="2"/>
      <c r="AF138" s="2"/>
      <c r="AJ138" t="s">
        <v>203</v>
      </c>
    </row>
    <row r="139" spans="1:36" x14ac:dyDescent="0.25">
      <c r="A139" t="s">
        <v>52</v>
      </c>
      <c r="B139" t="s">
        <v>53</v>
      </c>
      <c r="C139" t="s">
        <v>54</v>
      </c>
      <c r="D139" t="s">
        <v>18</v>
      </c>
      <c r="E139" t="s">
        <v>31</v>
      </c>
      <c r="F139" t="s">
        <v>32</v>
      </c>
      <c r="G139" t="s">
        <v>32</v>
      </c>
      <c r="H139" t="s">
        <v>712</v>
      </c>
      <c r="I139">
        <f t="shared" si="24"/>
        <v>26</v>
      </c>
      <c r="J139" t="s">
        <v>64</v>
      </c>
      <c r="K139" t="s">
        <v>592</v>
      </c>
      <c r="L139" t="str">
        <f t="shared" si="25"/>
        <v>Stress</v>
      </c>
      <c r="Q139" t="s">
        <v>412</v>
      </c>
      <c r="R139" t="s">
        <v>709</v>
      </c>
      <c r="S139" t="s">
        <v>703</v>
      </c>
      <c r="T139" t="s">
        <v>615</v>
      </c>
      <c r="U139" s="1" t="s">
        <v>755</v>
      </c>
      <c r="V139" s="1">
        <f>[23]Niu_etal_2016_Fig1a_c!B7</f>
        <v>3.05747126436781E-10</v>
      </c>
      <c r="W139" s="1"/>
      <c r="X139" s="1"/>
      <c r="Y139" s="1"/>
      <c r="Z139" s="1"/>
      <c r="AA139" s="1">
        <f>[24]Niu_etal_2016_Fig2!$C$8</f>
        <v>1.5745197385886701E-7</v>
      </c>
      <c r="AB139" s="1"/>
      <c r="AC139" s="3">
        <f t="shared" si="26"/>
        <v>19.418437187128514</v>
      </c>
      <c r="AE139" s="2"/>
      <c r="AF139" s="2"/>
      <c r="AJ139" t="s">
        <v>203</v>
      </c>
    </row>
    <row r="140" spans="1:36" x14ac:dyDescent="0.25">
      <c r="A140" t="s">
        <v>52</v>
      </c>
      <c r="B140" t="s">
        <v>53</v>
      </c>
      <c r="C140" t="s">
        <v>54</v>
      </c>
      <c r="D140" t="s">
        <v>18</v>
      </c>
      <c r="E140" t="s">
        <v>31</v>
      </c>
      <c r="F140" t="s">
        <v>32</v>
      </c>
      <c r="G140" t="s">
        <v>32</v>
      </c>
      <c r="H140" t="s">
        <v>712</v>
      </c>
      <c r="I140">
        <f t="shared" si="24"/>
        <v>26</v>
      </c>
      <c r="J140" t="s">
        <v>64</v>
      </c>
      <c r="K140" t="s">
        <v>39</v>
      </c>
      <c r="L140" t="str">
        <f t="shared" si="25"/>
        <v>Control</v>
      </c>
      <c r="Q140" t="s">
        <v>412</v>
      </c>
      <c r="R140" t="s">
        <v>709</v>
      </c>
      <c r="S140" t="s">
        <v>703</v>
      </c>
      <c r="T140" t="s">
        <v>615</v>
      </c>
      <c r="U140" s="1" t="s">
        <v>755</v>
      </c>
      <c r="V140" s="1">
        <f>[23]Niu_etal_2016_Fig1a_c!B8</f>
        <v>3.05747126436781E-10</v>
      </c>
      <c r="W140" s="1"/>
      <c r="X140" s="1"/>
      <c r="Y140" s="1"/>
      <c r="Z140" s="1"/>
      <c r="AA140" s="1">
        <f>[24]Niu_etal_2016_Fig2!$C$6</f>
        <v>1.4925109721586701E-7</v>
      </c>
      <c r="AB140" s="1"/>
      <c r="AC140" s="3">
        <f t="shared" si="26"/>
        <v>20.485419011330173</v>
      </c>
      <c r="AE140" s="2"/>
      <c r="AF140" s="2"/>
      <c r="AJ140" t="s">
        <v>203</v>
      </c>
    </row>
    <row r="141" spans="1:36" x14ac:dyDescent="0.25">
      <c r="A141" t="s">
        <v>52</v>
      </c>
      <c r="B141" t="s">
        <v>53</v>
      </c>
      <c r="C141" t="s">
        <v>54</v>
      </c>
      <c r="D141" t="s">
        <v>18</v>
      </c>
      <c r="E141" t="s">
        <v>31</v>
      </c>
      <c r="F141" t="s">
        <v>32</v>
      </c>
      <c r="G141" t="s">
        <v>32</v>
      </c>
      <c r="H141" t="s">
        <v>712</v>
      </c>
      <c r="I141">
        <f t="shared" si="24"/>
        <v>26</v>
      </c>
      <c r="J141" t="s">
        <v>64</v>
      </c>
      <c r="K141" t="s">
        <v>593</v>
      </c>
      <c r="L141" t="str">
        <f t="shared" si="25"/>
        <v>Stress</v>
      </c>
      <c r="Q141" t="s">
        <v>412</v>
      </c>
      <c r="R141" t="s">
        <v>709</v>
      </c>
      <c r="S141" t="s">
        <v>703</v>
      </c>
      <c r="T141" t="s">
        <v>615</v>
      </c>
      <c r="U141" s="1" t="s">
        <v>755</v>
      </c>
      <c r="V141" s="1">
        <f>[23]Niu_etal_2016_Fig1a_c!B9</f>
        <v>3.0114942528735599E-10</v>
      </c>
      <c r="W141" s="1"/>
      <c r="X141" s="1"/>
      <c r="Y141" s="1"/>
      <c r="Z141" s="1"/>
      <c r="AA141" s="1">
        <f>[24]Niu_etal_2016_Fig2!$C$9</f>
        <v>1.49247566920282E-7</v>
      </c>
      <c r="AB141" s="1"/>
      <c r="AC141" s="3">
        <f t="shared" si="26"/>
        <v>20.177844872218902</v>
      </c>
      <c r="AE141" s="2"/>
      <c r="AF141" s="2"/>
      <c r="AJ141" t="s">
        <v>203</v>
      </c>
    </row>
    <row r="142" spans="1:36" x14ac:dyDescent="0.25">
      <c r="A142" t="s">
        <v>52</v>
      </c>
      <c r="B142" t="s">
        <v>53</v>
      </c>
      <c r="C142" t="s">
        <v>54</v>
      </c>
      <c r="D142" t="s">
        <v>18</v>
      </c>
      <c r="E142" t="s">
        <v>31</v>
      </c>
      <c r="F142" t="s">
        <v>32</v>
      </c>
      <c r="G142" t="s">
        <v>32</v>
      </c>
      <c r="H142" t="s">
        <v>712</v>
      </c>
      <c r="I142">
        <f t="shared" si="24"/>
        <v>26</v>
      </c>
      <c r="J142" t="s">
        <v>64</v>
      </c>
      <c r="K142" t="s">
        <v>39</v>
      </c>
      <c r="L142" t="str">
        <f t="shared" si="25"/>
        <v>Control</v>
      </c>
      <c r="Q142" t="s">
        <v>412</v>
      </c>
      <c r="R142" t="s">
        <v>709</v>
      </c>
      <c r="S142" t="s">
        <v>703</v>
      </c>
      <c r="T142" t="s">
        <v>615</v>
      </c>
      <c r="U142" s="1" t="s">
        <v>755</v>
      </c>
      <c r="V142" s="1">
        <f>[23]Niu_etal_2016_Fig1a_c!B10</f>
        <v>1.00229885057471E-9</v>
      </c>
      <c r="W142" s="1"/>
      <c r="X142" s="1"/>
      <c r="Y142" s="1"/>
      <c r="Z142" s="1"/>
      <c r="AA142" s="1">
        <f>[24]Niu_etal_2016_Fig2!$C$10</f>
        <v>4.26654663661679E-7</v>
      </c>
      <c r="AB142" s="1"/>
      <c r="AC142" s="3">
        <f t="shared" si="26"/>
        <v>23.492040189428117</v>
      </c>
      <c r="AE142" s="2"/>
      <c r="AF142" s="2"/>
      <c r="AJ142" t="s">
        <v>203</v>
      </c>
    </row>
    <row r="143" spans="1:36" x14ac:dyDescent="0.25">
      <c r="A143" t="s">
        <v>52</v>
      </c>
      <c r="B143" t="s">
        <v>53</v>
      </c>
      <c r="C143" t="s">
        <v>54</v>
      </c>
      <c r="D143" t="s">
        <v>18</v>
      </c>
      <c r="E143" t="s">
        <v>31</v>
      </c>
      <c r="F143" t="s">
        <v>32</v>
      </c>
      <c r="G143" t="s">
        <v>32</v>
      </c>
      <c r="H143" t="s">
        <v>712</v>
      </c>
      <c r="I143">
        <f t="shared" si="24"/>
        <v>26</v>
      </c>
      <c r="J143" t="s">
        <v>64</v>
      </c>
      <c r="K143" t="s">
        <v>39</v>
      </c>
      <c r="L143" t="str">
        <f t="shared" si="25"/>
        <v>Control</v>
      </c>
      <c r="Q143" t="s">
        <v>412</v>
      </c>
      <c r="R143" t="s">
        <v>709</v>
      </c>
      <c r="S143" t="s">
        <v>703</v>
      </c>
      <c r="T143" t="s">
        <v>615</v>
      </c>
      <c r="U143" s="1" t="s">
        <v>755</v>
      </c>
      <c r="V143" s="1">
        <f>[23]Niu_etal_2016_Fig1a_c!B11</f>
        <v>9.9080459770114901E-10</v>
      </c>
      <c r="W143" s="1"/>
      <c r="X143" s="1"/>
      <c r="Y143" s="1"/>
      <c r="Z143" s="1"/>
      <c r="AB143" s="1"/>
      <c r="AC143" s="3"/>
      <c r="AE143" s="2"/>
      <c r="AF143" s="2"/>
      <c r="AJ143" t="s">
        <v>203</v>
      </c>
    </row>
    <row r="144" spans="1:36" x14ac:dyDescent="0.25">
      <c r="A144" t="s">
        <v>52</v>
      </c>
      <c r="B144" t="s">
        <v>53</v>
      </c>
      <c r="C144" t="s">
        <v>54</v>
      </c>
      <c r="D144" t="s">
        <v>18</v>
      </c>
      <c r="E144" t="s">
        <v>31</v>
      </c>
      <c r="F144" t="s">
        <v>32</v>
      </c>
      <c r="G144" t="s">
        <v>32</v>
      </c>
      <c r="H144" t="s">
        <v>712</v>
      </c>
      <c r="I144">
        <f t="shared" si="24"/>
        <v>26</v>
      </c>
      <c r="J144" t="s">
        <v>64</v>
      </c>
      <c r="K144" t="s">
        <v>39</v>
      </c>
      <c r="L144" t="str">
        <f t="shared" si="25"/>
        <v>Control</v>
      </c>
      <c r="Q144" t="s">
        <v>412</v>
      </c>
      <c r="R144" t="s">
        <v>709</v>
      </c>
      <c r="S144" t="s">
        <v>703</v>
      </c>
      <c r="T144" t="s">
        <v>615</v>
      </c>
      <c r="U144" s="1" t="s">
        <v>755</v>
      </c>
      <c r="V144" s="1">
        <f>[23]Niu_etal_2016_Fig1a_c!B12</f>
        <v>9.9080459770114901E-10</v>
      </c>
      <c r="W144" s="1"/>
      <c r="X144" s="1"/>
      <c r="Y144" s="1"/>
      <c r="Z144" s="1"/>
      <c r="AA144" s="1">
        <f>[24]Niu_etal_2016_Fig2!$C$12</f>
        <v>4.2079437299126098E-7</v>
      </c>
      <c r="AB144" s="1"/>
      <c r="AC144" s="3">
        <f t="shared" ref="AC144:AC149" si="27">+V144/AA144*10000</f>
        <v>23.546051499165984</v>
      </c>
      <c r="AE144" s="2"/>
      <c r="AF144" s="2"/>
      <c r="AJ144" t="s">
        <v>203</v>
      </c>
    </row>
    <row r="145" spans="1:36" x14ac:dyDescent="0.25">
      <c r="A145" t="s">
        <v>52</v>
      </c>
      <c r="B145" t="s">
        <v>53</v>
      </c>
      <c r="C145" t="s">
        <v>54</v>
      </c>
      <c r="D145" t="s">
        <v>18</v>
      </c>
      <c r="E145" t="s">
        <v>31</v>
      </c>
      <c r="F145" t="s">
        <v>32</v>
      </c>
      <c r="G145" t="s">
        <v>32</v>
      </c>
      <c r="H145" t="s">
        <v>712</v>
      </c>
      <c r="I145">
        <f t="shared" si="24"/>
        <v>26</v>
      </c>
      <c r="J145" t="s">
        <v>64</v>
      </c>
      <c r="K145" t="s">
        <v>591</v>
      </c>
      <c r="L145" t="str">
        <f t="shared" si="25"/>
        <v>Stress</v>
      </c>
      <c r="Q145" t="s">
        <v>412</v>
      </c>
      <c r="R145" t="s">
        <v>709</v>
      </c>
      <c r="S145" t="s">
        <v>703</v>
      </c>
      <c r="T145" t="s">
        <v>615</v>
      </c>
      <c r="U145" s="1" t="s">
        <v>755</v>
      </c>
      <c r="V145" s="1">
        <f>[23]Niu_etal_2016_Fig1a_c!B13</f>
        <v>5.9080459770114905E-10</v>
      </c>
      <c r="W145" s="1"/>
      <c r="X145" s="1"/>
      <c r="Y145" s="1"/>
      <c r="Z145" s="1"/>
      <c r="AA145" s="1">
        <f>[24]Niu_etal_2016_Fig2!$C$15</f>
        <v>2.6959887369449599E-7</v>
      </c>
      <c r="AB145" s="1"/>
      <c r="AC145" s="3">
        <f t="shared" si="27"/>
        <v>21.914208676206744</v>
      </c>
      <c r="AE145" s="2"/>
      <c r="AF145" s="2"/>
      <c r="AJ145" t="s">
        <v>203</v>
      </c>
    </row>
    <row r="146" spans="1:36" x14ac:dyDescent="0.25">
      <c r="A146" t="s">
        <v>52</v>
      </c>
      <c r="B146" t="s">
        <v>53</v>
      </c>
      <c r="C146" t="s">
        <v>54</v>
      </c>
      <c r="D146" t="s">
        <v>18</v>
      </c>
      <c r="E146" t="s">
        <v>31</v>
      </c>
      <c r="F146" t="s">
        <v>32</v>
      </c>
      <c r="G146" t="s">
        <v>32</v>
      </c>
      <c r="H146" t="s">
        <v>712</v>
      </c>
      <c r="I146">
        <f t="shared" si="24"/>
        <v>26</v>
      </c>
      <c r="J146" t="s">
        <v>64</v>
      </c>
      <c r="K146" t="s">
        <v>39</v>
      </c>
      <c r="L146" t="str">
        <f t="shared" si="25"/>
        <v>Control</v>
      </c>
      <c r="Q146" t="s">
        <v>412</v>
      </c>
      <c r="R146" t="s">
        <v>709</v>
      </c>
      <c r="S146" t="s">
        <v>703</v>
      </c>
      <c r="T146" t="s">
        <v>615</v>
      </c>
      <c r="U146" s="1" t="s">
        <v>755</v>
      </c>
      <c r="V146" s="1">
        <f>[23]Niu_etal_2016_Fig1a_c!B14</f>
        <v>1.0137931034482699E-9</v>
      </c>
      <c r="W146" s="1"/>
      <c r="X146" s="1"/>
      <c r="Y146" s="1"/>
      <c r="Z146" s="1"/>
      <c r="AA146" s="1">
        <f>[24]Niu_etal_2016_Fig2!$C$13</f>
        <v>4.5478405887968099E-7</v>
      </c>
      <c r="AB146" s="1"/>
      <c r="AC146" s="3">
        <f t="shared" si="27"/>
        <v>22.291746679636411</v>
      </c>
      <c r="AE146" s="2"/>
      <c r="AF146" s="2"/>
      <c r="AJ146" t="s">
        <v>203</v>
      </c>
    </row>
    <row r="147" spans="1:36" x14ac:dyDescent="0.25">
      <c r="A147" t="s">
        <v>52</v>
      </c>
      <c r="B147" t="s">
        <v>53</v>
      </c>
      <c r="C147" t="s">
        <v>54</v>
      </c>
      <c r="D147" t="s">
        <v>18</v>
      </c>
      <c r="E147" t="s">
        <v>31</v>
      </c>
      <c r="F147" t="s">
        <v>32</v>
      </c>
      <c r="G147" t="s">
        <v>32</v>
      </c>
      <c r="H147" t="s">
        <v>712</v>
      </c>
      <c r="I147">
        <f t="shared" si="24"/>
        <v>26</v>
      </c>
      <c r="J147" t="s">
        <v>64</v>
      </c>
      <c r="K147" t="s">
        <v>592</v>
      </c>
      <c r="L147" t="str">
        <f t="shared" si="25"/>
        <v>Stress</v>
      </c>
      <c r="Q147" t="s">
        <v>412</v>
      </c>
      <c r="R147" t="s">
        <v>709</v>
      </c>
      <c r="S147" t="s">
        <v>703</v>
      </c>
      <c r="T147" t="s">
        <v>615</v>
      </c>
      <c r="U147" s="1" t="s">
        <v>755</v>
      </c>
      <c r="V147" s="1">
        <f>[23]Niu_etal_2016_Fig1a_c!B15</f>
        <v>4.4367816091954002E-10</v>
      </c>
      <c r="W147" s="1"/>
      <c r="X147" s="1"/>
      <c r="Y147" s="1"/>
      <c r="Z147" s="1"/>
      <c r="AA147" s="1">
        <f>[24]Niu_etal_2016_Fig2!$C$16</f>
        <v>2.01619501917656E-7</v>
      </c>
      <c r="AB147" s="1"/>
      <c r="AC147" s="3">
        <f t="shared" si="27"/>
        <v>22.005716545254824</v>
      </c>
      <c r="AE147" s="2"/>
      <c r="AF147" s="2"/>
      <c r="AJ147" t="s">
        <v>203</v>
      </c>
    </row>
    <row r="148" spans="1:36" x14ac:dyDescent="0.25">
      <c r="A148" t="s">
        <v>52</v>
      </c>
      <c r="B148" t="s">
        <v>53</v>
      </c>
      <c r="C148" t="s">
        <v>54</v>
      </c>
      <c r="D148" t="s">
        <v>18</v>
      </c>
      <c r="E148" t="s">
        <v>31</v>
      </c>
      <c r="F148" t="s">
        <v>32</v>
      </c>
      <c r="G148" t="s">
        <v>32</v>
      </c>
      <c r="H148" t="s">
        <v>712</v>
      </c>
      <c r="I148">
        <f t="shared" si="24"/>
        <v>26</v>
      </c>
      <c r="J148" t="s">
        <v>64</v>
      </c>
      <c r="K148" t="s">
        <v>39</v>
      </c>
      <c r="L148" t="str">
        <f t="shared" si="25"/>
        <v>Control</v>
      </c>
      <c r="Q148" t="s">
        <v>412</v>
      </c>
      <c r="R148" t="s">
        <v>709</v>
      </c>
      <c r="S148" t="s">
        <v>703</v>
      </c>
      <c r="T148" t="s">
        <v>615</v>
      </c>
      <c r="U148" s="1" t="s">
        <v>755</v>
      </c>
      <c r="V148" s="1">
        <f>[23]Niu_etal_2016_Fig1a_c!B16</f>
        <v>9.4252873563218302E-10</v>
      </c>
      <c r="W148" s="1"/>
      <c r="X148" s="1"/>
      <c r="Y148" s="1"/>
      <c r="Z148" s="1"/>
      <c r="AA148" s="1">
        <f>[24]Niu_etal_2016_Fig2!$C$14</f>
        <v>4.1141790791859399E-7</v>
      </c>
      <c r="AB148" s="1"/>
      <c r="AC148" s="3">
        <f t="shared" si="27"/>
        <v>22.90927831509654</v>
      </c>
      <c r="AE148" s="2"/>
      <c r="AF148" s="2"/>
      <c r="AJ148" t="s">
        <v>203</v>
      </c>
    </row>
    <row r="149" spans="1:36" x14ac:dyDescent="0.25">
      <c r="A149" t="s">
        <v>52</v>
      </c>
      <c r="B149" t="s">
        <v>53</v>
      </c>
      <c r="C149" t="s">
        <v>54</v>
      </c>
      <c r="D149" t="s">
        <v>18</v>
      </c>
      <c r="E149" t="s">
        <v>31</v>
      </c>
      <c r="F149" t="s">
        <v>32</v>
      </c>
      <c r="G149" t="s">
        <v>32</v>
      </c>
      <c r="H149" t="s">
        <v>712</v>
      </c>
      <c r="I149">
        <f t="shared" si="24"/>
        <v>26</v>
      </c>
      <c r="J149" t="s">
        <v>64</v>
      </c>
      <c r="K149" t="s">
        <v>593</v>
      </c>
      <c r="L149" t="str">
        <f t="shared" si="25"/>
        <v>Stress</v>
      </c>
      <c r="Q149" t="s">
        <v>412</v>
      </c>
      <c r="R149" t="s">
        <v>709</v>
      </c>
      <c r="S149" t="s">
        <v>703</v>
      </c>
      <c r="T149" t="s">
        <v>615</v>
      </c>
      <c r="U149" s="1" t="s">
        <v>755</v>
      </c>
      <c r="V149" s="1">
        <f>[23]Niu_etal_2016_Fig1a_c!B17</f>
        <v>3.5632183908045898E-10</v>
      </c>
      <c r="W149" s="1"/>
      <c r="X149" s="1"/>
      <c r="Y149" s="1"/>
      <c r="Z149" s="1"/>
      <c r="AA149" s="1">
        <f>[24]Niu_etal_2016_Fig2!$C$17</f>
        <v>1.68215845096278E-7</v>
      </c>
      <c r="AB149" s="1"/>
      <c r="AC149" s="3">
        <f t="shared" si="27"/>
        <v>21.182418271983764</v>
      </c>
      <c r="AE149" s="2"/>
      <c r="AF149" s="2"/>
      <c r="AJ149" t="s">
        <v>203</v>
      </c>
    </row>
    <row r="150" spans="1:36" x14ac:dyDescent="0.25">
      <c r="A150" t="s">
        <v>55</v>
      </c>
      <c r="B150" t="s">
        <v>56</v>
      </c>
      <c r="C150" t="s">
        <v>57</v>
      </c>
      <c r="D150" t="s">
        <v>18</v>
      </c>
      <c r="E150" t="s">
        <v>19</v>
      </c>
      <c r="F150" t="s">
        <v>20</v>
      </c>
      <c r="G150" t="s">
        <v>20</v>
      </c>
      <c r="H150" t="s">
        <v>712</v>
      </c>
      <c r="I150">
        <v>21</v>
      </c>
      <c r="J150" t="s">
        <v>778</v>
      </c>
      <c r="Q150" t="s">
        <v>412</v>
      </c>
      <c r="R150" t="s">
        <v>709</v>
      </c>
      <c r="S150" t="s">
        <v>703</v>
      </c>
      <c r="T150" t="s">
        <v>616</v>
      </c>
      <c r="U150" s="1"/>
      <c r="V150" s="1"/>
      <c r="W150" s="1"/>
      <c r="X150" s="1"/>
      <c r="Y150" s="1"/>
      <c r="Z150" s="1"/>
      <c r="AA150" s="1">
        <v>6.1999999999999999E-8</v>
      </c>
      <c r="AB150" s="1"/>
      <c r="AC150" s="3"/>
      <c r="AE150" s="2"/>
      <c r="AF150" s="2"/>
      <c r="AJ150" t="s">
        <v>352</v>
      </c>
    </row>
    <row r="151" spans="1:36" x14ac:dyDescent="0.25">
      <c r="A151" t="s">
        <v>55</v>
      </c>
      <c r="B151" t="s">
        <v>56</v>
      </c>
      <c r="C151" t="s">
        <v>57</v>
      </c>
      <c r="D151" t="s">
        <v>18</v>
      </c>
      <c r="E151" t="s">
        <v>19</v>
      </c>
      <c r="F151" t="s">
        <v>20</v>
      </c>
      <c r="G151" t="s">
        <v>20</v>
      </c>
      <c r="H151" t="s">
        <v>712</v>
      </c>
      <c r="I151">
        <v>21</v>
      </c>
      <c r="J151" t="s">
        <v>778</v>
      </c>
      <c r="Q151" t="s">
        <v>412</v>
      </c>
      <c r="R151" t="s">
        <v>709</v>
      </c>
      <c r="S151" t="s">
        <v>703</v>
      </c>
      <c r="T151" t="s">
        <v>615</v>
      </c>
      <c r="U151" s="1"/>
      <c r="V151" s="1"/>
      <c r="W151" s="1"/>
      <c r="X151" s="1"/>
      <c r="Y151" s="1"/>
      <c r="Z151" s="1"/>
      <c r="AA151" s="1">
        <v>5.7999999999999995E-7</v>
      </c>
      <c r="AB151" s="1"/>
      <c r="AC151" s="3"/>
      <c r="AE151" s="2"/>
      <c r="AF151" s="2"/>
      <c r="AJ151" t="s">
        <v>359</v>
      </c>
    </row>
    <row r="152" spans="1:36" x14ac:dyDescent="0.25">
      <c r="A152" t="s">
        <v>55</v>
      </c>
      <c r="B152" t="s">
        <v>56</v>
      </c>
      <c r="C152" t="s">
        <v>57</v>
      </c>
      <c r="D152" t="s">
        <v>18</v>
      </c>
      <c r="E152" t="s">
        <v>19</v>
      </c>
      <c r="F152" t="s">
        <v>20</v>
      </c>
      <c r="G152" t="s">
        <v>20</v>
      </c>
      <c r="H152" t="s">
        <v>712</v>
      </c>
      <c r="I152">
        <v>21</v>
      </c>
      <c r="J152" t="s">
        <v>778</v>
      </c>
      <c r="Q152" t="s">
        <v>412</v>
      </c>
      <c r="R152" t="s">
        <v>709</v>
      </c>
      <c r="S152" t="s">
        <v>703</v>
      </c>
      <c r="T152" t="s">
        <v>615</v>
      </c>
      <c r="U152" s="1"/>
      <c r="V152" s="1"/>
      <c r="W152" s="1"/>
      <c r="X152" s="1"/>
      <c r="Y152" s="1"/>
      <c r="Z152" s="1"/>
      <c r="AA152" s="1">
        <v>1.1999999999999999E-7</v>
      </c>
      <c r="AB152" s="1"/>
      <c r="AE152" s="2"/>
      <c r="AF152" s="2"/>
      <c r="AJ152" t="s">
        <v>203</v>
      </c>
    </row>
    <row r="153" spans="1:36" x14ac:dyDescent="0.25">
      <c r="A153" t="s">
        <v>547</v>
      </c>
      <c r="B153" t="s">
        <v>56</v>
      </c>
      <c r="C153" t="s">
        <v>57</v>
      </c>
      <c r="D153" t="s">
        <v>18</v>
      </c>
      <c r="E153" t="s">
        <v>19</v>
      </c>
      <c r="F153" t="s">
        <v>20</v>
      </c>
      <c r="G153" t="s">
        <v>20</v>
      </c>
      <c r="H153" t="s">
        <v>712</v>
      </c>
      <c r="I153">
        <v>25</v>
      </c>
      <c r="J153" t="s">
        <v>646</v>
      </c>
      <c r="K153" t="s">
        <v>39</v>
      </c>
      <c r="L153" t="str">
        <f t="shared" ref="L153:L184" si="28">+IF(K153 = "Control", "Control", "Stress")</f>
        <v>Control</v>
      </c>
      <c r="M153" t="s">
        <v>705</v>
      </c>
      <c r="N153" t="s">
        <v>716</v>
      </c>
      <c r="O153" t="s">
        <v>429</v>
      </c>
      <c r="P153" t="s">
        <v>716</v>
      </c>
      <c r="Q153" t="s">
        <v>412</v>
      </c>
      <c r="R153" t="s">
        <v>709</v>
      </c>
      <c r="S153" t="s">
        <v>703</v>
      </c>
      <c r="T153" t="s">
        <v>615</v>
      </c>
      <c r="U153" s="1" t="s">
        <v>754</v>
      </c>
      <c r="V153" s="1">
        <f t="shared" ref="V153:V208" si="29">+AA153*AC153/10000</f>
        <v>7.0791954989328701E-10</v>
      </c>
      <c r="W153" s="1"/>
      <c r="X153" s="1"/>
      <c r="Y153" s="1"/>
      <c r="Z153" s="1"/>
      <c r="AA153" s="1">
        <f>[25]Henry_etal_2016_Fig2b!B1</f>
        <v>1.08936170212765E-8</v>
      </c>
      <c r="AB153" s="1"/>
      <c r="AC153" s="3">
        <f>[26]Henry_etal_2016_FigS2b!B2</f>
        <v>649.84802431610899</v>
      </c>
      <c r="AE153" s="2"/>
      <c r="AF153" s="2"/>
      <c r="AJ153" t="s">
        <v>203</v>
      </c>
    </row>
    <row r="154" spans="1:36" x14ac:dyDescent="0.25">
      <c r="A154" t="s">
        <v>547</v>
      </c>
      <c r="B154" t="s">
        <v>56</v>
      </c>
      <c r="C154" t="s">
        <v>57</v>
      </c>
      <c r="D154" t="s">
        <v>18</v>
      </c>
      <c r="E154" t="s">
        <v>19</v>
      </c>
      <c r="F154" t="s">
        <v>20</v>
      </c>
      <c r="G154" t="s">
        <v>20</v>
      </c>
      <c r="H154" t="s">
        <v>712</v>
      </c>
      <c r="I154">
        <v>25</v>
      </c>
      <c r="J154" t="s">
        <v>646</v>
      </c>
      <c r="K154" t="s">
        <v>39</v>
      </c>
      <c r="L154" t="str">
        <f t="shared" si="28"/>
        <v>Control</v>
      </c>
      <c r="M154" t="s">
        <v>706</v>
      </c>
      <c r="N154" t="s">
        <v>716</v>
      </c>
      <c r="O154" t="s">
        <v>429</v>
      </c>
      <c r="P154" t="s">
        <v>716</v>
      </c>
      <c r="Q154" t="s">
        <v>412</v>
      </c>
      <c r="R154" t="s">
        <v>709</v>
      </c>
      <c r="S154" t="s">
        <v>703</v>
      </c>
      <c r="T154" t="s">
        <v>615</v>
      </c>
      <c r="U154" s="1" t="s">
        <v>754</v>
      </c>
      <c r="V154" s="1">
        <f t="shared" si="29"/>
        <v>5.2032335251891236E-10</v>
      </c>
      <c r="W154" s="1"/>
      <c r="X154" s="1"/>
      <c r="Y154" s="1"/>
      <c r="Z154" s="1"/>
      <c r="AA154" s="1">
        <f>[25]Henry_etal_2016_Fig2b!B2</f>
        <v>1.73617021276595E-8</v>
      </c>
      <c r="AB154" s="1"/>
      <c r="AC154" s="3">
        <f>[26]Henry_etal_2016_FigS2b!B3</f>
        <v>299.69604863221798</v>
      </c>
      <c r="AE154" s="2"/>
      <c r="AF154" s="2"/>
      <c r="AJ154" t="s">
        <v>203</v>
      </c>
    </row>
    <row r="155" spans="1:36" x14ac:dyDescent="0.25">
      <c r="A155" t="s">
        <v>547</v>
      </c>
      <c r="B155" t="s">
        <v>56</v>
      </c>
      <c r="C155" t="s">
        <v>57</v>
      </c>
      <c r="D155" t="s">
        <v>18</v>
      </c>
      <c r="E155" t="s">
        <v>19</v>
      </c>
      <c r="F155" t="s">
        <v>20</v>
      </c>
      <c r="G155" t="s">
        <v>20</v>
      </c>
      <c r="H155" t="s">
        <v>712</v>
      </c>
      <c r="I155">
        <v>25</v>
      </c>
      <c r="J155" t="s">
        <v>646</v>
      </c>
      <c r="K155" t="s">
        <v>39</v>
      </c>
      <c r="L155" t="str">
        <f t="shared" si="28"/>
        <v>Control</v>
      </c>
      <c r="M155" t="s">
        <v>707</v>
      </c>
      <c r="N155" t="s">
        <v>716</v>
      </c>
      <c r="O155" t="s">
        <v>429</v>
      </c>
      <c r="P155" t="s">
        <v>716</v>
      </c>
      <c r="Q155" t="s">
        <v>412</v>
      </c>
      <c r="R155" t="s">
        <v>709</v>
      </c>
      <c r="S155" t="s">
        <v>703</v>
      </c>
      <c r="T155" t="s">
        <v>615</v>
      </c>
      <c r="U155" s="1" t="s">
        <v>754</v>
      </c>
      <c r="V155" s="1">
        <f t="shared" si="29"/>
        <v>4.3006747289227862E-10</v>
      </c>
      <c r="W155" s="1"/>
      <c r="X155" s="1"/>
      <c r="Y155" s="1"/>
      <c r="Z155" s="1"/>
      <c r="AA155" s="1">
        <f>[25]Henry_etal_2016_Fig2b!B3</f>
        <v>4.1985815602836796E-9</v>
      </c>
      <c r="AB155" s="1"/>
      <c r="AC155" s="3">
        <f>[26]Henry_etal_2016_FigS2b!B4</f>
        <v>1024.3161094224899</v>
      </c>
      <c r="AE155" s="2"/>
      <c r="AF155" s="2"/>
      <c r="AJ155" t="s">
        <v>203</v>
      </c>
    </row>
    <row r="156" spans="1:36" x14ac:dyDescent="0.25">
      <c r="A156" t="s">
        <v>547</v>
      </c>
      <c r="B156" t="s">
        <v>56</v>
      </c>
      <c r="C156" t="s">
        <v>57</v>
      </c>
      <c r="D156" t="s">
        <v>18</v>
      </c>
      <c r="E156" t="s">
        <v>19</v>
      </c>
      <c r="F156" t="s">
        <v>20</v>
      </c>
      <c r="G156" t="s">
        <v>20</v>
      </c>
      <c r="H156" t="s">
        <v>712</v>
      </c>
      <c r="I156">
        <v>25</v>
      </c>
      <c r="J156" t="s">
        <v>646</v>
      </c>
      <c r="K156" t="s">
        <v>39</v>
      </c>
      <c r="L156" t="str">
        <f t="shared" si="28"/>
        <v>Control</v>
      </c>
      <c r="M156" t="s">
        <v>708</v>
      </c>
      <c r="N156" t="s">
        <v>716</v>
      </c>
      <c r="O156" t="s">
        <v>429</v>
      </c>
      <c r="P156" t="s">
        <v>716</v>
      </c>
      <c r="Q156" t="s">
        <v>412</v>
      </c>
      <c r="R156" t="s">
        <v>709</v>
      </c>
      <c r="S156" t="s">
        <v>703</v>
      </c>
      <c r="T156" t="s">
        <v>615</v>
      </c>
      <c r="U156" s="1" t="s">
        <v>754</v>
      </c>
      <c r="V156" s="1">
        <f t="shared" si="29"/>
        <v>5.5405548729224393E-10</v>
      </c>
      <c r="W156" s="1"/>
      <c r="X156" s="1"/>
      <c r="Y156" s="1"/>
      <c r="Z156" s="1"/>
      <c r="AA156" s="1">
        <f>[25]Henry_etal_2016_Fig2b!B4</f>
        <v>1.3957446808510601E-8</v>
      </c>
      <c r="AB156" s="1"/>
      <c r="AC156" s="3">
        <f>[26]Henry_etal_2016_FigS2b!B5</f>
        <v>396.96048632218799</v>
      </c>
      <c r="AE156" s="2"/>
      <c r="AF156" s="2"/>
      <c r="AJ156" t="s">
        <v>203</v>
      </c>
    </row>
    <row r="157" spans="1:36" x14ac:dyDescent="0.25">
      <c r="A157" t="s">
        <v>547</v>
      </c>
      <c r="B157" t="s">
        <v>56</v>
      </c>
      <c r="C157" t="s">
        <v>57</v>
      </c>
      <c r="D157" t="s">
        <v>18</v>
      </c>
      <c r="E157" t="s">
        <v>19</v>
      </c>
      <c r="F157" t="s">
        <v>20</v>
      </c>
      <c r="G157" t="s">
        <v>20</v>
      </c>
      <c r="H157" t="s">
        <v>712</v>
      </c>
      <c r="I157">
        <v>25</v>
      </c>
      <c r="J157" t="s">
        <v>646</v>
      </c>
      <c r="K157" t="s">
        <v>39</v>
      </c>
      <c r="L157" t="str">
        <f t="shared" si="28"/>
        <v>Control</v>
      </c>
      <c r="M157" t="s">
        <v>705</v>
      </c>
      <c r="N157" t="s">
        <v>716</v>
      </c>
      <c r="O157" t="s">
        <v>548</v>
      </c>
      <c r="P157" t="s">
        <v>716</v>
      </c>
      <c r="Q157" t="s">
        <v>412</v>
      </c>
      <c r="R157" t="s">
        <v>709</v>
      </c>
      <c r="S157" t="s">
        <v>703</v>
      </c>
      <c r="T157" t="s">
        <v>615</v>
      </c>
      <c r="U157" s="1" t="s">
        <v>754</v>
      </c>
      <c r="V157" s="1">
        <f t="shared" si="29"/>
        <v>2.6763586195003087E-10</v>
      </c>
      <c r="W157" s="1"/>
      <c r="X157" s="1"/>
      <c r="Y157" s="1"/>
      <c r="Z157" s="1"/>
      <c r="AA157" s="1">
        <f>[25]Henry_etal_2016_Fig2b!B5</f>
        <v>4.3120567375886503E-9</v>
      </c>
      <c r="AB157" s="1"/>
      <c r="AC157" s="3">
        <f>[26]Henry_etal_2016_FigS2b!B6</f>
        <v>620.66869300911799</v>
      </c>
      <c r="AE157" s="2"/>
      <c r="AF157" s="2"/>
      <c r="AJ157" t="s">
        <v>203</v>
      </c>
    </row>
    <row r="158" spans="1:36" x14ac:dyDescent="0.25">
      <c r="A158" t="s">
        <v>547</v>
      </c>
      <c r="B158" t="s">
        <v>56</v>
      </c>
      <c r="C158" t="s">
        <v>57</v>
      </c>
      <c r="D158" t="s">
        <v>18</v>
      </c>
      <c r="E158" t="s">
        <v>19</v>
      </c>
      <c r="F158" t="s">
        <v>20</v>
      </c>
      <c r="G158" t="s">
        <v>20</v>
      </c>
      <c r="H158" t="s">
        <v>712</v>
      </c>
      <c r="I158">
        <v>25</v>
      </c>
      <c r="J158" t="s">
        <v>646</v>
      </c>
      <c r="K158" t="s">
        <v>39</v>
      </c>
      <c r="L158" t="str">
        <f t="shared" si="28"/>
        <v>Control</v>
      </c>
      <c r="M158" t="s">
        <v>706</v>
      </c>
      <c r="N158" t="s">
        <v>716</v>
      </c>
      <c r="O158" t="s">
        <v>548</v>
      </c>
      <c r="P158" t="s">
        <v>716</v>
      </c>
      <c r="Q158" t="s">
        <v>412</v>
      </c>
      <c r="R158" t="s">
        <v>709</v>
      </c>
      <c r="S158" t="s">
        <v>703</v>
      </c>
      <c r="T158" t="s">
        <v>615</v>
      </c>
      <c r="U158" s="1" t="s">
        <v>754</v>
      </c>
      <c r="V158" s="1">
        <f t="shared" si="29"/>
        <v>6.4401474487485882E-10</v>
      </c>
      <c r="W158" s="1"/>
      <c r="X158" s="1"/>
      <c r="Y158" s="1"/>
      <c r="Z158" s="1"/>
      <c r="AA158" s="1">
        <f>[25]Henry_etal_2016_Fig2b!B6</f>
        <v>2.7234042553191399E-8</v>
      </c>
      <c r="AB158" s="1"/>
      <c r="AC158" s="3">
        <f>[26]Henry_etal_2016_FigS2b!B7</f>
        <v>236.47416413373799</v>
      </c>
      <c r="AE158" s="2"/>
      <c r="AF158" s="2"/>
      <c r="AJ158" t="s">
        <v>203</v>
      </c>
    </row>
    <row r="159" spans="1:36" x14ac:dyDescent="0.25">
      <c r="A159" t="s">
        <v>547</v>
      </c>
      <c r="B159" t="s">
        <v>56</v>
      </c>
      <c r="C159" t="s">
        <v>57</v>
      </c>
      <c r="D159" t="s">
        <v>18</v>
      </c>
      <c r="E159" t="s">
        <v>19</v>
      </c>
      <c r="F159" t="s">
        <v>20</v>
      </c>
      <c r="G159" t="s">
        <v>20</v>
      </c>
      <c r="H159" t="s">
        <v>712</v>
      </c>
      <c r="I159">
        <v>25</v>
      </c>
      <c r="J159" t="s">
        <v>646</v>
      </c>
      <c r="K159" t="s">
        <v>39</v>
      </c>
      <c r="L159" t="str">
        <f t="shared" si="28"/>
        <v>Control</v>
      </c>
      <c r="M159" t="s">
        <v>707</v>
      </c>
      <c r="N159" t="s">
        <v>716</v>
      </c>
      <c r="O159" t="s">
        <v>548</v>
      </c>
      <c r="P159" t="s">
        <v>716</v>
      </c>
      <c r="Q159" t="s">
        <v>412</v>
      </c>
      <c r="R159" t="s">
        <v>709</v>
      </c>
      <c r="S159" t="s">
        <v>703</v>
      </c>
      <c r="T159" t="s">
        <v>615</v>
      </c>
      <c r="U159" s="1" t="s">
        <v>754</v>
      </c>
      <c r="V159" s="1">
        <f t="shared" si="29"/>
        <v>1.4467843669835464E-9</v>
      </c>
      <c r="W159" s="1"/>
      <c r="X159" s="1"/>
      <c r="Y159" s="1"/>
      <c r="Z159" s="1"/>
      <c r="AA159" s="1">
        <f>[25]Henry_etal_2016_Fig2b!B7</f>
        <v>1.61134751773049E-8</v>
      </c>
      <c r="AB159" s="1"/>
      <c r="AC159" s="3">
        <f>[26]Henry_etal_2016_FigS2b!B8</f>
        <v>897.872340425532</v>
      </c>
      <c r="AE159" s="2"/>
      <c r="AF159" s="2"/>
      <c r="AJ159" t="s">
        <v>203</v>
      </c>
    </row>
    <row r="160" spans="1:36" x14ac:dyDescent="0.25">
      <c r="A160" t="s">
        <v>547</v>
      </c>
      <c r="B160" t="s">
        <v>56</v>
      </c>
      <c r="C160" t="s">
        <v>57</v>
      </c>
      <c r="D160" t="s">
        <v>18</v>
      </c>
      <c r="E160" t="s">
        <v>19</v>
      </c>
      <c r="F160" t="s">
        <v>20</v>
      </c>
      <c r="G160" t="s">
        <v>20</v>
      </c>
      <c r="H160" t="s">
        <v>712</v>
      </c>
      <c r="I160">
        <v>25</v>
      </c>
      <c r="J160" t="s">
        <v>646</v>
      </c>
      <c r="K160" t="s">
        <v>39</v>
      </c>
      <c r="L160" t="str">
        <f t="shared" si="28"/>
        <v>Control</v>
      </c>
      <c r="M160" t="s">
        <v>708</v>
      </c>
      <c r="N160" t="s">
        <v>716</v>
      </c>
      <c r="O160" t="s">
        <v>548</v>
      </c>
      <c r="P160" t="s">
        <v>716</v>
      </c>
      <c r="Q160" t="s">
        <v>412</v>
      </c>
      <c r="R160" t="s">
        <v>709</v>
      </c>
      <c r="S160" t="s">
        <v>703</v>
      </c>
      <c r="T160" t="s">
        <v>615</v>
      </c>
      <c r="U160" s="1" t="s">
        <v>754</v>
      </c>
      <c r="V160" s="1">
        <f t="shared" si="29"/>
        <v>7.7443186962426049E-10</v>
      </c>
      <c r="W160" s="1"/>
      <c r="X160" s="1"/>
      <c r="Y160" s="1"/>
      <c r="Z160" s="1"/>
      <c r="AA160" s="1">
        <f>[25]Henry_etal_2016_Fig2b!B8</f>
        <v>1.83829787234042E-8</v>
      </c>
      <c r="AB160" s="1"/>
      <c r="AC160" s="3">
        <f>[26]Henry_etal_2016_FigS2b!B9</f>
        <v>421.27659574467998</v>
      </c>
      <c r="AE160" s="2"/>
      <c r="AF160" s="2"/>
      <c r="AJ160" t="s">
        <v>203</v>
      </c>
    </row>
    <row r="161" spans="1:36" x14ac:dyDescent="0.25">
      <c r="A161" t="s">
        <v>547</v>
      </c>
      <c r="B161" t="s">
        <v>56</v>
      </c>
      <c r="C161" t="s">
        <v>57</v>
      </c>
      <c r="D161" t="s">
        <v>18</v>
      </c>
      <c r="E161" t="s">
        <v>19</v>
      </c>
      <c r="F161" t="s">
        <v>20</v>
      </c>
      <c r="G161" t="s">
        <v>20</v>
      </c>
      <c r="H161" t="s">
        <v>712</v>
      </c>
      <c r="I161">
        <v>25</v>
      </c>
      <c r="J161" t="s">
        <v>646</v>
      </c>
      <c r="K161" t="s">
        <v>39</v>
      </c>
      <c r="L161" t="str">
        <f t="shared" si="28"/>
        <v>Control</v>
      </c>
      <c r="M161" t="s">
        <v>705</v>
      </c>
      <c r="N161" t="s">
        <v>716</v>
      </c>
      <c r="O161" t="s">
        <v>430</v>
      </c>
      <c r="P161" t="s">
        <v>716</v>
      </c>
      <c r="Q161" t="s">
        <v>412</v>
      </c>
      <c r="R161" t="s">
        <v>709</v>
      </c>
      <c r="S161" t="s">
        <v>703</v>
      </c>
      <c r="T161" t="s">
        <v>615</v>
      </c>
      <c r="U161" s="1" t="s">
        <v>754</v>
      </c>
      <c r="V161" s="1">
        <f t="shared" si="29"/>
        <v>6.1307637586496746E-10</v>
      </c>
      <c r="W161" s="1"/>
      <c r="X161" s="1"/>
      <c r="Y161" s="1"/>
      <c r="Z161" s="1"/>
      <c r="AA161" s="1">
        <f>[25]Henry_etal_2016_Fig2b!B9</f>
        <v>8.9645390070922001E-9</v>
      </c>
      <c r="AB161" s="1"/>
      <c r="AC161" s="3">
        <f>[26]Henry_etal_2016_FigS2b!B10</f>
        <v>683.89057750759798</v>
      </c>
      <c r="AE161" s="2"/>
      <c r="AF161" s="2"/>
      <c r="AJ161" t="s">
        <v>203</v>
      </c>
    </row>
    <row r="162" spans="1:36" x14ac:dyDescent="0.25">
      <c r="A162" t="s">
        <v>547</v>
      </c>
      <c r="B162" t="s">
        <v>56</v>
      </c>
      <c r="C162" t="s">
        <v>57</v>
      </c>
      <c r="D162" t="s">
        <v>18</v>
      </c>
      <c r="E162" t="s">
        <v>19</v>
      </c>
      <c r="F162" t="s">
        <v>20</v>
      </c>
      <c r="G162" t="s">
        <v>20</v>
      </c>
      <c r="H162" t="s">
        <v>712</v>
      </c>
      <c r="I162">
        <v>25</v>
      </c>
      <c r="J162" t="s">
        <v>646</v>
      </c>
      <c r="K162" t="s">
        <v>39</v>
      </c>
      <c r="L162" t="str">
        <f t="shared" si="28"/>
        <v>Control</v>
      </c>
      <c r="M162" t="s">
        <v>706</v>
      </c>
      <c r="N162" t="s">
        <v>716</v>
      </c>
      <c r="O162" t="s">
        <v>430</v>
      </c>
      <c r="P162" t="s">
        <v>716</v>
      </c>
      <c r="Q162" t="s">
        <v>412</v>
      </c>
      <c r="R162" t="s">
        <v>709</v>
      </c>
      <c r="S162" t="s">
        <v>703</v>
      </c>
      <c r="T162" t="s">
        <v>615</v>
      </c>
      <c r="U162" s="1" t="s">
        <v>754</v>
      </c>
      <c r="V162" s="1">
        <f t="shared" si="29"/>
        <v>4.7773394554743377E-10</v>
      </c>
      <c r="W162" s="1"/>
      <c r="X162" s="1"/>
      <c r="Y162" s="1"/>
      <c r="Z162" s="1"/>
      <c r="AA162" s="1">
        <f>[25]Henry_etal_2016_Fig2b!B10</f>
        <v>1.94042553191489E-8</v>
      </c>
      <c r="AB162" s="1"/>
      <c r="AC162" s="3">
        <f>[26]Henry_etal_2016_FigS2b!B11</f>
        <v>246.20060790273499</v>
      </c>
      <c r="AE162" s="2"/>
      <c r="AF162" s="2"/>
      <c r="AJ162" t="s">
        <v>203</v>
      </c>
    </row>
    <row r="163" spans="1:36" x14ac:dyDescent="0.25">
      <c r="A163" t="s">
        <v>547</v>
      </c>
      <c r="B163" t="s">
        <v>56</v>
      </c>
      <c r="C163" t="s">
        <v>57</v>
      </c>
      <c r="D163" t="s">
        <v>18</v>
      </c>
      <c r="E163" t="s">
        <v>19</v>
      </c>
      <c r="F163" t="s">
        <v>20</v>
      </c>
      <c r="G163" t="s">
        <v>20</v>
      </c>
      <c r="H163" t="s">
        <v>712</v>
      </c>
      <c r="I163">
        <v>25</v>
      </c>
      <c r="J163" t="s">
        <v>646</v>
      </c>
      <c r="K163" t="s">
        <v>39</v>
      </c>
      <c r="L163" t="str">
        <f t="shared" si="28"/>
        <v>Control</v>
      </c>
      <c r="M163" t="s">
        <v>707</v>
      </c>
      <c r="N163" t="s">
        <v>716</v>
      </c>
      <c r="O163" t="s">
        <v>430</v>
      </c>
      <c r="P163" t="s">
        <v>716</v>
      </c>
      <c r="Q163" t="s">
        <v>412</v>
      </c>
      <c r="R163" t="s">
        <v>709</v>
      </c>
      <c r="S163" t="s">
        <v>703</v>
      </c>
      <c r="T163" t="s">
        <v>615</v>
      </c>
      <c r="U163" s="1" t="s">
        <v>754</v>
      </c>
      <c r="V163" s="1">
        <f t="shared" si="29"/>
        <v>1.1813697212701259E-9</v>
      </c>
      <c r="W163" s="1"/>
      <c r="X163" s="1"/>
      <c r="Y163" s="1"/>
      <c r="Z163" s="1"/>
      <c r="AA163" s="1">
        <f>[25]Henry_etal_2016_Fig2b!B11</f>
        <v>1.6567375886524799E-8</v>
      </c>
      <c r="AB163" s="1"/>
      <c r="AC163" s="3">
        <f>[26]Henry_etal_2016_FigS2b!B12</f>
        <v>713.06990881458898</v>
      </c>
      <c r="AE163" s="2"/>
      <c r="AF163" s="2"/>
      <c r="AJ163" t="s">
        <v>203</v>
      </c>
    </row>
    <row r="164" spans="1:36" x14ac:dyDescent="0.25">
      <c r="A164" t="s">
        <v>547</v>
      </c>
      <c r="B164" t="s">
        <v>56</v>
      </c>
      <c r="C164" t="s">
        <v>57</v>
      </c>
      <c r="D164" t="s">
        <v>18</v>
      </c>
      <c r="E164" t="s">
        <v>19</v>
      </c>
      <c r="F164" t="s">
        <v>20</v>
      </c>
      <c r="G164" t="s">
        <v>20</v>
      </c>
      <c r="H164" t="s">
        <v>712</v>
      </c>
      <c r="I164">
        <v>25</v>
      </c>
      <c r="J164" t="s">
        <v>646</v>
      </c>
      <c r="K164" t="s">
        <v>39</v>
      </c>
      <c r="L164" t="str">
        <f t="shared" si="28"/>
        <v>Control</v>
      </c>
      <c r="M164" t="s">
        <v>708</v>
      </c>
      <c r="N164" t="s">
        <v>716</v>
      </c>
      <c r="O164" t="s">
        <v>430</v>
      </c>
      <c r="P164" t="s">
        <v>716</v>
      </c>
      <c r="Q164" t="s">
        <v>412</v>
      </c>
      <c r="R164" t="s">
        <v>709</v>
      </c>
      <c r="S164" t="s">
        <v>703</v>
      </c>
      <c r="T164" t="s">
        <v>615</v>
      </c>
      <c r="U164" s="1" t="s">
        <v>754</v>
      </c>
      <c r="V164" s="1">
        <f t="shared" si="29"/>
        <v>7.0337709370755696E-10</v>
      </c>
      <c r="W164" s="1"/>
      <c r="X164" s="1"/>
      <c r="Y164" s="1"/>
      <c r="Z164" s="1"/>
      <c r="AA164" s="1">
        <f>[25]Henry_etal_2016_Fig2b!B12</f>
        <v>1.9914893617021199E-8</v>
      </c>
      <c r="AB164" s="1"/>
      <c r="AC164" s="3">
        <f>[26]Henry_etal_2016_FigS2b!B13</f>
        <v>353.191489361702</v>
      </c>
      <c r="AE164" s="2"/>
      <c r="AF164" s="2"/>
      <c r="AJ164" t="s">
        <v>203</v>
      </c>
    </row>
    <row r="165" spans="1:36" x14ac:dyDescent="0.25">
      <c r="A165" t="s">
        <v>547</v>
      </c>
      <c r="B165" t="s">
        <v>56</v>
      </c>
      <c r="C165" t="s">
        <v>57</v>
      </c>
      <c r="D165" t="s">
        <v>18</v>
      </c>
      <c r="E165" t="s">
        <v>19</v>
      </c>
      <c r="F165" t="s">
        <v>20</v>
      </c>
      <c r="G165" t="s">
        <v>20</v>
      </c>
      <c r="H165" t="s">
        <v>712</v>
      </c>
      <c r="I165">
        <v>25</v>
      </c>
      <c r="J165" t="s">
        <v>646</v>
      </c>
      <c r="K165" t="s">
        <v>39</v>
      </c>
      <c r="L165" t="str">
        <f t="shared" si="28"/>
        <v>Control</v>
      </c>
      <c r="M165" t="s">
        <v>705</v>
      </c>
      <c r="N165" t="s">
        <v>716</v>
      </c>
      <c r="O165" t="s">
        <v>549</v>
      </c>
      <c r="P165" t="s">
        <v>716</v>
      </c>
      <c r="Q165" t="s">
        <v>412</v>
      </c>
      <c r="R165" t="s">
        <v>709</v>
      </c>
      <c r="S165" t="s">
        <v>703</v>
      </c>
      <c r="T165" t="s">
        <v>615</v>
      </c>
      <c r="U165" s="1" t="s">
        <v>754</v>
      </c>
      <c r="V165" s="1">
        <f t="shared" si="29"/>
        <v>7.7852939274396496E-10</v>
      </c>
      <c r="W165" s="1"/>
      <c r="X165" s="1"/>
      <c r="Y165" s="1"/>
      <c r="Z165" s="1"/>
      <c r="AA165" s="1">
        <f>[25]Henry_etal_2016_Fig2b!B13</f>
        <v>1.22553191489361E-8</v>
      </c>
      <c r="AB165" s="1"/>
      <c r="AC165" s="3">
        <f>[26]Henry_etal_2016_FigS2b!B14</f>
        <v>635.258358662614</v>
      </c>
      <c r="AE165" s="2"/>
      <c r="AF165" s="2"/>
      <c r="AJ165" t="s">
        <v>203</v>
      </c>
    </row>
    <row r="166" spans="1:36" x14ac:dyDescent="0.25">
      <c r="A166" t="s">
        <v>547</v>
      </c>
      <c r="B166" t="s">
        <v>56</v>
      </c>
      <c r="C166" t="s">
        <v>57</v>
      </c>
      <c r="D166" t="s">
        <v>18</v>
      </c>
      <c r="E166" t="s">
        <v>19</v>
      </c>
      <c r="F166" t="s">
        <v>20</v>
      </c>
      <c r="G166" t="s">
        <v>20</v>
      </c>
      <c r="H166" t="s">
        <v>712</v>
      </c>
      <c r="I166">
        <v>25</v>
      </c>
      <c r="J166" t="s">
        <v>646</v>
      </c>
      <c r="K166" t="s">
        <v>39</v>
      </c>
      <c r="L166" t="str">
        <f t="shared" si="28"/>
        <v>Control</v>
      </c>
      <c r="M166" t="s">
        <v>706</v>
      </c>
      <c r="N166" t="s">
        <v>716</v>
      </c>
      <c r="O166" t="s">
        <v>549</v>
      </c>
      <c r="P166" t="s">
        <v>716</v>
      </c>
      <c r="Q166" t="s">
        <v>412</v>
      </c>
      <c r="R166" t="s">
        <v>709</v>
      </c>
      <c r="S166" t="s">
        <v>703</v>
      </c>
      <c r="T166" t="s">
        <v>615</v>
      </c>
      <c r="U166" s="1" t="s">
        <v>754</v>
      </c>
      <c r="V166" s="1">
        <f t="shared" si="29"/>
        <v>5.6417512772424315E-10</v>
      </c>
      <c r="W166" s="1"/>
      <c r="X166" s="1"/>
      <c r="Y166" s="1"/>
      <c r="Z166" s="1"/>
      <c r="AA166" s="1">
        <f>[25]Henry_etal_2016_Fig2b!B14</f>
        <v>2.9276595744680799E-8</v>
      </c>
      <c r="AB166" s="1"/>
      <c r="AC166" s="3">
        <f>[26]Henry_etal_2016_FigS2b!B15</f>
        <v>192.70516717325199</v>
      </c>
      <c r="AE166" s="2"/>
      <c r="AF166" s="2"/>
      <c r="AJ166" t="s">
        <v>203</v>
      </c>
    </row>
    <row r="167" spans="1:36" x14ac:dyDescent="0.25">
      <c r="A167" t="s">
        <v>547</v>
      </c>
      <c r="B167" t="s">
        <v>56</v>
      </c>
      <c r="C167" t="s">
        <v>57</v>
      </c>
      <c r="D167" t="s">
        <v>18</v>
      </c>
      <c r="E167" t="s">
        <v>19</v>
      </c>
      <c r="F167" t="s">
        <v>20</v>
      </c>
      <c r="G167" t="s">
        <v>20</v>
      </c>
      <c r="H167" t="s">
        <v>712</v>
      </c>
      <c r="I167">
        <v>25</v>
      </c>
      <c r="J167" t="s">
        <v>646</v>
      </c>
      <c r="K167" t="s">
        <v>39</v>
      </c>
      <c r="L167" t="str">
        <f t="shared" si="28"/>
        <v>Control</v>
      </c>
      <c r="M167" t="s">
        <v>707</v>
      </c>
      <c r="N167" t="s">
        <v>716</v>
      </c>
      <c r="O167" t="s">
        <v>549</v>
      </c>
      <c r="P167" t="s">
        <v>716</v>
      </c>
      <c r="Q167" t="s">
        <v>412</v>
      </c>
      <c r="R167" t="s">
        <v>709</v>
      </c>
      <c r="S167" t="s">
        <v>703</v>
      </c>
      <c r="T167" t="s">
        <v>615</v>
      </c>
      <c r="U167" s="1" t="s">
        <v>754</v>
      </c>
      <c r="V167" s="1">
        <f t="shared" si="29"/>
        <v>1.0043553428614483E-9</v>
      </c>
      <c r="W167" s="1"/>
      <c r="X167" s="1"/>
      <c r="Y167" s="1"/>
      <c r="Z167" s="1"/>
      <c r="AA167" s="1">
        <f>[25]Henry_etal_2016_Fig2b!B15</f>
        <v>1.10070921985815E-8</v>
      </c>
      <c r="AB167" s="1"/>
      <c r="AC167" s="3">
        <f>[26]Henry_etal_2016_FigS2b!B16</f>
        <v>912.46200607902699</v>
      </c>
      <c r="AE167" s="2"/>
      <c r="AF167" s="2"/>
      <c r="AJ167" t="s">
        <v>203</v>
      </c>
    </row>
    <row r="168" spans="1:36" x14ac:dyDescent="0.25">
      <c r="A168" t="s">
        <v>547</v>
      </c>
      <c r="B168" t="s">
        <v>56</v>
      </c>
      <c r="C168" t="s">
        <v>57</v>
      </c>
      <c r="D168" t="s">
        <v>18</v>
      </c>
      <c r="E168" t="s">
        <v>19</v>
      </c>
      <c r="F168" t="s">
        <v>20</v>
      </c>
      <c r="G168" t="s">
        <v>20</v>
      </c>
      <c r="H168" t="s">
        <v>712</v>
      </c>
      <c r="I168">
        <v>25</v>
      </c>
      <c r="J168" t="s">
        <v>646</v>
      </c>
      <c r="K168" t="s">
        <v>39</v>
      </c>
      <c r="L168" t="str">
        <f t="shared" si="28"/>
        <v>Control</v>
      </c>
      <c r="M168" t="s">
        <v>708</v>
      </c>
      <c r="N168" t="s">
        <v>716</v>
      </c>
      <c r="O168" t="s">
        <v>549</v>
      </c>
      <c r="P168" t="s">
        <v>716</v>
      </c>
      <c r="Q168" t="s">
        <v>412</v>
      </c>
      <c r="R168" t="s">
        <v>709</v>
      </c>
      <c r="S168" t="s">
        <v>703</v>
      </c>
      <c r="T168" t="s">
        <v>615</v>
      </c>
      <c r="U168" s="1" t="s">
        <v>754</v>
      </c>
      <c r="V168" s="1">
        <f t="shared" si="29"/>
        <v>6.9413697212701108E-10</v>
      </c>
      <c r="W168" s="1"/>
      <c r="X168" s="1"/>
      <c r="Y168" s="1"/>
      <c r="Z168" s="1"/>
      <c r="AA168" s="1">
        <f>[25]Henry_etal_2016_Fig2b!B16</f>
        <v>2.1106382978723399E-8</v>
      </c>
      <c r="AB168" s="1"/>
      <c r="AC168" s="3">
        <f>[26]Henry_etal_2016_FigS2b!B17</f>
        <v>328.87537993920898</v>
      </c>
      <c r="AE168" s="2"/>
      <c r="AF168" s="2"/>
      <c r="AJ168" t="s">
        <v>203</v>
      </c>
    </row>
    <row r="169" spans="1:36" x14ac:dyDescent="0.25">
      <c r="A169" t="s">
        <v>547</v>
      </c>
      <c r="B169" t="s">
        <v>56</v>
      </c>
      <c r="C169" t="s">
        <v>57</v>
      </c>
      <c r="D169" t="s">
        <v>18</v>
      </c>
      <c r="E169" t="s">
        <v>19</v>
      </c>
      <c r="F169" t="s">
        <v>20</v>
      </c>
      <c r="G169" t="s">
        <v>20</v>
      </c>
      <c r="H169" t="s">
        <v>712</v>
      </c>
      <c r="I169">
        <v>25</v>
      </c>
      <c r="J169" t="s">
        <v>646</v>
      </c>
      <c r="K169" t="s">
        <v>51</v>
      </c>
      <c r="L169" t="str">
        <f t="shared" si="28"/>
        <v>Stress</v>
      </c>
      <c r="M169" t="s">
        <v>705</v>
      </c>
      <c r="N169" t="s">
        <v>716</v>
      </c>
      <c r="O169" t="s">
        <v>429</v>
      </c>
      <c r="P169" t="s">
        <v>716</v>
      </c>
      <c r="Q169" t="s">
        <v>412</v>
      </c>
      <c r="R169" t="s">
        <v>709</v>
      </c>
      <c r="S169" t="s">
        <v>703</v>
      </c>
      <c r="T169" t="s">
        <v>615</v>
      </c>
      <c r="U169" s="1" t="s">
        <v>754</v>
      </c>
      <c r="V169" s="1">
        <f t="shared" si="29"/>
        <v>1.0135530285449014E-10</v>
      </c>
      <c r="W169" s="1"/>
      <c r="X169" s="1"/>
      <c r="Y169" s="1"/>
      <c r="Z169" s="1"/>
      <c r="AA169" s="1">
        <f>[27]Henry_etal_2016_Fig2a!B2</f>
        <v>5.0071942446043096E-9</v>
      </c>
      <c r="AB169" s="1"/>
      <c r="AC169" s="3">
        <f>[28]Henry_etal_2016_FigS2a!B2</f>
        <v>202.41935483870901</v>
      </c>
      <c r="AE169" s="2"/>
      <c r="AF169" s="2"/>
      <c r="AJ169" t="s">
        <v>203</v>
      </c>
    </row>
    <row r="170" spans="1:36" x14ac:dyDescent="0.25">
      <c r="A170" t="s">
        <v>547</v>
      </c>
      <c r="B170" t="s">
        <v>56</v>
      </c>
      <c r="C170" t="s">
        <v>57</v>
      </c>
      <c r="D170" t="s">
        <v>18</v>
      </c>
      <c r="E170" t="s">
        <v>19</v>
      </c>
      <c r="F170" t="s">
        <v>20</v>
      </c>
      <c r="G170" t="s">
        <v>20</v>
      </c>
      <c r="H170" t="s">
        <v>712</v>
      </c>
      <c r="I170">
        <v>25</v>
      </c>
      <c r="J170" t="s">
        <v>646</v>
      </c>
      <c r="K170" t="s">
        <v>51</v>
      </c>
      <c r="L170" t="str">
        <f t="shared" si="28"/>
        <v>Stress</v>
      </c>
      <c r="M170" t="s">
        <v>706</v>
      </c>
      <c r="N170" t="s">
        <v>716</v>
      </c>
      <c r="O170" t="s">
        <v>429</v>
      </c>
      <c r="P170" t="s">
        <v>716</v>
      </c>
      <c r="Q170" t="s">
        <v>412</v>
      </c>
      <c r="R170" t="s">
        <v>709</v>
      </c>
      <c r="S170" t="s">
        <v>703</v>
      </c>
      <c r="T170" t="s">
        <v>615</v>
      </c>
      <c r="U170" s="1" t="s">
        <v>754</v>
      </c>
      <c r="V170" s="1">
        <f t="shared" si="29"/>
        <v>8.6716175446739047E-11</v>
      </c>
      <c r="W170" s="1"/>
      <c r="X170" s="1"/>
      <c r="Y170" s="1"/>
      <c r="Z170" s="1"/>
      <c r="AA170" s="1">
        <f>[27]Henry_etal_2016_Fig2a!B3</f>
        <v>6.8489208633093503E-9</v>
      </c>
      <c r="AB170" s="1"/>
      <c r="AC170" s="3">
        <f>[28]Henry_etal_2016_FigS2a!B3</f>
        <v>126.61290322580599</v>
      </c>
      <c r="AE170" s="2"/>
      <c r="AF170" s="2"/>
      <c r="AJ170" t="s">
        <v>203</v>
      </c>
    </row>
    <row r="171" spans="1:36" x14ac:dyDescent="0.25">
      <c r="A171" t="s">
        <v>547</v>
      </c>
      <c r="B171" t="s">
        <v>56</v>
      </c>
      <c r="C171" t="s">
        <v>57</v>
      </c>
      <c r="D171" t="s">
        <v>18</v>
      </c>
      <c r="E171" t="s">
        <v>19</v>
      </c>
      <c r="F171" t="s">
        <v>20</v>
      </c>
      <c r="G171" t="s">
        <v>20</v>
      </c>
      <c r="H171" t="s">
        <v>712</v>
      </c>
      <c r="I171">
        <v>25</v>
      </c>
      <c r="J171" t="s">
        <v>646</v>
      </c>
      <c r="K171" t="s">
        <v>51</v>
      </c>
      <c r="L171" t="str">
        <f t="shared" si="28"/>
        <v>Stress</v>
      </c>
      <c r="M171" t="s">
        <v>707</v>
      </c>
      <c r="N171" t="s">
        <v>716</v>
      </c>
      <c r="O171" t="s">
        <v>429</v>
      </c>
      <c r="P171" t="s">
        <v>716</v>
      </c>
      <c r="Q171" t="s">
        <v>412</v>
      </c>
      <c r="R171" t="s">
        <v>709</v>
      </c>
      <c r="S171" t="s">
        <v>703</v>
      </c>
      <c r="T171" t="s">
        <v>615</v>
      </c>
      <c r="U171" s="1" t="s">
        <v>754</v>
      </c>
      <c r="V171" s="1">
        <f t="shared" si="29"/>
        <v>9.8479925736829271E-11</v>
      </c>
      <c r="W171" s="1"/>
      <c r="X171" s="1"/>
      <c r="Y171" s="1"/>
      <c r="Z171" s="1"/>
      <c r="AA171" s="1">
        <f>[27]Henry_etal_2016_Fig2a!B4</f>
        <v>3.5395683453237299E-9</v>
      </c>
      <c r="AB171" s="1"/>
      <c r="AC171" s="3">
        <f>[28]Henry_etal_2016_FigS2a!B4</f>
        <v>278.22580645161202</v>
      </c>
      <c r="AE171" s="2"/>
      <c r="AF171" s="2"/>
      <c r="AJ171" t="s">
        <v>203</v>
      </c>
    </row>
    <row r="172" spans="1:36" x14ac:dyDescent="0.25">
      <c r="A172" t="s">
        <v>547</v>
      </c>
      <c r="B172" t="s">
        <v>56</v>
      </c>
      <c r="C172" t="s">
        <v>57</v>
      </c>
      <c r="D172" t="s">
        <v>18</v>
      </c>
      <c r="E172" t="s">
        <v>19</v>
      </c>
      <c r="F172" t="s">
        <v>20</v>
      </c>
      <c r="G172" t="s">
        <v>20</v>
      </c>
      <c r="H172" t="s">
        <v>712</v>
      </c>
      <c r="I172">
        <v>25</v>
      </c>
      <c r="J172" t="s">
        <v>646</v>
      </c>
      <c r="K172" t="s">
        <v>51</v>
      </c>
      <c r="L172" t="str">
        <f t="shared" si="28"/>
        <v>Stress</v>
      </c>
      <c r="M172" t="s">
        <v>708</v>
      </c>
      <c r="N172" t="s">
        <v>716</v>
      </c>
      <c r="O172" t="s">
        <v>429</v>
      </c>
      <c r="P172" t="s">
        <v>716</v>
      </c>
      <c r="Q172" t="s">
        <v>412</v>
      </c>
      <c r="R172" t="s">
        <v>709</v>
      </c>
      <c r="S172" t="s">
        <v>703</v>
      </c>
      <c r="T172" t="s">
        <v>615</v>
      </c>
      <c r="U172" s="1" t="s">
        <v>754</v>
      </c>
      <c r="V172" s="1">
        <f t="shared" si="29"/>
        <v>5.8888373172429276E-11</v>
      </c>
      <c r="W172" s="1"/>
      <c r="X172" s="1"/>
      <c r="Y172" s="1"/>
      <c r="Z172" s="1"/>
      <c r="AA172" s="1">
        <f>[27]Henry_etal_2016_Fig2a!B5</f>
        <v>5.03597122302157E-9</v>
      </c>
      <c r="AB172" s="1"/>
      <c r="AC172" s="3">
        <f>[28]Henry_etal_2016_FigS2a!B5</f>
        <v>116.935483870967</v>
      </c>
      <c r="AE172" s="2"/>
      <c r="AF172" s="2"/>
      <c r="AJ172" t="s">
        <v>203</v>
      </c>
    </row>
    <row r="173" spans="1:36" x14ac:dyDescent="0.25">
      <c r="A173" t="s">
        <v>547</v>
      </c>
      <c r="B173" t="s">
        <v>56</v>
      </c>
      <c r="C173" t="s">
        <v>57</v>
      </c>
      <c r="D173" t="s">
        <v>18</v>
      </c>
      <c r="E173" t="s">
        <v>19</v>
      </c>
      <c r="F173" t="s">
        <v>20</v>
      </c>
      <c r="G173" t="s">
        <v>20</v>
      </c>
      <c r="H173" t="s">
        <v>712</v>
      </c>
      <c r="I173">
        <v>25</v>
      </c>
      <c r="J173" t="s">
        <v>646</v>
      </c>
      <c r="K173" t="s">
        <v>51</v>
      </c>
      <c r="L173" t="str">
        <f t="shared" si="28"/>
        <v>Stress</v>
      </c>
      <c r="M173" t="s">
        <v>705</v>
      </c>
      <c r="N173" t="s">
        <v>716</v>
      </c>
      <c r="O173" t="s">
        <v>548</v>
      </c>
      <c r="P173" t="s">
        <v>716</v>
      </c>
      <c r="Q173" t="s">
        <v>412</v>
      </c>
      <c r="R173" t="s">
        <v>709</v>
      </c>
      <c r="S173" t="s">
        <v>703</v>
      </c>
      <c r="T173" t="s">
        <v>615</v>
      </c>
      <c r="U173" s="1" t="s">
        <v>754</v>
      </c>
      <c r="V173" s="1">
        <f t="shared" si="29"/>
        <v>9.6802042237177569E-11</v>
      </c>
      <c r="W173" s="1"/>
      <c r="X173" s="1"/>
      <c r="Y173" s="1"/>
      <c r="Z173" s="1"/>
      <c r="AA173" s="1">
        <f>[27]Henry_etal_2016_Fig2a!B6</f>
        <v>5.0647482014388403E-9</v>
      </c>
      <c r="AB173" s="1"/>
      <c r="AC173" s="3">
        <f>[28]Henry_etal_2016_FigS2a!B6</f>
        <v>191.129032258064</v>
      </c>
      <c r="AE173" s="2"/>
      <c r="AF173" s="2"/>
      <c r="AJ173" t="s">
        <v>203</v>
      </c>
    </row>
    <row r="174" spans="1:36" x14ac:dyDescent="0.25">
      <c r="A174" t="s">
        <v>547</v>
      </c>
      <c r="B174" t="s">
        <v>56</v>
      </c>
      <c r="C174" t="s">
        <v>57</v>
      </c>
      <c r="D174" t="s">
        <v>18</v>
      </c>
      <c r="E174" t="s">
        <v>19</v>
      </c>
      <c r="F174" t="s">
        <v>20</v>
      </c>
      <c r="G174" t="s">
        <v>20</v>
      </c>
      <c r="H174" t="s">
        <v>712</v>
      </c>
      <c r="I174">
        <v>25</v>
      </c>
      <c r="J174" t="s">
        <v>646</v>
      </c>
      <c r="K174" t="s">
        <v>51</v>
      </c>
      <c r="L174" t="str">
        <f t="shared" si="28"/>
        <v>Stress</v>
      </c>
      <c r="M174" t="s">
        <v>706</v>
      </c>
      <c r="N174" t="s">
        <v>716</v>
      </c>
      <c r="O174" t="s">
        <v>548</v>
      </c>
      <c r="P174" t="s">
        <v>716</v>
      </c>
      <c r="Q174" t="s">
        <v>412</v>
      </c>
      <c r="R174" t="s">
        <v>709</v>
      </c>
      <c r="S174" t="s">
        <v>703</v>
      </c>
      <c r="T174" t="s">
        <v>615</v>
      </c>
      <c r="U174" s="1" t="s">
        <v>754</v>
      </c>
      <c r="V174" s="1">
        <f t="shared" si="29"/>
        <v>7.6012996054768496E-11</v>
      </c>
      <c r="W174" s="1"/>
      <c r="X174" s="1"/>
      <c r="Y174" s="1"/>
      <c r="Z174" s="1"/>
      <c r="AA174" s="1">
        <f>[27]Henry_etal_2016_Fig2a!B7</f>
        <v>5.9280575539568304E-9</v>
      </c>
      <c r="AB174" s="1"/>
      <c r="AC174" s="3">
        <f>[28]Henry_etal_2016_FigS2a!B7</f>
        <v>128.22580645161199</v>
      </c>
      <c r="AE174" s="2"/>
      <c r="AF174" s="2"/>
      <c r="AJ174" t="s">
        <v>203</v>
      </c>
    </row>
    <row r="175" spans="1:36" x14ac:dyDescent="0.25">
      <c r="A175" t="s">
        <v>547</v>
      </c>
      <c r="B175" t="s">
        <v>56</v>
      </c>
      <c r="C175" t="s">
        <v>57</v>
      </c>
      <c r="D175" t="s">
        <v>18</v>
      </c>
      <c r="E175" t="s">
        <v>19</v>
      </c>
      <c r="F175" t="s">
        <v>20</v>
      </c>
      <c r="G175" t="s">
        <v>20</v>
      </c>
      <c r="H175" t="s">
        <v>712</v>
      </c>
      <c r="I175">
        <v>25</v>
      </c>
      <c r="J175" t="s">
        <v>646</v>
      </c>
      <c r="K175" t="s">
        <v>51</v>
      </c>
      <c r="L175" t="str">
        <f t="shared" si="28"/>
        <v>Stress</v>
      </c>
      <c r="M175" t="s">
        <v>707</v>
      </c>
      <c r="N175" t="s">
        <v>716</v>
      </c>
      <c r="O175" t="s">
        <v>548</v>
      </c>
      <c r="P175" t="s">
        <v>716</v>
      </c>
      <c r="Q175" t="s">
        <v>412</v>
      </c>
      <c r="R175" t="s">
        <v>709</v>
      </c>
      <c r="S175" t="s">
        <v>703</v>
      </c>
      <c r="T175" t="s">
        <v>615</v>
      </c>
      <c r="U175" s="1" t="s">
        <v>754</v>
      </c>
      <c r="V175" s="1">
        <f t="shared" si="29"/>
        <v>3.492689719192352E-11</v>
      </c>
      <c r="W175" s="1"/>
      <c r="X175" s="1"/>
      <c r="Y175" s="1"/>
      <c r="Z175" s="1"/>
      <c r="AA175" s="1">
        <f>[27]Henry_etal_2016_Fig2a!B8</f>
        <v>1.4388489208633001E-9</v>
      </c>
      <c r="AB175" s="1"/>
      <c r="AC175" s="3">
        <f>[28]Henry_etal_2016_FigS2a!B8</f>
        <v>242.74193548387001</v>
      </c>
      <c r="AE175" s="2"/>
      <c r="AF175" s="2"/>
      <c r="AJ175" t="s">
        <v>203</v>
      </c>
    </row>
    <row r="176" spans="1:36" x14ac:dyDescent="0.25">
      <c r="A176" t="s">
        <v>547</v>
      </c>
      <c r="B176" t="s">
        <v>56</v>
      </c>
      <c r="C176" t="s">
        <v>57</v>
      </c>
      <c r="D176" t="s">
        <v>18</v>
      </c>
      <c r="E176" t="s">
        <v>19</v>
      </c>
      <c r="F176" t="s">
        <v>20</v>
      </c>
      <c r="G176" t="s">
        <v>20</v>
      </c>
      <c r="H176" t="s">
        <v>712</v>
      </c>
      <c r="I176">
        <v>25</v>
      </c>
      <c r="J176" t="s">
        <v>646</v>
      </c>
      <c r="K176" t="s">
        <v>51</v>
      </c>
      <c r="L176" t="str">
        <f t="shared" si="28"/>
        <v>Stress</v>
      </c>
      <c r="M176" t="s">
        <v>708</v>
      </c>
      <c r="N176" t="s">
        <v>716</v>
      </c>
      <c r="O176" t="s">
        <v>548</v>
      </c>
      <c r="P176" t="s">
        <v>716</v>
      </c>
      <c r="Q176" t="s">
        <v>412</v>
      </c>
      <c r="R176" t="s">
        <v>709</v>
      </c>
      <c r="S176" t="s">
        <v>703</v>
      </c>
      <c r="T176" t="s">
        <v>615</v>
      </c>
      <c r="U176" s="1" t="s">
        <v>754</v>
      </c>
      <c r="V176" s="1">
        <f t="shared" si="29"/>
        <v>8.2654908331398729E-11</v>
      </c>
      <c r="W176" s="1"/>
      <c r="X176" s="1"/>
      <c r="Y176" s="1"/>
      <c r="Z176" s="1"/>
      <c r="AA176" s="1">
        <f>[27]Henry_etal_2016_Fig2a!B9</f>
        <v>6.4460431654676198E-9</v>
      </c>
      <c r="AB176" s="1"/>
      <c r="AC176" s="3">
        <f>[28]Henry_etal_2016_FigS2a!B9</f>
        <v>128.22580645161199</v>
      </c>
      <c r="AE176" s="2"/>
      <c r="AF176" s="2"/>
      <c r="AJ176" t="s">
        <v>203</v>
      </c>
    </row>
    <row r="177" spans="1:36" x14ac:dyDescent="0.25">
      <c r="A177" t="s">
        <v>547</v>
      </c>
      <c r="B177" t="s">
        <v>56</v>
      </c>
      <c r="C177" t="s">
        <v>57</v>
      </c>
      <c r="D177" t="s">
        <v>18</v>
      </c>
      <c r="E177" t="s">
        <v>19</v>
      </c>
      <c r="F177" t="s">
        <v>20</v>
      </c>
      <c r="G177" t="s">
        <v>20</v>
      </c>
      <c r="H177" t="s">
        <v>712</v>
      </c>
      <c r="I177">
        <v>25</v>
      </c>
      <c r="J177" t="s">
        <v>646</v>
      </c>
      <c r="K177" t="s">
        <v>51</v>
      </c>
      <c r="L177" t="str">
        <f t="shared" si="28"/>
        <v>Stress</v>
      </c>
      <c r="M177" t="s">
        <v>705</v>
      </c>
      <c r="N177" t="s">
        <v>716</v>
      </c>
      <c r="O177" t="s">
        <v>430</v>
      </c>
      <c r="P177" t="s">
        <v>716</v>
      </c>
      <c r="Q177" t="s">
        <v>412</v>
      </c>
      <c r="R177" t="s">
        <v>709</v>
      </c>
      <c r="S177" t="s">
        <v>703</v>
      </c>
      <c r="T177" t="s">
        <v>615</v>
      </c>
      <c r="U177" s="1" t="s">
        <v>754</v>
      </c>
      <c r="V177" s="1">
        <f t="shared" si="29"/>
        <v>5.0201902993733821E-11</v>
      </c>
      <c r="W177" s="1"/>
      <c r="X177" s="1"/>
      <c r="Y177" s="1"/>
      <c r="Z177" s="1"/>
      <c r="AA177" s="1">
        <f>[27]Henry_etal_2016_Fig2a!B10</f>
        <v>3.68345323741006E-9</v>
      </c>
      <c r="AB177" s="1"/>
      <c r="AC177" s="3">
        <f>[28]Henry_etal_2016_FigS2a!B10</f>
        <v>136.29032258064501</v>
      </c>
      <c r="AE177" s="2"/>
      <c r="AF177" s="2"/>
      <c r="AJ177" t="s">
        <v>203</v>
      </c>
    </row>
    <row r="178" spans="1:36" x14ac:dyDescent="0.25">
      <c r="A178" t="s">
        <v>547</v>
      </c>
      <c r="B178" t="s">
        <v>56</v>
      </c>
      <c r="C178" t="s">
        <v>57</v>
      </c>
      <c r="D178" t="s">
        <v>18</v>
      </c>
      <c r="E178" t="s">
        <v>19</v>
      </c>
      <c r="F178" t="s">
        <v>20</v>
      </c>
      <c r="G178" t="s">
        <v>20</v>
      </c>
      <c r="H178" t="s">
        <v>712</v>
      </c>
      <c r="I178">
        <v>25</v>
      </c>
      <c r="J178" t="s">
        <v>646</v>
      </c>
      <c r="K178" t="s">
        <v>51</v>
      </c>
      <c r="L178" t="str">
        <f t="shared" si="28"/>
        <v>Stress</v>
      </c>
      <c r="M178" t="s">
        <v>706</v>
      </c>
      <c r="N178" t="s">
        <v>716</v>
      </c>
      <c r="O178" t="s">
        <v>430</v>
      </c>
      <c r="P178" t="s">
        <v>716</v>
      </c>
      <c r="Q178" t="s">
        <v>412</v>
      </c>
      <c r="R178" t="s">
        <v>709</v>
      </c>
      <c r="S178" t="s">
        <v>703</v>
      </c>
      <c r="T178" t="s">
        <v>615</v>
      </c>
      <c r="U178" s="1" t="s">
        <v>754</v>
      </c>
      <c r="V178" s="1">
        <f t="shared" si="29"/>
        <v>6.600139243443922E-11</v>
      </c>
      <c r="W178" s="1"/>
      <c r="X178" s="1"/>
      <c r="Y178" s="1"/>
      <c r="Z178" s="1"/>
      <c r="AA178" s="1">
        <f>[27]Henry_etal_2016_Fig2a!B11</f>
        <v>1.03597122302158E-8</v>
      </c>
      <c r="AB178" s="1"/>
      <c r="AC178" s="3">
        <f>[28]Henry_etal_2016_FigS2a!B11</f>
        <v>63.709677419354698</v>
      </c>
      <c r="AE178" s="2"/>
      <c r="AF178" s="2"/>
      <c r="AJ178" t="s">
        <v>203</v>
      </c>
    </row>
    <row r="179" spans="1:36" x14ac:dyDescent="0.25">
      <c r="A179" t="s">
        <v>547</v>
      </c>
      <c r="B179" t="s">
        <v>56</v>
      </c>
      <c r="C179" t="s">
        <v>57</v>
      </c>
      <c r="D179" t="s">
        <v>18</v>
      </c>
      <c r="E179" t="s">
        <v>19</v>
      </c>
      <c r="F179" t="s">
        <v>20</v>
      </c>
      <c r="G179" t="s">
        <v>20</v>
      </c>
      <c r="H179" t="s">
        <v>712</v>
      </c>
      <c r="I179">
        <v>25</v>
      </c>
      <c r="J179" t="s">
        <v>646</v>
      </c>
      <c r="K179" t="s">
        <v>51</v>
      </c>
      <c r="L179" t="str">
        <f t="shared" si="28"/>
        <v>Stress</v>
      </c>
      <c r="M179" t="s">
        <v>707</v>
      </c>
      <c r="N179" t="s">
        <v>716</v>
      </c>
      <c r="O179" t="s">
        <v>430</v>
      </c>
      <c r="P179" t="s">
        <v>716</v>
      </c>
      <c r="Q179" t="s">
        <v>412</v>
      </c>
      <c r="R179" t="s">
        <v>709</v>
      </c>
      <c r="S179" t="s">
        <v>703</v>
      </c>
      <c r="T179" t="s">
        <v>615</v>
      </c>
      <c r="U179" s="1" t="s">
        <v>754</v>
      </c>
      <c r="V179" s="1">
        <f t="shared" si="29"/>
        <v>1.2446043165467527E-10</v>
      </c>
      <c r="W179" s="1"/>
      <c r="X179" s="1"/>
      <c r="Y179" s="1"/>
      <c r="Z179" s="1"/>
      <c r="AA179" s="1">
        <f>[27]Henry_etal_2016_Fig2a!B12</f>
        <v>9.9568345323741001E-9</v>
      </c>
      <c r="AB179" s="1"/>
      <c r="AC179" s="3">
        <f>[28]Henry_etal_2016_FigS2a!B12</f>
        <v>124.99999999999901</v>
      </c>
      <c r="AE179" s="2"/>
      <c r="AF179" s="2"/>
      <c r="AJ179" t="s">
        <v>203</v>
      </c>
    </row>
    <row r="180" spans="1:36" x14ac:dyDescent="0.25">
      <c r="A180" t="s">
        <v>547</v>
      </c>
      <c r="B180" t="s">
        <v>56</v>
      </c>
      <c r="C180" t="s">
        <v>57</v>
      </c>
      <c r="D180" t="s">
        <v>18</v>
      </c>
      <c r="E180" t="s">
        <v>19</v>
      </c>
      <c r="F180" t="s">
        <v>20</v>
      </c>
      <c r="G180" t="s">
        <v>20</v>
      </c>
      <c r="H180" t="s">
        <v>712</v>
      </c>
      <c r="I180">
        <v>25</v>
      </c>
      <c r="J180" t="s">
        <v>646</v>
      </c>
      <c r="K180" t="s">
        <v>51</v>
      </c>
      <c r="L180" t="str">
        <f t="shared" si="28"/>
        <v>Stress</v>
      </c>
      <c r="M180" t="s">
        <v>708</v>
      </c>
      <c r="N180" t="s">
        <v>716</v>
      </c>
      <c r="O180" t="s">
        <v>430</v>
      </c>
      <c r="P180" t="s">
        <v>716</v>
      </c>
      <c r="Q180" t="s">
        <v>412</v>
      </c>
      <c r="R180" t="s">
        <v>709</v>
      </c>
      <c r="S180" t="s">
        <v>703</v>
      </c>
      <c r="T180" t="s">
        <v>615</v>
      </c>
      <c r="U180" s="1" t="s">
        <v>754</v>
      </c>
      <c r="V180" s="1">
        <f t="shared" si="29"/>
        <v>4.4771408679507886E-11</v>
      </c>
      <c r="W180" s="1"/>
      <c r="X180" s="1"/>
      <c r="Y180" s="1"/>
      <c r="Z180" s="1"/>
      <c r="AA180" s="1">
        <f>[27]Henry_etal_2016_Fig2a!B13</f>
        <v>6.10071942446042E-9</v>
      </c>
      <c r="AB180" s="1"/>
      <c r="AC180" s="3">
        <f>[28]Henry_etal_2016_FigS2a!B13</f>
        <v>73.387096774193495</v>
      </c>
      <c r="AE180" s="2"/>
      <c r="AF180" s="2"/>
      <c r="AJ180" t="s">
        <v>203</v>
      </c>
    </row>
    <row r="181" spans="1:36" x14ac:dyDescent="0.25">
      <c r="A181" t="s">
        <v>547</v>
      </c>
      <c r="B181" t="s">
        <v>56</v>
      </c>
      <c r="C181" t="s">
        <v>57</v>
      </c>
      <c r="D181" t="s">
        <v>18</v>
      </c>
      <c r="E181" t="s">
        <v>19</v>
      </c>
      <c r="F181" t="s">
        <v>20</v>
      </c>
      <c r="G181" t="s">
        <v>20</v>
      </c>
      <c r="H181" t="s">
        <v>712</v>
      </c>
      <c r="I181">
        <v>25</v>
      </c>
      <c r="J181" t="s">
        <v>646</v>
      </c>
      <c r="K181" t="s">
        <v>51</v>
      </c>
      <c r="L181" t="str">
        <f t="shared" si="28"/>
        <v>Stress</v>
      </c>
      <c r="M181" t="s">
        <v>705</v>
      </c>
      <c r="N181" t="s">
        <v>716</v>
      </c>
      <c r="O181" t="s">
        <v>549</v>
      </c>
      <c r="P181" t="s">
        <v>716</v>
      </c>
      <c r="Q181" t="s">
        <v>412</v>
      </c>
      <c r="R181" t="s">
        <v>709</v>
      </c>
      <c r="S181" t="s">
        <v>703</v>
      </c>
      <c r="T181" t="s">
        <v>615</v>
      </c>
      <c r="U181" s="1" t="s">
        <v>754</v>
      </c>
      <c r="V181" s="1">
        <f t="shared" si="29"/>
        <v>9.4448828034346584E-11</v>
      </c>
      <c r="W181" s="1"/>
      <c r="X181" s="1"/>
      <c r="Y181" s="1"/>
      <c r="Z181" s="1"/>
      <c r="AA181" s="1">
        <f>[27]Henry_etal_2016_Fig2a!B14</f>
        <v>9.8417266187050305E-9</v>
      </c>
      <c r="AB181" s="1"/>
      <c r="AC181" s="3">
        <f>[28]Henry_etal_2016_FigS2a!B14</f>
        <v>95.967741935483801</v>
      </c>
      <c r="AE181" s="2"/>
      <c r="AF181" s="2"/>
      <c r="AJ181" t="s">
        <v>203</v>
      </c>
    </row>
    <row r="182" spans="1:36" x14ac:dyDescent="0.25">
      <c r="A182" t="s">
        <v>547</v>
      </c>
      <c r="B182" t="s">
        <v>56</v>
      </c>
      <c r="C182" t="s">
        <v>57</v>
      </c>
      <c r="D182" t="s">
        <v>18</v>
      </c>
      <c r="E182" t="s">
        <v>19</v>
      </c>
      <c r="F182" t="s">
        <v>20</v>
      </c>
      <c r="G182" t="s">
        <v>20</v>
      </c>
      <c r="H182" t="s">
        <v>712</v>
      </c>
      <c r="I182">
        <v>25</v>
      </c>
      <c r="J182" t="s">
        <v>646</v>
      </c>
      <c r="K182" t="s">
        <v>51</v>
      </c>
      <c r="L182" t="str">
        <f t="shared" si="28"/>
        <v>Stress</v>
      </c>
      <c r="M182" t="s">
        <v>706</v>
      </c>
      <c r="N182" t="s">
        <v>716</v>
      </c>
      <c r="O182" t="s">
        <v>549</v>
      </c>
      <c r="P182" t="s">
        <v>716</v>
      </c>
      <c r="Q182" t="s">
        <v>412</v>
      </c>
      <c r="R182" t="s">
        <v>709</v>
      </c>
      <c r="S182" t="s">
        <v>703</v>
      </c>
      <c r="T182" t="s">
        <v>615</v>
      </c>
      <c r="U182" s="1" t="s">
        <v>754</v>
      </c>
      <c r="V182" s="1">
        <f t="shared" si="29"/>
        <v>3.5938732884659912E-11</v>
      </c>
      <c r="W182" s="1"/>
      <c r="X182" s="1"/>
      <c r="Y182" s="1"/>
      <c r="Z182" s="1"/>
      <c r="AA182" s="1">
        <f>[27]Henry_etal_2016_Fig2a!B15</f>
        <v>5.1223021582733702E-9</v>
      </c>
      <c r="AB182" s="1"/>
      <c r="AC182" s="3">
        <f>[28]Henry_etal_2016_FigS2a!B15</f>
        <v>70.161290322580598</v>
      </c>
      <c r="AE182" s="2"/>
      <c r="AF182" s="2"/>
      <c r="AJ182" t="s">
        <v>203</v>
      </c>
    </row>
    <row r="183" spans="1:36" x14ac:dyDescent="0.25">
      <c r="A183" t="s">
        <v>547</v>
      </c>
      <c r="B183" t="s">
        <v>56</v>
      </c>
      <c r="C183" t="s">
        <v>57</v>
      </c>
      <c r="D183" t="s">
        <v>18</v>
      </c>
      <c r="E183" t="s">
        <v>19</v>
      </c>
      <c r="F183" t="s">
        <v>20</v>
      </c>
      <c r="G183" t="s">
        <v>20</v>
      </c>
      <c r="H183" t="s">
        <v>712</v>
      </c>
      <c r="I183">
        <v>25</v>
      </c>
      <c r="J183" t="s">
        <v>646</v>
      </c>
      <c r="K183" t="s">
        <v>51</v>
      </c>
      <c r="L183" t="str">
        <f t="shared" si="28"/>
        <v>Stress</v>
      </c>
      <c r="M183" t="s">
        <v>707</v>
      </c>
      <c r="N183" t="s">
        <v>716</v>
      </c>
      <c r="O183" t="s">
        <v>549</v>
      </c>
      <c r="P183" t="s">
        <v>716</v>
      </c>
      <c r="Q183" t="s">
        <v>412</v>
      </c>
      <c r="R183" t="s">
        <v>709</v>
      </c>
      <c r="S183" t="s">
        <v>703</v>
      </c>
      <c r="T183" t="s">
        <v>615</v>
      </c>
      <c r="U183" s="1" t="s">
        <v>754</v>
      </c>
      <c r="V183" s="1">
        <f t="shared" si="29"/>
        <v>7.6871663959155133E-11</v>
      </c>
      <c r="W183" s="1"/>
      <c r="X183" s="1"/>
      <c r="Y183" s="1"/>
      <c r="Z183" s="1"/>
      <c r="AA183" s="1">
        <f>[27]Henry_etal_2016_Fig2a!B16</f>
        <v>5.6402877697841703E-9</v>
      </c>
      <c r="AB183" s="1"/>
      <c r="AC183" s="3">
        <f>[28]Henry_etal_2016_FigS2a!B16</f>
        <v>136.29032258064501</v>
      </c>
      <c r="AE183" s="2"/>
      <c r="AF183" s="2"/>
      <c r="AJ183" t="s">
        <v>203</v>
      </c>
    </row>
    <row r="184" spans="1:36" x14ac:dyDescent="0.25">
      <c r="A184" t="s">
        <v>547</v>
      </c>
      <c r="B184" t="s">
        <v>56</v>
      </c>
      <c r="C184" t="s">
        <v>57</v>
      </c>
      <c r="D184" t="s">
        <v>18</v>
      </c>
      <c r="E184" t="s">
        <v>19</v>
      </c>
      <c r="F184" t="s">
        <v>20</v>
      </c>
      <c r="G184" t="s">
        <v>20</v>
      </c>
      <c r="H184" t="s">
        <v>712</v>
      </c>
      <c r="I184">
        <v>25</v>
      </c>
      <c r="J184" t="s">
        <v>646</v>
      </c>
      <c r="K184" t="s">
        <v>51</v>
      </c>
      <c r="L184" t="str">
        <f t="shared" si="28"/>
        <v>Stress</v>
      </c>
      <c r="M184" t="s">
        <v>708</v>
      </c>
      <c r="N184" t="s">
        <v>716</v>
      </c>
      <c r="O184" t="s">
        <v>549</v>
      </c>
      <c r="P184" t="s">
        <v>716</v>
      </c>
      <c r="Q184" t="s">
        <v>412</v>
      </c>
      <c r="R184" t="s">
        <v>709</v>
      </c>
      <c r="S184" t="s">
        <v>703</v>
      </c>
      <c r="T184" t="s">
        <v>615</v>
      </c>
      <c r="U184" s="1" t="s">
        <v>754</v>
      </c>
      <c r="V184" s="1">
        <f t="shared" si="29"/>
        <v>6.8006498027384409E-11</v>
      </c>
      <c r="W184" s="1"/>
      <c r="X184" s="1"/>
      <c r="Y184" s="1"/>
      <c r="Z184" s="1"/>
      <c r="AA184" s="1">
        <f>[27]Henry_etal_2016_Fig2a!B17</f>
        <v>8.51798561151078E-9</v>
      </c>
      <c r="AB184" s="1"/>
      <c r="AC184" s="3">
        <f>[28]Henry_etal_2016_FigS2a!B17</f>
        <v>79.838709677419303</v>
      </c>
      <c r="AE184" s="2"/>
      <c r="AF184" s="2"/>
      <c r="AJ184" t="s">
        <v>203</v>
      </c>
    </row>
    <row r="185" spans="1:36" x14ac:dyDescent="0.25">
      <c r="A185" t="s">
        <v>58</v>
      </c>
      <c r="B185" t="s">
        <v>56</v>
      </c>
      <c r="C185" t="s">
        <v>57</v>
      </c>
      <c r="D185" t="s">
        <v>18</v>
      </c>
      <c r="E185" t="s">
        <v>19</v>
      </c>
      <c r="F185" t="s">
        <v>20</v>
      </c>
      <c r="G185" t="s">
        <v>20</v>
      </c>
      <c r="H185" t="s">
        <v>712</v>
      </c>
      <c r="I185">
        <v>29</v>
      </c>
      <c r="J185" t="s">
        <v>647</v>
      </c>
      <c r="K185" t="s">
        <v>39</v>
      </c>
      <c r="L185" t="str">
        <f t="shared" ref="L185:L216" si="30">+IF(K185 = "Control", "Control", "Stress")</f>
        <v>Control</v>
      </c>
      <c r="M185" t="s">
        <v>39</v>
      </c>
      <c r="N185" t="str">
        <f t="shared" ref="N185:N208" si="31">+IF(M185="Control","Control","Stress")</f>
        <v>Control</v>
      </c>
      <c r="O185" t="s">
        <v>426</v>
      </c>
      <c r="P185" t="s">
        <v>716</v>
      </c>
      <c r="Q185" t="s">
        <v>412</v>
      </c>
      <c r="R185" t="s">
        <v>709</v>
      </c>
      <c r="S185" t="s">
        <v>703</v>
      </c>
      <c r="T185" t="s">
        <v>615</v>
      </c>
      <c r="U185" s="1" t="s">
        <v>754</v>
      </c>
      <c r="V185" s="1">
        <f t="shared" si="29"/>
        <v>3.2725000000000004E-8</v>
      </c>
      <c r="X185" s="1"/>
      <c r="Y185" s="1"/>
      <c r="Z185" s="1"/>
      <c r="AA185" s="1">
        <v>5.9500000000000003E-8</v>
      </c>
      <c r="AB185" s="2"/>
      <c r="AC185">
        <v>5500</v>
      </c>
      <c r="AD185">
        <v>9670</v>
      </c>
      <c r="AE185" s="2">
        <v>1.9</v>
      </c>
      <c r="AF185" s="2"/>
      <c r="AG185" s="2">
        <v>1.0589999999999999</v>
      </c>
      <c r="AI185" s="3"/>
      <c r="AJ185" t="s">
        <v>203</v>
      </c>
    </row>
    <row r="186" spans="1:36" x14ac:dyDescent="0.25">
      <c r="A186" t="s">
        <v>58</v>
      </c>
      <c r="B186" t="s">
        <v>56</v>
      </c>
      <c r="C186" t="s">
        <v>57</v>
      </c>
      <c r="D186" t="s">
        <v>18</v>
      </c>
      <c r="E186" t="s">
        <v>19</v>
      </c>
      <c r="F186" t="s">
        <v>20</v>
      </c>
      <c r="G186" t="s">
        <v>20</v>
      </c>
      <c r="H186" t="s">
        <v>712</v>
      </c>
      <c r="I186">
        <v>29</v>
      </c>
      <c r="J186" t="s">
        <v>647</v>
      </c>
      <c r="K186" t="s">
        <v>51</v>
      </c>
      <c r="L186" t="str">
        <f t="shared" si="30"/>
        <v>Stress</v>
      </c>
      <c r="M186" t="s">
        <v>39</v>
      </c>
      <c r="N186" t="str">
        <f t="shared" si="31"/>
        <v>Control</v>
      </c>
      <c r="O186" t="s">
        <v>426</v>
      </c>
      <c r="P186" t="s">
        <v>716</v>
      </c>
      <c r="Q186" t="s">
        <v>412</v>
      </c>
      <c r="R186" t="s">
        <v>709</v>
      </c>
      <c r="S186" t="s">
        <v>703</v>
      </c>
      <c r="T186" t="s">
        <v>615</v>
      </c>
      <c r="U186" s="1" t="s">
        <v>754</v>
      </c>
      <c r="V186" s="1">
        <f t="shared" si="29"/>
        <v>6.6699999999999979E-9</v>
      </c>
      <c r="X186" s="1"/>
      <c r="Y186" s="1"/>
      <c r="Z186" s="1"/>
      <c r="AA186" s="1">
        <v>2.8999999999999998E-8</v>
      </c>
      <c r="AB186" s="2"/>
      <c r="AC186">
        <v>2299.9999999999995</v>
      </c>
      <c r="AD186">
        <v>4030</v>
      </c>
      <c r="AE186" s="2">
        <v>0.3</v>
      </c>
      <c r="AF186" s="2"/>
      <c r="AG186" s="2">
        <v>0.60799999999999998</v>
      </c>
      <c r="AI186" s="3"/>
      <c r="AJ186" t="s">
        <v>203</v>
      </c>
    </row>
    <row r="187" spans="1:36" x14ac:dyDescent="0.25">
      <c r="A187" t="s">
        <v>58</v>
      </c>
      <c r="B187" t="s">
        <v>56</v>
      </c>
      <c r="C187" t="s">
        <v>57</v>
      </c>
      <c r="D187" t="s">
        <v>18</v>
      </c>
      <c r="E187" t="s">
        <v>19</v>
      </c>
      <c r="F187" t="s">
        <v>20</v>
      </c>
      <c r="G187" t="s">
        <v>20</v>
      </c>
      <c r="H187" t="s">
        <v>712</v>
      </c>
      <c r="I187">
        <v>29</v>
      </c>
      <c r="J187" t="s">
        <v>647</v>
      </c>
      <c r="K187" t="s">
        <v>39</v>
      </c>
      <c r="L187" t="str">
        <f t="shared" si="30"/>
        <v>Control</v>
      </c>
      <c r="M187" t="s">
        <v>711</v>
      </c>
      <c r="N187" t="str">
        <f t="shared" si="31"/>
        <v>Stress</v>
      </c>
      <c r="O187" t="s">
        <v>426</v>
      </c>
      <c r="P187" t="s">
        <v>716</v>
      </c>
      <c r="Q187" t="s">
        <v>412</v>
      </c>
      <c r="R187" t="s">
        <v>709</v>
      </c>
      <c r="S187" t="s">
        <v>703</v>
      </c>
      <c r="T187" t="s">
        <v>615</v>
      </c>
      <c r="U187" s="1" t="s">
        <v>754</v>
      </c>
      <c r="V187" s="1">
        <f t="shared" si="29"/>
        <v>8.1949999999999999E-9</v>
      </c>
      <c r="X187" s="1"/>
      <c r="Y187" s="1"/>
      <c r="Z187" s="1"/>
      <c r="AA187" s="1">
        <v>1.4899999999999999E-8</v>
      </c>
      <c r="AB187" s="2"/>
      <c r="AC187">
        <v>5500</v>
      </c>
      <c r="AD187">
        <f>+AD185</f>
        <v>9670</v>
      </c>
      <c r="AE187" s="2">
        <f>+AE185</f>
        <v>1.9</v>
      </c>
      <c r="AF187" s="2"/>
      <c r="AG187" s="2">
        <v>1.0589999999999999</v>
      </c>
      <c r="AI187" s="3"/>
      <c r="AJ187" t="s">
        <v>203</v>
      </c>
    </row>
    <row r="188" spans="1:36" x14ac:dyDescent="0.25">
      <c r="A188" t="s">
        <v>58</v>
      </c>
      <c r="B188" t="s">
        <v>56</v>
      </c>
      <c r="C188" t="s">
        <v>57</v>
      </c>
      <c r="D188" t="s">
        <v>18</v>
      </c>
      <c r="E188" t="s">
        <v>19</v>
      </c>
      <c r="F188" t="s">
        <v>20</v>
      </c>
      <c r="G188" t="s">
        <v>20</v>
      </c>
      <c r="H188" t="s">
        <v>712</v>
      </c>
      <c r="I188">
        <v>29</v>
      </c>
      <c r="J188" t="s">
        <v>647</v>
      </c>
      <c r="K188" t="s">
        <v>51</v>
      </c>
      <c r="L188" t="str">
        <f t="shared" si="30"/>
        <v>Stress</v>
      </c>
      <c r="M188" t="s">
        <v>711</v>
      </c>
      <c r="N188" t="str">
        <f t="shared" si="31"/>
        <v>Stress</v>
      </c>
      <c r="O188" t="s">
        <v>426</v>
      </c>
      <c r="P188" t="s">
        <v>716</v>
      </c>
      <c r="Q188" t="s">
        <v>412</v>
      </c>
      <c r="R188" t="s">
        <v>709</v>
      </c>
      <c r="S188" t="s">
        <v>703</v>
      </c>
      <c r="T188" t="s">
        <v>615</v>
      </c>
      <c r="U188" s="1" t="s">
        <v>754</v>
      </c>
      <c r="V188" s="1">
        <f t="shared" si="29"/>
        <v>2.6219999999999994E-9</v>
      </c>
      <c r="X188" s="1"/>
      <c r="Y188" s="1"/>
      <c r="Z188" s="1"/>
      <c r="AA188" s="1">
        <v>1.14E-8</v>
      </c>
      <c r="AB188" s="2"/>
      <c r="AC188">
        <v>2299.9999999999995</v>
      </c>
      <c r="AD188">
        <f>+AD186</f>
        <v>4030</v>
      </c>
      <c r="AE188" s="2">
        <f>+AE186</f>
        <v>0.3</v>
      </c>
      <c r="AF188" s="2"/>
      <c r="AG188" s="2">
        <v>0.60799999999999998</v>
      </c>
      <c r="AI188" s="3"/>
      <c r="AJ188" t="s">
        <v>203</v>
      </c>
    </row>
    <row r="189" spans="1:36" x14ac:dyDescent="0.25">
      <c r="A189" t="s">
        <v>58</v>
      </c>
      <c r="B189" t="s">
        <v>56</v>
      </c>
      <c r="C189" t="s">
        <v>57</v>
      </c>
      <c r="D189" t="s">
        <v>18</v>
      </c>
      <c r="E189" t="s">
        <v>19</v>
      </c>
      <c r="F189" t="s">
        <v>20</v>
      </c>
      <c r="G189" t="s">
        <v>20</v>
      </c>
      <c r="H189" t="s">
        <v>712</v>
      </c>
      <c r="I189">
        <v>29</v>
      </c>
      <c r="J189" t="s">
        <v>647</v>
      </c>
      <c r="K189" t="s">
        <v>39</v>
      </c>
      <c r="L189" t="str">
        <f t="shared" si="30"/>
        <v>Control</v>
      </c>
      <c r="M189" t="s">
        <v>39</v>
      </c>
      <c r="N189" t="str">
        <f t="shared" si="31"/>
        <v>Control</v>
      </c>
      <c r="O189" t="s">
        <v>427</v>
      </c>
      <c r="P189" t="s">
        <v>716</v>
      </c>
      <c r="Q189" t="s">
        <v>412</v>
      </c>
      <c r="R189" t="s">
        <v>709</v>
      </c>
      <c r="S189" t="s">
        <v>703</v>
      </c>
      <c r="T189" t="s">
        <v>615</v>
      </c>
      <c r="U189" s="1" t="s">
        <v>754</v>
      </c>
      <c r="V189" s="1">
        <f t="shared" si="29"/>
        <v>2.6150000000000003E-8</v>
      </c>
      <c r="X189" s="1"/>
      <c r="Y189" s="1"/>
      <c r="Z189" s="1"/>
      <c r="AA189" s="1">
        <v>5.2300000000000005E-8</v>
      </c>
      <c r="AB189" s="2"/>
      <c r="AC189">
        <v>5000</v>
      </c>
      <c r="AD189">
        <v>8540</v>
      </c>
      <c r="AE189" s="2">
        <v>1.7</v>
      </c>
      <c r="AF189" s="2"/>
      <c r="AG189" s="2">
        <v>0.95299999999999996</v>
      </c>
      <c r="AI189" s="3"/>
      <c r="AJ189" t="s">
        <v>203</v>
      </c>
    </row>
    <row r="190" spans="1:36" x14ac:dyDescent="0.25">
      <c r="A190" t="s">
        <v>58</v>
      </c>
      <c r="B190" t="s">
        <v>56</v>
      </c>
      <c r="C190" t="s">
        <v>57</v>
      </c>
      <c r="D190" t="s">
        <v>18</v>
      </c>
      <c r="E190" t="s">
        <v>19</v>
      </c>
      <c r="F190" t="s">
        <v>20</v>
      </c>
      <c r="G190" t="s">
        <v>20</v>
      </c>
      <c r="H190" t="s">
        <v>712</v>
      </c>
      <c r="I190">
        <v>29</v>
      </c>
      <c r="J190" t="s">
        <v>647</v>
      </c>
      <c r="K190" t="s">
        <v>51</v>
      </c>
      <c r="L190" t="str">
        <f t="shared" si="30"/>
        <v>Stress</v>
      </c>
      <c r="M190" t="s">
        <v>39</v>
      </c>
      <c r="N190" t="str">
        <f t="shared" si="31"/>
        <v>Control</v>
      </c>
      <c r="O190" t="s">
        <v>427</v>
      </c>
      <c r="P190" t="s">
        <v>716</v>
      </c>
      <c r="Q190" t="s">
        <v>412</v>
      </c>
      <c r="R190" t="s">
        <v>709</v>
      </c>
      <c r="S190" t="s">
        <v>703</v>
      </c>
      <c r="T190" t="s">
        <v>615</v>
      </c>
      <c r="U190" s="1" t="s">
        <v>754</v>
      </c>
      <c r="V190" s="1">
        <f t="shared" si="29"/>
        <v>5.76E-9</v>
      </c>
      <c r="X190" s="1"/>
      <c r="Y190" s="1"/>
      <c r="Z190" s="1"/>
      <c r="AA190" s="1">
        <v>2.4E-8</v>
      </c>
      <c r="AB190" s="2"/>
      <c r="AC190">
        <v>2400</v>
      </c>
      <c r="AD190">
        <v>3929.9999999999995</v>
      </c>
      <c r="AE190" s="2">
        <v>0.5</v>
      </c>
      <c r="AF190" s="2"/>
      <c r="AG190" s="2">
        <v>0.84799999999999998</v>
      </c>
      <c r="AI190" s="3"/>
      <c r="AJ190" t="s">
        <v>203</v>
      </c>
    </row>
    <row r="191" spans="1:36" x14ac:dyDescent="0.25">
      <c r="A191" t="s">
        <v>58</v>
      </c>
      <c r="B191" t="s">
        <v>56</v>
      </c>
      <c r="C191" t="s">
        <v>57</v>
      </c>
      <c r="D191" t="s">
        <v>18</v>
      </c>
      <c r="E191" t="s">
        <v>19</v>
      </c>
      <c r="F191" t="s">
        <v>20</v>
      </c>
      <c r="G191" t="s">
        <v>20</v>
      </c>
      <c r="H191" t="s">
        <v>712</v>
      </c>
      <c r="I191">
        <v>29</v>
      </c>
      <c r="J191" t="s">
        <v>647</v>
      </c>
      <c r="K191" t="s">
        <v>39</v>
      </c>
      <c r="L191" t="str">
        <f t="shared" si="30"/>
        <v>Control</v>
      </c>
      <c r="M191" t="s">
        <v>711</v>
      </c>
      <c r="N191" t="str">
        <f t="shared" si="31"/>
        <v>Stress</v>
      </c>
      <c r="O191" t="s">
        <v>427</v>
      </c>
      <c r="P191" t="s">
        <v>716</v>
      </c>
      <c r="Q191" t="s">
        <v>412</v>
      </c>
      <c r="R191" t="s">
        <v>709</v>
      </c>
      <c r="S191" t="s">
        <v>703</v>
      </c>
      <c r="T191" t="s">
        <v>615</v>
      </c>
      <c r="U191" s="1" t="s">
        <v>754</v>
      </c>
      <c r="V191" s="1">
        <f t="shared" si="29"/>
        <v>1.2849999999999998E-8</v>
      </c>
      <c r="X191" s="1"/>
      <c r="Y191" s="1"/>
      <c r="Z191" s="1"/>
      <c r="AA191" s="1">
        <v>2.5699999999999999E-8</v>
      </c>
      <c r="AB191" s="2"/>
      <c r="AC191">
        <v>5000</v>
      </c>
      <c r="AD191">
        <f>+AD189</f>
        <v>8540</v>
      </c>
      <c r="AE191" s="2">
        <f>+AE189</f>
        <v>1.7</v>
      </c>
      <c r="AF191" s="2"/>
      <c r="AG191" s="2">
        <v>0.95299999999999996</v>
      </c>
      <c r="AI191" s="3"/>
      <c r="AJ191" t="s">
        <v>203</v>
      </c>
    </row>
    <row r="192" spans="1:36" x14ac:dyDescent="0.25">
      <c r="A192" t="s">
        <v>58</v>
      </c>
      <c r="B192" t="s">
        <v>56</v>
      </c>
      <c r="C192" t="s">
        <v>57</v>
      </c>
      <c r="D192" t="s">
        <v>18</v>
      </c>
      <c r="E192" t="s">
        <v>19</v>
      </c>
      <c r="F192" t="s">
        <v>20</v>
      </c>
      <c r="G192" t="s">
        <v>20</v>
      </c>
      <c r="H192" t="s">
        <v>712</v>
      </c>
      <c r="I192">
        <v>29</v>
      </c>
      <c r="J192" t="s">
        <v>647</v>
      </c>
      <c r="K192" t="s">
        <v>51</v>
      </c>
      <c r="L192" t="str">
        <f t="shared" si="30"/>
        <v>Stress</v>
      </c>
      <c r="M192" t="s">
        <v>711</v>
      </c>
      <c r="N192" t="str">
        <f t="shared" si="31"/>
        <v>Stress</v>
      </c>
      <c r="O192" t="s">
        <v>427</v>
      </c>
      <c r="P192" t="s">
        <v>716</v>
      </c>
      <c r="Q192" t="s">
        <v>412</v>
      </c>
      <c r="R192" t="s">
        <v>709</v>
      </c>
      <c r="S192" t="s">
        <v>703</v>
      </c>
      <c r="T192" t="s">
        <v>615</v>
      </c>
      <c r="U192" s="1" t="s">
        <v>754</v>
      </c>
      <c r="V192" s="1">
        <f t="shared" si="29"/>
        <v>2.1600000000000004E-9</v>
      </c>
      <c r="X192" s="1"/>
      <c r="Y192" s="1"/>
      <c r="Z192" s="1"/>
      <c r="AA192" s="1">
        <v>9.0000000000000012E-9</v>
      </c>
      <c r="AB192" s="2"/>
      <c r="AC192">
        <v>2400</v>
      </c>
      <c r="AD192">
        <f>+AD190</f>
        <v>3929.9999999999995</v>
      </c>
      <c r="AE192" s="2">
        <f>+AE190</f>
        <v>0.5</v>
      </c>
      <c r="AF192" s="2"/>
      <c r="AG192" s="2">
        <v>0.84799999999999998</v>
      </c>
      <c r="AI192" s="3"/>
      <c r="AJ192" t="s">
        <v>203</v>
      </c>
    </row>
    <row r="193" spans="1:36" x14ac:dyDescent="0.25">
      <c r="A193" t="s">
        <v>58</v>
      </c>
      <c r="B193" t="s">
        <v>56</v>
      </c>
      <c r="C193" t="s">
        <v>57</v>
      </c>
      <c r="D193" t="s">
        <v>18</v>
      </c>
      <c r="E193" t="s">
        <v>19</v>
      </c>
      <c r="F193" t="s">
        <v>20</v>
      </c>
      <c r="G193" t="s">
        <v>20</v>
      </c>
      <c r="H193" t="s">
        <v>712</v>
      </c>
      <c r="I193">
        <v>29</v>
      </c>
      <c r="J193" t="s">
        <v>647</v>
      </c>
      <c r="K193" t="s">
        <v>39</v>
      </c>
      <c r="L193" t="str">
        <f t="shared" si="30"/>
        <v>Control</v>
      </c>
      <c r="M193" t="s">
        <v>39</v>
      </c>
      <c r="N193" t="str">
        <f t="shared" si="31"/>
        <v>Control</v>
      </c>
      <c r="O193" t="s">
        <v>428</v>
      </c>
      <c r="P193" t="s">
        <v>716</v>
      </c>
      <c r="Q193" t="s">
        <v>412</v>
      </c>
      <c r="R193" t="s">
        <v>709</v>
      </c>
      <c r="S193" t="s">
        <v>703</v>
      </c>
      <c r="T193" t="s">
        <v>615</v>
      </c>
      <c r="U193" s="1" t="s">
        <v>754</v>
      </c>
      <c r="V193" s="1">
        <f t="shared" si="29"/>
        <v>4.1004000000000001E-8</v>
      </c>
      <c r="X193" s="1"/>
      <c r="Y193" s="1"/>
      <c r="Z193" s="1"/>
      <c r="AA193" s="1">
        <v>6.0300000000000004E-8</v>
      </c>
      <c r="AB193" s="2"/>
      <c r="AC193">
        <v>6800</v>
      </c>
      <c r="AD193">
        <v>12660</v>
      </c>
      <c r="AE193" s="2">
        <v>2.2999999999999998</v>
      </c>
      <c r="AF193" s="2"/>
      <c r="AG193" s="2">
        <v>0.99299999999999999</v>
      </c>
      <c r="AI193" s="3"/>
      <c r="AJ193" t="s">
        <v>203</v>
      </c>
    </row>
    <row r="194" spans="1:36" x14ac:dyDescent="0.25">
      <c r="A194" t="s">
        <v>58</v>
      </c>
      <c r="B194" t="s">
        <v>56</v>
      </c>
      <c r="C194" t="s">
        <v>57</v>
      </c>
      <c r="D194" t="s">
        <v>18</v>
      </c>
      <c r="E194" t="s">
        <v>19</v>
      </c>
      <c r="F194" t="s">
        <v>20</v>
      </c>
      <c r="G194" t="s">
        <v>20</v>
      </c>
      <c r="H194" t="s">
        <v>712</v>
      </c>
      <c r="I194">
        <v>29</v>
      </c>
      <c r="J194" t="s">
        <v>647</v>
      </c>
      <c r="K194" t="s">
        <v>51</v>
      </c>
      <c r="L194" t="str">
        <f t="shared" si="30"/>
        <v>Stress</v>
      </c>
      <c r="M194" t="s">
        <v>39</v>
      </c>
      <c r="N194" t="str">
        <f t="shared" si="31"/>
        <v>Control</v>
      </c>
      <c r="O194" t="s">
        <v>428</v>
      </c>
      <c r="P194" t="s">
        <v>716</v>
      </c>
      <c r="Q194" t="s">
        <v>412</v>
      </c>
      <c r="R194" t="s">
        <v>709</v>
      </c>
      <c r="S194" t="s">
        <v>703</v>
      </c>
      <c r="T194" t="s">
        <v>615</v>
      </c>
      <c r="U194" s="1" t="s">
        <v>754</v>
      </c>
      <c r="V194" s="1">
        <f t="shared" si="29"/>
        <v>8.1270000000000006E-9</v>
      </c>
      <c r="X194" s="1"/>
      <c r="Y194" s="1"/>
      <c r="Z194" s="1"/>
      <c r="AA194" s="1">
        <v>3.0099999999999998E-8</v>
      </c>
      <c r="AB194" s="2"/>
      <c r="AC194">
        <v>2700</v>
      </c>
      <c r="AD194">
        <v>5230</v>
      </c>
      <c r="AE194" s="2">
        <v>0.6</v>
      </c>
      <c r="AF194" s="2"/>
      <c r="AG194" s="2">
        <v>0.69099999999999995</v>
      </c>
      <c r="AI194" s="3"/>
      <c r="AJ194" t="s">
        <v>203</v>
      </c>
    </row>
    <row r="195" spans="1:36" x14ac:dyDescent="0.25">
      <c r="A195" t="s">
        <v>58</v>
      </c>
      <c r="B195" t="s">
        <v>56</v>
      </c>
      <c r="C195" t="s">
        <v>57</v>
      </c>
      <c r="D195" t="s">
        <v>18</v>
      </c>
      <c r="E195" t="s">
        <v>19</v>
      </c>
      <c r="F195" t="s">
        <v>20</v>
      </c>
      <c r="G195" t="s">
        <v>20</v>
      </c>
      <c r="H195" t="s">
        <v>712</v>
      </c>
      <c r="I195">
        <v>29</v>
      </c>
      <c r="J195" t="s">
        <v>647</v>
      </c>
      <c r="K195" t="s">
        <v>39</v>
      </c>
      <c r="L195" t="str">
        <f t="shared" si="30"/>
        <v>Control</v>
      </c>
      <c r="M195" t="s">
        <v>711</v>
      </c>
      <c r="N195" t="str">
        <f t="shared" si="31"/>
        <v>Stress</v>
      </c>
      <c r="O195" t="s">
        <v>428</v>
      </c>
      <c r="P195" t="s">
        <v>716</v>
      </c>
      <c r="Q195" t="s">
        <v>412</v>
      </c>
      <c r="R195" t="s">
        <v>709</v>
      </c>
      <c r="S195" t="s">
        <v>703</v>
      </c>
      <c r="T195" t="s">
        <v>615</v>
      </c>
      <c r="U195" s="1" t="s">
        <v>754</v>
      </c>
      <c r="V195" s="1">
        <f t="shared" si="29"/>
        <v>1.8291999999999999E-8</v>
      </c>
      <c r="X195" s="1"/>
      <c r="Y195" s="1"/>
      <c r="Z195" s="1"/>
      <c r="AA195" s="1">
        <v>2.6899999999999999E-8</v>
      </c>
      <c r="AB195" s="2"/>
      <c r="AC195">
        <v>6800</v>
      </c>
      <c r="AD195">
        <f>+AD193</f>
        <v>12660</v>
      </c>
      <c r="AE195" s="2">
        <f>+AE193</f>
        <v>2.2999999999999998</v>
      </c>
      <c r="AF195" s="2"/>
      <c r="AG195" s="2">
        <v>0.99299999999999999</v>
      </c>
      <c r="AI195" s="3"/>
      <c r="AJ195" t="s">
        <v>203</v>
      </c>
    </row>
    <row r="196" spans="1:36" x14ac:dyDescent="0.25">
      <c r="A196" t="s">
        <v>58</v>
      </c>
      <c r="B196" t="s">
        <v>56</v>
      </c>
      <c r="C196" t="s">
        <v>57</v>
      </c>
      <c r="D196" t="s">
        <v>18</v>
      </c>
      <c r="E196" t="s">
        <v>19</v>
      </c>
      <c r="F196" t="s">
        <v>20</v>
      </c>
      <c r="G196" t="s">
        <v>20</v>
      </c>
      <c r="H196" t="s">
        <v>712</v>
      </c>
      <c r="I196">
        <v>29</v>
      </c>
      <c r="J196" t="s">
        <v>647</v>
      </c>
      <c r="K196" t="s">
        <v>51</v>
      </c>
      <c r="L196" t="str">
        <f t="shared" si="30"/>
        <v>Stress</v>
      </c>
      <c r="M196" t="s">
        <v>711</v>
      </c>
      <c r="N196" t="str">
        <f t="shared" si="31"/>
        <v>Stress</v>
      </c>
      <c r="O196" t="s">
        <v>428</v>
      </c>
      <c r="P196" t="s">
        <v>716</v>
      </c>
      <c r="Q196" t="s">
        <v>412</v>
      </c>
      <c r="R196" t="s">
        <v>709</v>
      </c>
      <c r="S196" t="s">
        <v>703</v>
      </c>
      <c r="T196" t="s">
        <v>615</v>
      </c>
      <c r="U196" s="1" t="s">
        <v>754</v>
      </c>
      <c r="V196" s="1">
        <f t="shared" si="29"/>
        <v>1.1880000000000002E-9</v>
      </c>
      <c r="X196" s="1"/>
      <c r="Y196" s="1"/>
      <c r="Z196" s="1"/>
      <c r="AA196" s="1">
        <v>4.4000000000000005E-9</v>
      </c>
      <c r="AB196" s="2"/>
      <c r="AC196">
        <v>2700</v>
      </c>
      <c r="AD196">
        <f>+AD194</f>
        <v>5230</v>
      </c>
      <c r="AE196" s="2">
        <f>+AE194</f>
        <v>0.6</v>
      </c>
      <c r="AF196" s="2"/>
      <c r="AG196" s="2">
        <v>0.69099999999999995</v>
      </c>
      <c r="AI196" s="3"/>
      <c r="AJ196" t="s">
        <v>203</v>
      </c>
    </row>
    <row r="197" spans="1:36" x14ac:dyDescent="0.25">
      <c r="A197" t="s">
        <v>58</v>
      </c>
      <c r="B197" t="s">
        <v>56</v>
      </c>
      <c r="C197" t="s">
        <v>57</v>
      </c>
      <c r="D197" t="s">
        <v>18</v>
      </c>
      <c r="E197" t="s">
        <v>19</v>
      </c>
      <c r="F197" t="s">
        <v>20</v>
      </c>
      <c r="G197" t="s">
        <v>20</v>
      </c>
      <c r="H197" t="s">
        <v>712</v>
      </c>
      <c r="I197">
        <v>29</v>
      </c>
      <c r="J197" t="s">
        <v>647</v>
      </c>
      <c r="K197" t="s">
        <v>39</v>
      </c>
      <c r="L197" t="str">
        <f t="shared" si="30"/>
        <v>Control</v>
      </c>
      <c r="M197" t="s">
        <v>39</v>
      </c>
      <c r="N197" t="str">
        <f t="shared" si="31"/>
        <v>Control</v>
      </c>
      <c r="O197" t="s">
        <v>429</v>
      </c>
      <c r="P197" t="s">
        <v>716</v>
      </c>
      <c r="Q197" t="s">
        <v>412</v>
      </c>
      <c r="R197" t="s">
        <v>709</v>
      </c>
      <c r="S197" t="s">
        <v>703</v>
      </c>
      <c r="T197" t="s">
        <v>615</v>
      </c>
      <c r="U197" s="1" t="s">
        <v>754</v>
      </c>
      <c r="V197" s="1">
        <f t="shared" si="29"/>
        <v>1.9908000000000002E-8</v>
      </c>
      <c r="X197" s="1"/>
      <c r="Y197" s="1"/>
      <c r="Z197" s="1"/>
      <c r="AA197" s="1">
        <v>3.1600000000000005E-8</v>
      </c>
      <c r="AB197" s="2"/>
      <c r="AC197">
        <v>6300</v>
      </c>
      <c r="AD197">
        <v>12040</v>
      </c>
      <c r="AE197" s="2">
        <v>3.4</v>
      </c>
      <c r="AF197" s="2"/>
      <c r="AG197" s="2">
        <v>1.012</v>
      </c>
      <c r="AI197" s="3"/>
      <c r="AJ197" t="s">
        <v>203</v>
      </c>
    </row>
    <row r="198" spans="1:36" x14ac:dyDescent="0.25">
      <c r="A198" t="s">
        <v>58</v>
      </c>
      <c r="B198" t="s">
        <v>56</v>
      </c>
      <c r="C198" t="s">
        <v>57</v>
      </c>
      <c r="D198" t="s">
        <v>18</v>
      </c>
      <c r="E198" t="s">
        <v>19</v>
      </c>
      <c r="F198" t="s">
        <v>20</v>
      </c>
      <c r="G198" t="s">
        <v>20</v>
      </c>
      <c r="H198" t="s">
        <v>712</v>
      </c>
      <c r="I198">
        <v>29</v>
      </c>
      <c r="J198" t="s">
        <v>647</v>
      </c>
      <c r="K198" t="s">
        <v>51</v>
      </c>
      <c r="L198" t="str">
        <f t="shared" si="30"/>
        <v>Stress</v>
      </c>
      <c r="M198" t="s">
        <v>39</v>
      </c>
      <c r="N198" t="str">
        <f t="shared" si="31"/>
        <v>Control</v>
      </c>
      <c r="O198" t="s">
        <v>429</v>
      </c>
      <c r="P198" t="s">
        <v>716</v>
      </c>
      <c r="Q198" t="s">
        <v>412</v>
      </c>
      <c r="R198" t="s">
        <v>709</v>
      </c>
      <c r="S198" t="s">
        <v>703</v>
      </c>
      <c r="T198" t="s">
        <v>615</v>
      </c>
      <c r="U198" s="1" t="s">
        <v>754</v>
      </c>
      <c r="V198" s="1">
        <f t="shared" si="29"/>
        <v>4.3679999999999998E-9</v>
      </c>
      <c r="X198" s="1"/>
      <c r="Y198" s="1"/>
      <c r="Z198" s="1"/>
      <c r="AA198" s="1">
        <v>1.5600000000000001E-8</v>
      </c>
      <c r="AB198" s="2"/>
      <c r="AC198">
        <v>2800</v>
      </c>
      <c r="AD198">
        <v>5500</v>
      </c>
      <c r="AE198" s="2">
        <v>0.5</v>
      </c>
      <c r="AF198" s="2"/>
      <c r="AG198" s="2">
        <v>0.64800000000000002</v>
      </c>
      <c r="AI198" s="3"/>
      <c r="AJ198" t="s">
        <v>203</v>
      </c>
    </row>
    <row r="199" spans="1:36" x14ac:dyDescent="0.25">
      <c r="A199" t="s">
        <v>58</v>
      </c>
      <c r="B199" t="s">
        <v>56</v>
      </c>
      <c r="C199" t="s">
        <v>57</v>
      </c>
      <c r="D199" t="s">
        <v>18</v>
      </c>
      <c r="E199" t="s">
        <v>19</v>
      </c>
      <c r="F199" t="s">
        <v>20</v>
      </c>
      <c r="G199" t="s">
        <v>20</v>
      </c>
      <c r="H199" t="s">
        <v>712</v>
      </c>
      <c r="I199">
        <v>29</v>
      </c>
      <c r="J199" t="s">
        <v>647</v>
      </c>
      <c r="K199" t="s">
        <v>39</v>
      </c>
      <c r="L199" t="str">
        <f t="shared" si="30"/>
        <v>Control</v>
      </c>
      <c r="M199" t="s">
        <v>711</v>
      </c>
      <c r="N199" t="str">
        <f t="shared" si="31"/>
        <v>Stress</v>
      </c>
      <c r="O199" t="s">
        <v>429</v>
      </c>
      <c r="P199" t="s">
        <v>716</v>
      </c>
      <c r="Q199" t="s">
        <v>412</v>
      </c>
      <c r="R199" t="s">
        <v>709</v>
      </c>
      <c r="S199" t="s">
        <v>703</v>
      </c>
      <c r="T199" t="s">
        <v>615</v>
      </c>
      <c r="U199" s="1" t="s">
        <v>754</v>
      </c>
      <c r="V199" s="1">
        <f t="shared" si="29"/>
        <v>1.1592000000000002E-8</v>
      </c>
      <c r="X199" s="1"/>
      <c r="Y199" s="1"/>
      <c r="Z199" s="1"/>
      <c r="AA199" s="1">
        <v>1.8400000000000003E-8</v>
      </c>
      <c r="AB199" s="2"/>
      <c r="AC199">
        <v>6300</v>
      </c>
      <c r="AD199">
        <f>+AD197</f>
        <v>12040</v>
      </c>
      <c r="AE199" s="2">
        <f>+AE197</f>
        <v>3.4</v>
      </c>
      <c r="AF199" s="2"/>
      <c r="AG199" s="2">
        <v>1.012</v>
      </c>
      <c r="AI199" s="3"/>
      <c r="AJ199" t="s">
        <v>203</v>
      </c>
    </row>
    <row r="200" spans="1:36" x14ac:dyDescent="0.25">
      <c r="A200" t="s">
        <v>58</v>
      </c>
      <c r="B200" t="s">
        <v>56</v>
      </c>
      <c r="C200" t="s">
        <v>57</v>
      </c>
      <c r="D200" t="s">
        <v>18</v>
      </c>
      <c r="E200" t="s">
        <v>19</v>
      </c>
      <c r="F200" t="s">
        <v>20</v>
      </c>
      <c r="G200" t="s">
        <v>20</v>
      </c>
      <c r="H200" t="s">
        <v>712</v>
      </c>
      <c r="I200">
        <v>29</v>
      </c>
      <c r="J200" t="s">
        <v>647</v>
      </c>
      <c r="K200" t="s">
        <v>51</v>
      </c>
      <c r="L200" t="str">
        <f t="shared" si="30"/>
        <v>Stress</v>
      </c>
      <c r="M200" t="s">
        <v>711</v>
      </c>
      <c r="N200" t="str">
        <f t="shared" si="31"/>
        <v>Stress</v>
      </c>
      <c r="O200" t="s">
        <v>429</v>
      </c>
      <c r="P200" t="s">
        <v>716</v>
      </c>
      <c r="Q200" t="s">
        <v>412</v>
      </c>
      <c r="R200" t="s">
        <v>709</v>
      </c>
      <c r="S200" t="s">
        <v>703</v>
      </c>
      <c r="T200" t="s">
        <v>615</v>
      </c>
      <c r="U200" s="1" t="s">
        <v>754</v>
      </c>
      <c r="V200" s="1">
        <f t="shared" si="29"/>
        <v>1.316E-9</v>
      </c>
      <c r="X200" s="1"/>
      <c r="Y200" s="1"/>
      <c r="Z200" s="1"/>
      <c r="AA200" s="1">
        <v>4.6999999999999999E-9</v>
      </c>
      <c r="AB200" s="2"/>
      <c r="AC200">
        <v>2800</v>
      </c>
      <c r="AD200">
        <f>+AD198</f>
        <v>5500</v>
      </c>
      <c r="AE200" s="2">
        <f>+AE198</f>
        <v>0.5</v>
      </c>
      <c r="AF200" s="2"/>
      <c r="AG200" s="2">
        <v>0.64800000000000002</v>
      </c>
      <c r="AI200" s="3"/>
      <c r="AJ200" t="s">
        <v>203</v>
      </c>
    </row>
    <row r="201" spans="1:36" x14ac:dyDescent="0.25">
      <c r="A201" t="s">
        <v>58</v>
      </c>
      <c r="B201" t="s">
        <v>56</v>
      </c>
      <c r="C201" t="s">
        <v>57</v>
      </c>
      <c r="D201" t="s">
        <v>18</v>
      </c>
      <c r="E201" t="s">
        <v>19</v>
      </c>
      <c r="F201" t="s">
        <v>20</v>
      </c>
      <c r="G201" t="s">
        <v>20</v>
      </c>
      <c r="H201" t="s">
        <v>712</v>
      </c>
      <c r="I201">
        <v>29</v>
      </c>
      <c r="J201" t="s">
        <v>647</v>
      </c>
      <c r="K201" t="s">
        <v>39</v>
      </c>
      <c r="L201" t="str">
        <f t="shared" si="30"/>
        <v>Control</v>
      </c>
      <c r="M201" t="s">
        <v>39</v>
      </c>
      <c r="N201" t="str">
        <f t="shared" si="31"/>
        <v>Control</v>
      </c>
      <c r="O201" t="s">
        <v>430</v>
      </c>
      <c r="P201" t="s">
        <v>716</v>
      </c>
      <c r="Q201" t="s">
        <v>412</v>
      </c>
      <c r="R201" t="s">
        <v>709</v>
      </c>
      <c r="S201" t="s">
        <v>703</v>
      </c>
      <c r="T201" t="s">
        <v>615</v>
      </c>
      <c r="U201" s="1" t="s">
        <v>754</v>
      </c>
      <c r="V201" s="1">
        <f t="shared" si="29"/>
        <v>2.3058E-8</v>
      </c>
      <c r="X201" s="1"/>
      <c r="Y201" s="1"/>
      <c r="Z201" s="1"/>
      <c r="AA201" s="1">
        <v>3.7800000000000001E-8</v>
      </c>
      <c r="AB201" s="2"/>
      <c r="AC201">
        <v>6100</v>
      </c>
      <c r="AD201">
        <v>11510</v>
      </c>
      <c r="AE201" s="2">
        <v>2.8</v>
      </c>
      <c r="AF201" s="2"/>
      <c r="AG201" s="2">
        <v>0.85299999999999998</v>
      </c>
      <c r="AI201" s="3"/>
      <c r="AJ201" t="s">
        <v>203</v>
      </c>
    </row>
    <row r="202" spans="1:36" x14ac:dyDescent="0.25">
      <c r="A202" t="s">
        <v>58</v>
      </c>
      <c r="B202" t="s">
        <v>56</v>
      </c>
      <c r="C202" t="s">
        <v>57</v>
      </c>
      <c r="D202" t="s">
        <v>18</v>
      </c>
      <c r="E202" t="s">
        <v>19</v>
      </c>
      <c r="F202" t="s">
        <v>20</v>
      </c>
      <c r="G202" t="s">
        <v>20</v>
      </c>
      <c r="H202" t="s">
        <v>712</v>
      </c>
      <c r="I202">
        <v>29</v>
      </c>
      <c r="J202" t="s">
        <v>647</v>
      </c>
      <c r="K202" t="s">
        <v>51</v>
      </c>
      <c r="L202" t="str">
        <f t="shared" si="30"/>
        <v>Stress</v>
      </c>
      <c r="M202" t="s">
        <v>39</v>
      </c>
      <c r="N202" t="str">
        <f t="shared" si="31"/>
        <v>Control</v>
      </c>
      <c r="O202" t="s">
        <v>430</v>
      </c>
      <c r="P202" t="s">
        <v>716</v>
      </c>
      <c r="Q202" t="s">
        <v>412</v>
      </c>
      <c r="R202" t="s">
        <v>709</v>
      </c>
      <c r="S202" t="s">
        <v>703</v>
      </c>
      <c r="T202" t="s">
        <v>615</v>
      </c>
      <c r="U202" s="1" t="s">
        <v>754</v>
      </c>
      <c r="V202" s="1">
        <f t="shared" si="29"/>
        <v>4.032000000000001E-9</v>
      </c>
      <c r="X202" s="1"/>
      <c r="Y202" s="1"/>
      <c r="Z202" s="1"/>
      <c r="AA202" s="1">
        <v>1.1200000000000001E-8</v>
      </c>
      <c r="AB202" s="2"/>
      <c r="AC202">
        <v>3600</v>
      </c>
      <c r="AD202">
        <v>7120</v>
      </c>
      <c r="AE202" s="2">
        <v>0.6</v>
      </c>
      <c r="AF202" s="2"/>
      <c r="AG202" s="2">
        <v>0.51100000000000001</v>
      </c>
      <c r="AI202" s="3"/>
      <c r="AJ202" t="s">
        <v>203</v>
      </c>
    </row>
    <row r="203" spans="1:36" x14ac:dyDescent="0.25">
      <c r="A203" t="s">
        <v>58</v>
      </c>
      <c r="B203" t="s">
        <v>56</v>
      </c>
      <c r="C203" t="s">
        <v>57</v>
      </c>
      <c r="D203" t="s">
        <v>18</v>
      </c>
      <c r="E203" t="s">
        <v>19</v>
      </c>
      <c r="F203" t="s">
        <v>20</v>
      </c>
      <c r="G203" t="s">
        <v>20</v>
      </c>
      <c r="H203" t="s">
        <v>712</v>
      </c>
      <c r="I203">
        <v>29</v>
      </c>
      <c r="J203" t="s">
        <v>647</v>
      </c>
      <c r="K203" t="s">
        <v>39</v>
      </c>
      <c r="L203" t="str">
        <f t="shared" si="30"/>
        <v>Control</v>
      </c>
      <c r="M203" t="s">
        <v>711</v>
      </c>
      <c r="N203" t="str">
        <f t="shared" si="31"/>
        <v>Stress</v>
      </c>
      <c r="O203" t="s">
        <v>430</v>
      </c>
      <c r="P203" t="s">
        <v>716</v>
      </c>
      <c r="Q203" t="s">
        <v>412</v>
      </c>
      <c r="R203" t="s">
        <v>709</v>
      </c>
      <c r="S203" t="s">
        <v>703</v>
      </c>
      <c r="T203" t="s">
        <v>615</v>
      </c>
      <c r="U203" s="1" t="s">
        <v>754</v>
      </c>
      <c r="V203" s="1">
        <f t="shared" si="29"/>
        <v>6.4050000000000009E-9</v>
      </c>
      <c r="X203" s="1"/>
      <c r="Y203" s="1"/>
      <c r="Z203" s="1"/>
      <c r="AA203" s="1">
        <v>1.0500000000000001E-8</v>
      </c>
      <c r="AB203" s="2"/>
      <c r="AC203">
        <v>6100</v>
      </c>
      <c r="AD203">
        <f>+AD201</f>
        <v>11510</v>
      </c>
      <c r="AE203" s="2">
        <f>+AE201</f>
        <v>2.8</v>
      </c>
      <c r="AF203" s="2"/>
      <c r="AG203" s="2">
        <v>0.85299999999999998</v>
      </c>
      <c r="AI203" s="3"/>
      <c r="AJ203" t="s">
        <v>203</v>
      </c>
    </row>
    <row r="204" spans="1:36" x14ac:dyDescent="0.25">
      <c r="A204" t="s">
        <v>58</v>
      </c>
      <c r="B204" t="s">
        <v>56</v>
      </c>
      <c r="C204" t="s">
        <v>57</v>
      </c>
      <c r="D204" t="s">
        <v>18</v>
      </c>
      <c r="E204" t="s">
        <v>19</v>
      </c>
      <c r="F204" t="s">
        <v>20</v>
      </c>
      <c r="G204" t="s">
        <v>20</v>
      </c>
      <c r="H204" t="s">
        <v>712</v>
      </c>
      <c r="I204">
        <v>29</v>
      </c>
      <c r="J204" t="s">
        <v>647</v>
      </c>
      <c r="K204" t="s">
        <v>51</v>
      </c>
      <c r="L204" t="str">
        <f t="shared" si="30"/>
        <v>Stress</v>
      </c>
      <c r="M204" t="s">
        <v>711</v>
      </c>
      <c r="N204" t="str">
        <f t="shared" si="31"/>
        <v>Stress</v>
      </c>
      <c r="O204" t="s">
        <v>430</v>
      </c>
      <c r="P204" t="s">
        <v>716</v>
      </c>
      <c r="Q204" t="s">
        <v>412</v>
      </c>
      <c r="R204" t="s">
        <v>709</v>
      </c>
      <c r="S204" t="s">
        <v>703</v>
      </c>
      <c r="T204" t="s">
        <v>615</v>
      </c>
      <c r="U204" s="1" t="s">
        <v>754</v>
      </c>
      <c r="V204" s="1">
        <f t="shared" si="29"/>
        <v>2.4120000000000004E-9</v>
      </c>
      <c r="X204" s="1"/>
      <c r="Y204" s="1"/>
      <c r="Z204" s="1"/>
      <c r="AA204" s="1">
        <v>6.7000000000000004E-9</v>
      </c>
      <c r="AB204" s="2"/>
      <c r="AC204">
        <v>3600</v>
      </c>
      <c r="AD204">
        <f>+AD202</f>
        <v>7120</v>
      </c>
      <c r="AE204" s="2">
        <f>+AE202</f>
        <v>0.6</v>
      </c>
      <c r="AF204" s="2"/>
      <c r="AG204" s="2">
        <v>0.51100000000000001</v>
      </c>
      <c r="AI204" s="3"/>
      <c r="AJ204" t="s">
        <v>203</v>
      </c>
    </row>
    <row r="205" spans="1:36" x14ac:dyDescent="0.25">
      <c r="A205" t="s">
        <v>58</v>
      </c>
      <c r="B205" t="s">
        <v>56</v>
      </c>
      <c r="C205" t="s">
        <v>57</v>
      </c>
      <c r="D205" t="s">
        <v>18</v>
      </c>
      <c r="E205" t="s">
        <v>19</v>
      </c>
      <c r="F205" t="s">
        <v>20</v>
      </c>
      <c r="G205" t="s">
        <v>20</v>
      </c>
      <c r="H205" t="s">
        <v>712</v>
      </c>
      <c r="I205">
        <v>29</v>
      </c>
      <c r="J205" t="s">
        <v>647</v>
      </c>
      <c r="K205" t="s">
        <v>39</v>
      </c>
      <c r="L205" t="str">
        <f t="shared" si="30"/>
        <v>Control</v>
      </c>
      <c r="M205" t="s">
        <v>39</v>
      </c>
      <c r="N205" t="str">
        <f t="shared" si="31"/>
        <v>Control</v>
      </c>
      <c r="O205" t="s">
        <v>431</v>
      </c>
      <c r="P205" t="s">
        <v>716</v>
      </c>
      <c r="Q205" t="s">
        <v>412</v>
      </c>
      <c r="R205" t="s">
        <v>709</v>
      </c>
      <c r="S205" t="s">
        <v>703</v>
      </c>
      <c r="T205" t="s">
        <v>615</v>
      </c>
      <c r="U205" s="1" t="s">
        <v>754</v>
      </c>
      <c r="V205" s="1">
        <f t="shared" si="29"/>
        <v>1.4103999999999998E-8</v>
      </c>
      <c r="X205" s="1"/>
      <c r="Y205" s="1"/>
      <c r="Z205" s="1"/>
      <c r="AA205" s="1">
        <v>3.2799999999999996E-8</v>
      </c>
      <c r="AB205" s="2"/>
      <c r="AC205">
        <v>4300</v>
      </c>
      <c r="AD205">
        <v>8440</v>
      </c>
      <c r="AE205" s="2">
        <v>2.1</v>
      </c>
      <c r="AF205" s="2"/>
      <c r="AG205" s="2">
        <v>0.77700000000000002</v>
      </c>
      <c r="AI205" s="3"/>
      <c r="AJ205" t="s">
        <v>203</v>
      </c>
    </row>
    <row r="206" spans="1:36" x14ac:dyDescent="0.25">
      <c r="A206" t="s">
        <v>58</v>
      </c>
      <c r="B206" t="s">
        <v>56</v>
      </c>
      <c r="C206" t="s">
        <v>57</v>
      </c>
      <c r="D206" t="s">
        <v>18</v>
      </c>
      <c r="E206" t="s">
        <v>19</v>
      </c>
      <c r="F206" t="s">
        <v>20</v>
      </c>
      <c r="G206" t="s">
        <v>20</v>
      </c>
      <c r="H206" t="s">
        <v>712</v>
      </c>
      <c r="I206">
        <v>29</v>
      </c>
      <c r="J206" t="s">
        <v>647</v>
      </c>
      <c r="K206" t="s">
        <v>51</v>
      </c>
      <c r="L206" t="str">
        <f t="shared" si="30"/>
        <v>Stress</v>
      </c>
      <c r="M206" t="s">
        <v>39</v>
      </c>
      <c r="N206" t="str">
        <f t="shared" si="31"/>
        <v>Control</v>
      </c>
      <c r="O206" t="s">
        <v>431</v>
      </c>
      <c r="P206" t="s">
        <v>716</v>
      </c>
      <c r="Q206" t="s">
        <v>412</v>
      </c>
      <c r="R206" t="s">
        <v>709</v>
      </c>
      <c r="S206" t="s">
        <v>703</v>
      </c>
      <c r="T206" t="s">
        <v>615</v>
      </c>
      <c r="U206" s="1" t="s">
        <v>754</v>
      </c>
      <c r="V206" s="1">
        <f t="shared" si="29"/>
        <v>7.9040000000000008E-9</v>
      </c>
      <c r="X206" s="1"/>
      <c r="Y206" s="1"/>
      <c r="Z206" s="1"/>
      <c r="AA206" s="1">
        <v>3.0400000000000001E-8</v>
      </c>
      <c r="AB206" s="2"/>
      <c r="AC206">
        <v>2600</v>
      </c>
      <c r="AD206">
        <v>5180</v>
      </c>
      <c r="AE206" s="2">
        <v>0.4</v>
      </c>
      <c r="AF206" s="2"/>
      <c r="AG206" s="2">
        <v>0.47199999999999998</v>
      </c>
      <c r="AI206" s="3"/>
      <c r="AJ206" t="s">
        <v>203</v>
      </c>
    </row>
    <row r="207" spans="1:36" x14ac:dyDescent="0.25">
      <c r="A207" t="s">
        <v>58</v>
      </c>
      <c r="B207" t="s">
        <v>56</v>
      </c>
      <c r="C207" t="s">
        <v>57</v>
      </c>
      <c r="D207" t="s">
        <v>18</v>
      </c>
      <c r="E207" t="s">
        <v>19</v>
      </c>
      <c r="F207" t="s">
        <v>20</v>
      </c>
      <c r="G207" t="s">
        <v>20</v>
      </c>
      <c r="H207" t="s">
        <v>712</v>
      </c>
      <c r="I207">
        <v>29</v>
      </c>
      <c r="J207" t="s">
        <v>647</v>
      </c>
      <c r="K207" t="s">
        <v>39</v>
      </c>
      <c r="L207" t="str">
        <f t="shared" si="30"/>
        <v>Control</v>
      </c>
      <c r="M207" t="s">
        <v>711</v>
      </c>
      <c r="N207" t="str">
        <f t="shared" si="31"/>
        <v>Stress</v>
      </c>
      <c r="O207" t="s">
        <v>431</v>
      </c>
      <c r="P207" t="s">
        <v>716</v>
      </c>
      <c r="Q207" t="s">
        <v>412</v>
      </c>
      <c r="R207" t="s">
        <v>709</v>
      </c>
      <c r="S207" t="s">
        <v>703</v>
      </c>
      <c r="T207" t="s">
        <v>615</v>
      </c>
      <c r="U207" s="1" t="s">
        <v>754</v>
      </c>
      <c r="V207" s="1">
        <f t="shared" si="29"/>
        <v>6.0200000000000003E-9</v>
      </c>
      <c r="X207" s="1"/>
      <c r="Y207" s="1"/>
      <c r="Z207" s="1"/>
      <c r="AA207" s="1">
        <v>1.4E-8</v>
      </c>
      <c r="AB207" s="2"/>
      <c r="AC207">
        <v>4300</v>
      </c>
      <c r="AD207">
        <f>+AD205</f>
        <v>8440</v>
      </c>
      <c r="AE207" s="2">
        <f>+AE205</f>
        <v>2.1</v>
      </c>
      <c r="AF207" s="2"/>
      <c r="AG207" s="2">
        <v>0.77700000000000002</v>
      </c>
      <c r="AI207" s="3"/>
      <c r="AJ207" t="s">
        <v>203</v>
      </c>
    </row>
    <row r="208" spans="1:36" x14ac:dyDescent="0.25">
      <c r="A208" t="s">
        <v>58</v>
      </c>
      <c r="B208" t="s">
        <v>56</v>
      </c>
      <c r="C208" t="s">
        <v>57</v>
      </c>
      <c r="D208" t="s">
        <v>18</v>
      </c>
      <c r="E208" t="s">
        <v>19</v>
      </c>
      <c r="F208" t="s">
        <v>20</v>
      </c>
      <c r="G208" t="s">
        <v>20</v>
      </c>
      <c r="H208" t="s">
        <v>712</v>
      </c>
      <c r="I208">
        <v>29</v>
      </c>
      <c r="J208" t="s">
        <v>647</v>
      </c>
      <c r="K208" t="s">
        <v>51</v>
      </c>
      <c r="L208" t="str">
        <f t="shared" si="30"/>
        <v>Stress</v>
      </c>
      <c r="M208" t="s">
        <v>711</v>
      </c>
      <c r="N208" t="str">
        <f t="shared" si="31"/>
        <v>Stress</v>
      </c>
      <c r="O208" t="s">
        <v>431</v>
      </c>
      <c r="P208" t="s">
        <v>716</v>
      </c>
      <c r="Q208" t="s">
        <v>412</v>
      </c>
      <c r="R208" t="s">
        <v>709</v>
      </c>
      <c r="S208" t="s">
        <v>703</v>
      </c>
      <c r="T208" t="s">
        <v>615</v>
      </c>
      <c r="U208" s="1" t="s">
        <v>754</v>
      </c>
      <c r="V208" s="1">
        <f t="shared" si="29"/>
        <v>2.4439999999999998E-9</v>
      </c>
      <c r="X208" s="1"/>
      <c r="Y208" s="1"/>
      <c r="Z208" s="1"/>
      <c r="AA208" s="1">
        <v>9.3999999999999998E-9</v>
      </c>
      <c r="AB208" s="2"/>
      <c r="AC208">
        <v>2600</v>
      </c>
      <c r="AD208">
        <f>+AD206</f>
        <v>5180</v>
      </c>
      <c r="AE208" s="2">
        <f>+AE206</f>
        <v>0.4</v>
      </c>
      <c r="AF208" s="2"/>
      <c r="AG208" s="2">
        <v>0.47199999999999998</v>
      </c>
      <c r="AI208" s="3"/>
      <c r="AJ208" t="s">
        <v>203</v>
      </c>
    </row>
    <row r="209" spans="1:36" x14ac:dyDescent="0.25">
      <c r="A209" t="s">
        <v>573</v>
      </c>
      <c r="B209" t="s">
        <v>361</v>
      </c>
      <c r="C209" t="s">
        <v>142</v>
      </c>
      <c r="D209" t="s">
        <v>143</v>
      </c>
      <c r="E209" t="s">
        <v>19</v>
      </c>
      <c r="F209" t="s">
        <v>72</v>
      </c>
      <c r="G209" t="s">
        <v>624</v>
      </c>
      <c r="H209" t="s">
        <v>713</v>
      </c>
      <c r="J209" t="s">
        <v>574</v>
      </c>
      <c r="K209" t="s">
        <v>39</v>
      </c>
      <c r="L209" t="str">
        <f t="shared" si="30"/>
        <v>Control</v>
      </c>
      <c r="Q209" t="s">
        <v>412</v>
      </c>
      <c r="R209" t="s">
        <v>709</v>
      </c>
      <c r="S209" t="s">
        <v>703</v>
      </c>
      <c r="T209" t="s">
        <v>615</v>
      </c>
      <c r="U209" s="1"/>
      <c r="V209" s="1"/>
      <c r="X209" s="1"/>
      <c r="Y209" s="1"/>
      <c r="Z209" s="1"/>
      <c r="AA209" s="1">
        <f>'[29]Rasheed-Depardieu_etal_2015_Fig'!B2</f>
        <v>4.4384858044163998E-8</v>
      </c>
      <c r="AB209" s="2"/>
      <c r="AE209" s="3"/>
      <c r="AF209" s="2"/>
      <c r="AI209" s="3"/>
      <c r="AJ209" t="s">
        <v>202</v>
      </c>
    </row>
    <row r="210" spans="1:36" x14ac:dyDescent="0.25">
      <c r="A210" t="s">
        <v>573</v>
      </c>
      <c r="B210" t="s">
        <v>361</v>
      </c>
      <c r="C210" t="s">
        <v>142</v>
      </c>
      <c r="D210" t="s">
        <v>143</v>
      </c>
      <c r="E210" t="s">
        <v>19</v>
      </c>
      <c r="F210" t="s">
        <v>72</v>
      </c>
      <c r="G210" t="s">
        <v>624</v>
      </c>
      <c r="H210" t="s">
        <v>713</v>
      </c>
      <c r="J210" t="s">
        <v>574</v>
      </c>
      <c r="K210" t="s">
        <v>574</v>
      </c>
      <c r="L210" t="str">
        <f t="shared" si="30"/>
        <v>Stress</v>
      </c>
      <c r="Q210" t="s">
        <v>412</v>
      </c>
      <c r="R210" t="s">
        <v>709</v>
      </c>
      <c r="S210" t="s">
        <v>703</v>
      </c>
      <c r="T210" t="s">
        <v>615</v>
      </c>
      <c r="U210" s="1"/>
      <c r="V210" s="1"/>
      <c r="X210" s="1"/>
      <c r="Y210" s="1"/>
      <c r="Z210" s="1"/>
      <c r="AA210" s="1">
        <f>'[29]Rasheed-Depardieu_etal_2015_Fig'!B3</f>
        <v>1.9652996845425801E-8</v>
      </c>
      <c r="AB210" s="2"/>
      <c r="AE210" s="3"/>
      <c r="AF210" s="2"/>
      <c r="AI210" s="3"/>
      <c r="AJ210" t="s">
        <v>202</v>
      </c>
    </row>
    <row r="211" spans="1:36" x14ac:dyDescent="0.25">
      <c r="A211" t="s">
        <v>573</v>
      </c>
      <c r="B211" t="s">
        <v>298</v>
      </c>
      <c r="C211" t="s">
        <v>142</v>
      </c>
      <c r="D211" t="s">
        <v>143</v>
      </c>
      <c r="E211" t="s">
        <v>19</v>
      </c>
      <c r="F211" t="s">
        <v>72</v>
      </c>
      <c r="G211" t="s">
        <v>624</v>
      </c>
      <c r="H211" t="s">
        <v>713</v>
      </c>
      <c r="J211" t="s">
        <v>574</v>
      </c>
      <c r="K211" t="s">
        <v>39</v>
      </c>
      <c r="L211" t="str">
        <f t="shared" si="30"/>
        <v>Control</v>
      </c>
      <c r="Q211" t="s">
        <v>412</v>
      </c>
      <c r="R211" t="s">
        <v>709</v>
      </c>
      <c r="S211" t="s">
        <v>703</v>
      </c>
      <c r="T211" t="s">
        <v>615</v>
      </c>
      <c r="U211" s="1"/>
      <c r="V211" s="1"/>
      <c r="X211" s="1"/>
      <c r="Y211" s="1"/>
      <c r="Z211" s="1"/>
      <c r="AA211" s="1">
        <f>'[29]Rasheed-Depardieu_etal_2015_Fig'!B4</f>
        <v>4.7601476014760102E-8</v>
      </c>
      <c r="AB211" s="2"/>
      <c r="AE211" s="3"/>
      <c r="AF211" s="2"/>
      <c r="AI211" s="3"/>
      <c r="AJ211" t="s">
        <v>202</v>
      </c>
    </row>
    <row r="212" spans="1:36" x14ac:dyDescent="0.25">
      <c r="A212" t="s">
        <v>573</v>
      </c>
      <c r="B212" t="s">
        <v>298</v>
      </c>
      <c r="C212" t="s">
        <v>142</v>
      </c>
      <c r="D212" t="s">
        <v>143</v>
      </c>
      <c r="E212" t="s">
        <v>19</v>
      </c>
      <c r="F212" t="s">
        <v>72</v>
      </c>
      <c r="G212" t="s">
        <v>624</v>
      </c>
      <c r="H212" t="s">
        <v>713</v>
      </c>
      <c r="J212" t="s">
        <v>574</v>
      </c>
      <c r="K212" t="s">
        <v>574</v>
      </c>
      <c r="L212" t="str">
        <f t="shared" si="30"/>
        <v>Stress</v>
      </c>
      <c r="Q212" t="s">
        <v>412</v>
      </c>
      <c r="R212" t="s">
        <v>709</v>
      </c>
      <c r="S212" t="s">
        <v>703</v>
      </c>
      <c r="T212" t="s">
        <v>615</v>
      </c>
      <c r="U212" s="1"/>
      <c r="V212" s="1"/>
      <c r="X212" s="1"/>
      <c r="Y212" s="1"/>
      <c r="Z212" s="1"/>
      <c r="AA212" s="1">
        <f>'[29]Rasheed-Depardieu_etal_2015_Fig'!B5</f>
        <v>4.0959409594095897E-8</v>
      </c>
      <c r="AB212" s="2"/>
      <c r="AE212" s="3"/>
      <c r="AF212" s="2"/>
      <c r="AI212" s="3"/>
      <c r="AJ212" t="s">
        <v>202</v>
      </c>
    </row>
    <row r="213" spans="1:36" x14ac:dyDescent="0.25">
      <c r="A213" t="s">
        <v>59</v>
      </c>
      <c r="B213" t="s">
        <v>16</v>
      </c>
      <c r="C213" t="s">
        <v>17</v>
      </c>
      <c r="D213" t="s">
        <v>18</v>
      </c>
      <c r="E213" t="s">
        <v>19</v>
      </c>
      <c r="F213" t="s">
        <v>20</v>
      </c>
      <c r="G213" t="s">
        <v>20</v>
      </c>
      <c r="H213" t="s">
        <v>712</v>
      </c>
      <c r="I213">
        <v>4</v>
      </c>
      <c r="J213" t="s">
        <v>631</v>
      </c>
      <c r="K213" t="s">
        <v>39</v>
      </c>
      <c r="L213" t="str">
        <f t="shared" si="30"/>
        <v>Control</v>
      </c>
      <c r="M213" t="s">
        <v>432</v>
      </c>
      <c r="N213" t="s">
        <v>716</v>
      </c>
      <c r="Q213" t="s">
        <v>412</v>
      </c>
      <c r="R213" t="s">
        <v>709</v>
      </c>
      <c r="S213" t="s">
        <v>703</v>
      </c>
      <c r="T213" t="s">
        <v>615</v>
      </c>
      <c r="U213" s="1"/>
      <c r="V213" s="1"/>
      <c r="W213" s="1"/>
      <c r="X213" s="1"/>
      <c r="Y213" s="1"/>
      <c r="Z213" s="1"/>
      <c r="AA213" s="1">
        <f>[30]Kaneko_etal_2015_FigS1!B2</f>
        <v>2.33475479744136E-7</v>
      </c>
      <c r="AB213" s="1"/>
      <c r="AE213" s="2"/>
      <c r="AF213" s="2"/>
      <c r="AJ213" t="s">
        <v>203</v>
      </c>
    </row>
    <row r="214" spans="1:36" x14ac:dyDescent="0.25">
      <c r="A214" t="s">
        <v>59</v>
      </c>
      <c r="B214" t="s">
        <v>16</v>
      </c>
      <c r="C214" t="s">
        <v>17</v>
      </c>
      <c r="D214" t="s">
        <v>18</v>
      </c>
      <c r="E214" t="s">
        <v>19</v>
      </c>
      <c r="F214" t="s">
        <v>20</v>
      </c>
      <c r="G214" t="s">
        <v>20</v>
      </c>
      <c r="H214" t="s">
        <v>712</v>
      </c>
      <c r="I214">
        <v>4</v>
      </c>
      <c r="J214" t="s">
        <v>631</v>
      </c>
      <c r="K214" t="s">
        <v>39</v>
      </c>
      <c r="L214" t="str">
        <f t="shared" si="30"/>
        <v>Control</v>
      </c>
      <c r="M214" t="s">
        <v>433</v>
      </c>
      <c r="N214" t="s">
        <v>716</v>
      </c>
      <c r="Q214" t="s">
        <v>412</v>
      </c>
      <c r="R214" t="s">
        <v>709</v>
      </c>
      <c r="S214" t="s">
        <v>703</v>
      </c>
      <c r="T214" t="s">
        <v>615</v>
      </c>
      <c r="U214" s="1"/>
      <c r="V214" s="1"/>
      <c r="W214" s="1"/>
      <c r="X214" s="1"/>
      <c r="Y214" s="1"/>
      <c r="Z214" s="1"/>
      <c r="AA214" s="1">
        <f>[30]Kaneko_etal_2015_FigS1!B3</f>
        <v>5.6929637526652397E-7</v>
      </c>
      <c r="AB214" s="1"/>
      <c r="AE214" s="2"/>
      <c r="AF214" s="2"/>
      <c r="AJ214" t="s">
        <v>203</v>
      </c>
    </row>
    <row r="215" spans="1:36" x14ac:dyDescent="0.25">
      <c r="A215" t="s">
        <v>59</v>
      </c>
      <c r="B215" t="s">
        <v>16</v>
      </c>
      <c r="C215" t="s">
        <v>17</v>
      </c>
      <c r="D215" t="s">
        <v>18</v>
      </c>
      <c r="E215" t="s">
        <v>19</v>
      </c>
      <c r="F215" t="s">
        <v>20</v>
      </c>
      <c r="G215" t="s">
        <v>20</v>
      </c>
      <c r="H215" t="s">
        <v>712</v>
      </c>
      <c r="I215">
        <v>4</v>
      </c>
      <c r="J215" t="s">
        <v>631</v>
      </c>
      <c r="K215" t="s">
        <v>39</v>
      </c>
      <c r="L215" t="str">
        <f t="shared" si="30"/>
        <v>Control</v>
      </c>
      <c r="M215" t="s">
        <v>434</v>
      </c>
      <c r="N215" t="s">
        <v>716</v>
      </c>
      <c r="Q215" t="s">
        <v>412</v>
      </c>
      <c r="R215" t="s">
        <v>709</v>
      </c>
      <c r="S215" t="s">
        <v>703</v>
      </c>
      <c r="T215" t="s">
        <v>615</v>
      </c>
      <c r="U215" s="1"/>
      <c r="V215" s="1"/>
      <c r="W215" s="1"/>
      <c r="X215" s="1"/>
      <c r="Y215" s="1"/>
      <c r="Z215" s="1"/>
      <c r="AA215" s="1">
        <f>[30]Kaneko_etal_2015_FigS1!B4</f>
        <v>1.6311300639658801E-7</v>
      </c>
      <c r="AB215" s="1"/>
      <c r="AE215" s="2"/>
      <c r="AF215" s="2"/>
      <c r="AJ215" t="s">
        <v>203</v>
      </c>
    </row>
    <row r="216" spans="1:36" x14ac:dyDescent="0.25">
      <c r="A216" t="s">
        <v>59</v>
      </c>
      <c r="B216" t="s">
        <v>16</v>
      </c>
      <c r="C216" t="s">
        <v>17</v>
      </c>
      <c r="D216" t="s">
        <v>18</v>
      </c>
      <c r="E216" t="s">
        <v>19</v>
      </c>
      <c r="F216" t="s">
        <v>20</v>
      </c>
      <c r="G216" t="s">
        <v>20</v>
      </c>
      <c r="H216" t="s">
        <v>712</v>
      </c>
      <c r="I216">
        <v>4</v>
      </c>
      <c r="J216" t="s">
        <v>631</v>
      </c>
      <c r="K216" t="s">
        <v>39</v>
      </c>
      <c r="L216" t="str">
        <f t="shared" si="30"/>
        <v>Control</v>
      </c>
      <c r="M216" t="s">
        <v>435</v>
      </c>
      <c r="N216" t="s">
        <v>716</v>
      </c>
      <c r="Q216" t="s">
        <v>412</v>
      </c>
      <c r="R216" t="s">
        <v>709</v>
      </c>
      <c r="S216" t="s">
        <v>703</v>
      </c>
      <c r="T216" t="s">
        <v>615</v>
      </c>
      <c r="U216" s="1"/>
      <c r="V216" s="1"/>
      <c r="W216" s="1"/>
      <c r="X216" s="1"/>
      <c r="Y216" s="1"/>
      <c r="Z216" s="1"/>
      <c r="AA216" s="1">
        <f>[30]Kaneko_etal_2015_FigS1!B5</f>
        <v>3.0703624733475401E-7</v>
      </c>
      <c r="AB216" s="1"/>
      <c r="AE216" s="2"/>
      <c r="AF216" s="2"/>
      <c r="AJ216" t="s">
        <v>203</v>
      </c>
    </row>
    <row r="217" spans="1:36" x14ac:dyDescent="0.25">
      <c r="A217" t="s">
        <v>59</v>
      </c>
      <c r="B217" t="s">
        <v>16</v>
      </c>
      <c r="C217" t="s">
        <v>17</v>
      </c>
      <c r="D217" t="s">
        <v>18</v>
      </c>
      <c r="E217" t="s">
        <v>19</v>
      </c>
      <c r="F217" t="s">
        <v>20</v>
      </c>
      <c r="G217" t="s">
        <v>20</v>
      </c>
      <c r="H217" t="s">
        <v>712</v>
      </c>
      <c r="I217">
        <v>4</v>
      </c>
      <c r="J217" t="s">
        <v>631</v>
      </c>
      <c r="K217" t="s">
        <v>84</v>
      </c>
      <c r="L217" t="str">
        <f t="shared" ref="L217:L220" si="32">+IF(K217 = "Control", "Control", "Stress")</f>
        <v>Stress</v>
      </c>
      <c r="M217" t="s">
        <v>432</v>
      </c>
      <c r="N217" t="s">
        <v>716</v>
      </c>
      <c r="Q217" t="s">
        <v>412</v>
      </c>
      <c r="R217" t="s">
        <v>709</v>
      </c>
      <c r="S217" t="s">
        <v>703</v>
      </c>
      <c r="T217" t="s">
        <v>615</v>
      </c>
      <c r="U217" s="1"/>
      <c r="V217" s="1"/>
      <c r="W217" s="1"/>
      <c r="X217" s="1"/>
      <c r="Y217" s="1"/>
      <c r="Z217" s="1"/>
      <c r="AA217" s="1">
        <f>[30]Kaneko_etal_2015_FigS1!B6</f>
        <v>2.8784648187632601E-8</v>
      </c>
      <c r="AB217" s="1"/>
      <c r="AE217" s="2"/>
      <c r="AF217" s="2"/>
      <c r="AJ217" t="s">
        <v>203</v>
      </c>
    </row>
    <row r="218" spans="1:36" x14ac:dyDescent="0.25">
      <c r="A218" t="s">
        <v>59</v>
      </c>
      <c r="B218" t="s">
        <v>16</v>
      </c>
      <c r="C218" t="s">
        <v>17</v>
      </c>
      <c r="D218" t="s">
        <v>18</v>
      </c>
      <c r="E218" t="s">
        <v>19</v>
      </c>
      <c r="F218" t="s">
        <v>20</v>
      </c>
      <c r="G218" t="s">
        <v>20</v>
      </c>
      <c r="H218" t="s">
        <v>712</v>
      </c>
      <c r="I218">
        <v>4</v>
      </c>
      <c r="J218" t="s">
        <v>631</v>
      </c>
      <c r="K218" t="s">
        <v>84</v>
      </c>
      <c r="L218" t="str">
        <f t="shared" si="32"/>
        <v>Stress</v>
      </c>
      <c r="M218" t="s">
        <v>433</v>
      </c>
      <c r="N218" t="s">
        <v>716</v>
      </c>
      <c r="Q218" t="s">
        <v>412</v>
      </c>
      <c r="R218" t="s">
        <v>709</v>
      </c>
      <c r="S218" t="s">
        <v>703</v>
      </c>
      <c r="T218" t="s">
        <v>615</v>
      </c>
      <c r="U218" s="1"/>
      <c r="V218" s="1"/>
      <c r="W218" s="1"/>
      <c r="X218" s="1"/>
      <c r="Y218" s="1"/>
      <c r="Z218" s="1"/>
      <c r="AA218" s="1">
        <f>[30]Kaneko_etal_2015_FigS1!B7</f>
        <v>3.4541577825159898E-7</v>
      </c>
      <c r="AB218" s="1"/>
      <c r="AE218" s="2"/>
      <c r="AF218" s="2"/>
      <c r="AJ218" t="s">
        <v>203</v>
      </c>
    </row>
    <row r="219" spans="1:36" x14ac:dyDescent="0.25">
      <c r="A219" t="s">
        <v>59</v>
      </c>
      <c r="B219" t="s">
        <v>16</v>
      </c>
      <c r="C219" t="s">
        <v>17</v>
      </c>
      <c r="D219" t="s">
        <v>18</v>
      </c>
      <c r="E219" t="s">
        <v>19</v>
      </c>
      <c r="F219" t="s">
        <v>20</v>
      </c>
      <c r="G219" t="s">
        <v>20</v>
      </c>
      <c r="H219" t="s">
        <v>712</v>
      </c>
      <c r="I219">
        <v>4</v>
      </c>
      <c r="J219" t="s">
        <v>631</v>
      </c>
      <c r="K219" t="s">
        <v>84</v>
      </c>
      <c r="L219" t="str">
        <f t="shared" si="32"/>
        <v>Stress</v>
      </c>
      <c r="M219" t="s">
        <v>434</v>
      </c>
      <c r="N219" t="s">
        <v>716</v>
      </c>
      <c r="Q219" t="s">
        <v>412</v>
      </c>
      <c r="R219" t="s">
        <v>709</v>
      </c>
      <c r="S219" t="s">
        <v>703</v>
      </c>
      <c r="T219" t="s">
        <v>615</v>
      </c>
      <c r="U219" s="1"/>
      <c r="V219" s="1"/>
      <c r="W219" s="1"/>
      <c r="X219" s="1"/>
      <c r="Y219" s="1"/>
      <c r="Z219" s="1"/>
      <c r="AA219" s="1">
        <f>[30]Kaneko_etal_2015_FigS1!B8</f>
        <v>5.7569296375266505E-7</v>
      </c>
      <c r="AB219" s="1"/>
      <c r="AE219" s="2"/>
      <c r="AF219" s="2"/>
      <c r="AJ219" t="s">
        <v>203</v>
      </c>
    </row>
    <row r="220" spans="1:36" x14ac:dyDescent="0.25">
      <c r="A220" t="s">
        <v>59</v>
      </c>
      <c r="B220" t="s">
        <v>16</v>
      </c>
      <c r="C220" t="s">
        <v>17</v>
      </c>
      <c r="D220" t="s">
        <v>18</v>
      </c>
      <c r="E220" t="s">
        <v>19</v>
      </c>
      <c r="F220" t="s">
        <v>20</v>
      </c>
      <c r="G220" t="s">
        <v>20</v>
      </c>
      <c r="H220" t="s">
        <v>712</v>
      </c>
      <c r="I220">
        <v>4</v>
      </c>
      <c r="J220" t="s">
        <v>631</v>
      </c>
      <c r="K220" t="s">
        <v>84</v>
      </c>
      <c r="L220" t="str">
        <f t="shared" si="32"/>
        <v>Stress</v>
      </c>
      <c r="M220" t="s">
        <v>435</v>
      </c>
      <c r="N220" t="s">
        <v>716</v>
      </c>
      <c r="Q220" t="s">
        <v>412</v>
      </c>
      <c r="R220" t="s">
        <v>709</v>
      </c>
      <c r="S220" t="s">
        <v>703</v>
      </c>
      <c r="T220" t="s">
        <v>615</v>
      </c>
      <c r="U220" s="1"/>
      <c r="V220" s="1"/>
      <c r="W220" s="1"/>
      <c r="X220" s="1"/>
      <c r="Y220" s="1"/>
      <c r="Z220" s="1"/>
      <c r="AA220" s="1">
        <f>[30]Kaneko_etal_2015_FigS1!B9</f>
        <v>3.8912579957355999E-7</v>
      </c>
      <c r="AB220" s="1"/>
      <c r="AE220" s="2"/>
      <c r="AF220" s="2"/>
      <c r="AJ220" t="s">
        <v>203</v>
      </c>
    </row>
    <row r="221" spans="1:36" x14ac:dyDescent="0.25">
      <c r="A221" t="s">
        <v>576</v>
      </c>
      <c r="B221" t="s">
        <v>587</v>
      </c>
      <c r="C221" t="s">
        <v>577</v>
      </c>
      <c r="D221" t="s">
        <v>578</v>
      </c>
      <c r="E221" t="s">
        <v>19</v>
      </c>
      <c r="F221" t="s">
        <v>37</v>
      </c>
      <c r="G221" t="s">
        <v>622</v>
      </c>
      <c r="H221" t="s">
        <v>714</v>
      </c>
      <c r="I221">
        <f>3*7</f>
        <v>21</v>
      </c>
      <c r="J221" t="s">
        <v>778</v>
      </c>
      <c r="Q221" t="s">
        <v>412</v>
      </c>
      <c r="R221" t="s">
        <v>709</v>
      </c>
      <c r="S221" t="s">
        <v>703</v>
      </c>
      <c r="T221" t="s">
        <v>615</v>
      </c>
      <c r="U221" s="1" t="s">
        <v>755</v>
      </c>
      <c r="V221" s="1">
        <v>2.8000000000000002E-10</v>
      </c>
      <c r="W221" s="1"/>
      <c r="X221" s="1"/>
      <c r="Y221" s="1">
        <v>2.2000000000000002E-11</v>
      </c>
      <c r="Z221" s="1"/>
      <c r="AA221" s="1">
        <v>3.1E-8</v>
      </c>
      <c r="AB221" s="1"/>
      <c r="AC221">
        <v>95.7</v>
      </c>
      <c r="AD221">
        <v>1345</v>
      </c>
      <c r="AE221" s="2">
        <v>2.3E-2</v>
      </c>
      <c r="AF221" s="2"/>
      <c r="AG221" s="2">
        <v>0.224</v>
      </c>
      <c r="AH221" s="5">
        <f>1.5*AD221/100/10000</f>
        <v>2.0175000000000002E-3</v>
      </c>
      <c r="AI221" s="3"/>
      <c r="AJ221" t="s">
        <v>203</v>
      </c>
    </row>
    <row r="222" spans="1:36" x14ac:dyDescent="0.25">
      <c r="A222" t="s">
        <v>576</v>
      </c>
      <c r="B222" t="s">
        <v>105</v>
      </c>
      <c r="C222" t="s">
        <v>78</v>
      </c>
      <c r="D222" t="s">
        <v>18</v>
      </c>
      <c r="E222" t="s">
        <v>19</v>
      </c>
      <c r="F222" t="s">
        <v>20</v>
      </c>
      <c r="G222" t="s">
        <v>20</v>
      </c>
      <c r="H222" t="s">
        <v>712</v>
      </c>
      <c r="I222">
        <f>3*7</f>
        <v>21</v>
      </c>
      <c r="J222" t="s">
        <v>778</v>
      </c>
      <c r="Q222" t="s">
        <v>412</v>
      </c>
      <c r="R222" t="s">
        <v>709</v>
      </c>
      <c r="S222" t="s">
        <v>703</v>
      </c>
      <c r="T222" t="s">
        <v>615</v>
      </c>
      <c r="U222" s="1" t="s">
        <v>755</v>
      </c>
      <c r="V222" s="1">
        <v>1.2E-10</v>
      </c>
      <c r="W222" s="1"/>
      <c r="X222" s="1"/>
      <c r="Y222" s="1">
        <v>1.6E-11</v>
      </c>
      <c r="Z222" s="1"/>
      <c r="AA222" s="1">
        <v>1.4999999999999999E-8</v>
      </c>
      <c r="AB222" s="1"/>
      <c r="AC222">
        <v>85.2</v>
      </c>
      <c r="AD222">
        <v>792.9</v>
      </c>
      <c r="AE222" s="2">
        <v>3.5999999999999997E-2</v>
      </c>
      <c r="AF222" s="2"/>
      <c r="AG222" s="2">
        <v>0.32800000000000001</v>
      </c>
      <c r="AH222" s="5">
        <f>1.05*AD222/100/10000</f>
        <v>8.3254499999999996E-4</v>
      </c>
      <c r="AI222" s="3"/>
      <c r="AJ222" t="s">
        <v>203</v>
      </c>
    </row>
    <row r="223" spans="1:36" x14ac:dyDescent="0.25">
      <c r="A223" t="s">
        <v>242</v>
      </c>
      <c r="B223" t="s">
        <v>56</v>
      </c>
      <c r="C223" t="s">
        <v>57</v>
      </c>
      <c r="D223" t="s">
        <v>18</v>
      </c>
      <c r="E223" t="s">
        <v>19</v>
      </c>
      <c r="F223" t="s">
        <v>20</v>
      </c>
      <c r="G223" t="s">
        <v>20</v>
      </c>
      <c r="H223" t="s">
        <v>712</v>
      </c>
      <c r="I223">
        <f t="shared" ref="I223:I230" si="33">2+3+5+1*7+2</f>
        <v>19</v>
      </c>
      <c r="J223" t="s">
        <v>650</v>
      </c>
      <c r="K223" t="s">
        <v>39</v>
      </c>
      <c r="L223" t="str">
        <f t="shared" ref="L223:L254" si="34">+IF(K223 = "Control", "Control", "Stress")</f>
        <v>Control</v>
      </c>
      <c r="M223" t="s">
        <v>648</v>
      </c>
      <c r="N223" t="s">
        <v>716</v>
      </c>
      <c r="O223" t="s">
        <v>438</v>
      </c>
      <c r="P223" t="s">
        <v>716</v>
      </c>
      <c r="Q223" t="s">
        <v>412</v>
      </c>
      <c r="R223" t="s">
        <v>709</v>
      </c>
      <c r="S223" t="s">
        <v>703</v>
      </c>
      <c r="T223" t="s">
        <v>615</v>
      </c>
      <c r="U223" s="1" t="s">
        <v>754</v>
      </c>
      <c r="V223" s="1">
        <f t="shared" ref="V223:V230" si="35">+AA223*AC223/10000</f>
        <v>3.1160519461999999E-11</v>
      </c>
      <c r="W223" s="1"/>
      <c r="Z223" s="1"/>
      <c r="AA223" s="1">
        <f>[31]Ding_etal_2015_Fig5!C2</f>
        <v>6.7740259700000005E-9</v>
      </c>
      <c r="AC223">
        <v>46</v>
      </c>
      <c r="AD223">
        <v>341</v>
      </c>
      <c r="AG223" s="2">
        <v>0.41</v>
      </c>
      <c r="AI223" s="5">
        <v>0.49</v>
      </c>
      <c r="AJ223" t="s">
        <v>47</v>
      </c>
    </row>
    <row r="224" spans="1:36" x14ac:dyDescent="0.25">
      <c r="A224" t="s">
        <v>242</v>
      </c>
      <c r="B224" t="s">
        <v>56</v>
      </c>
      <c r="C224" t="s">
        <v>57</v>
      </c>
      <c r="D224" t="s">
        <v>18</v>
      </c>
      <c r="E224" t="s">
        <v>19</v>
      </c>
      <c r="F224" t="s">
        <v>20</v>
      </c>
      <c r="G224" t="s">
        <v>20</v>
      </c>
      <c r="H224" t="s">
        <v>712</v>
      </c>
      <c r="I224">
        <f t="shared" si="33"/>
        <v>19</v>
      </c>
      <c r="J224" t="s">
        <v>650</v>
      </c>
      <c r="K224" t="s">
        <v>39</v>
      </c>
      <c r="L224" t="str">
        <f t="shared" si="34"/>
        <v>Control</v>
      </c>
      <c r="M224" t="s">
        <v>649</v>
      </c>
      <c r="N224" t="s">
        <v>716</v>
      </c>
      <c r="O224" t="s">
        <v>438</v>
      </c>
      <c r="P224" t="s">
        <v>716</v>
      </c>
      <c r="Q224" t="s">
        <v>412</v>
      </c>
      <c r="R224" t="s">
        <v>709</v>
      </c>
      <c r="S224" t="s">
        <v>703</v>
      </c>
      <c r="T224" t="s">
        <v>615</v>
      </c>
      <c r="U224" s="1" t="s">
        <v>754</v>
      </c>
      <c r="V224" s="1">
        <f t="shared" si="35"/>
        <v>3.1937662358000004E-11</v>
      </c>
      <c r="W224" s="1"/>
      <c r="Z224" s="1"/>
      <c r="AA224" s="1">
        <f>[31]Ding_etal_2015_Fig5!C3</f>
        <v>5.5064935100000006E-9</v>
      </c>
      <c r="AC224">
        <v>58</v>
      </c>
      <c r="AD224">
        <v>435</v>
      </c>
      <c r="AG224" s="2">
        <v>0.45</v>
      </c>
      <c r="AI224" s="5">
        <v>0.63</v>
      </c>
      <c r="AJ224" t="s">
        <v>47</v>
      </c>
    </row>
    <row r="225" spans="1:36" x14ac:dyDescent="0.25">
      <c r="A225" t="s">
        <v>242</v>
      </c>
      <c r="B225" t="s">
        <v>56</v>
      </c>
      <c r="C225" t="s">
        <v>57</v>
      </c>
      <c r="D225" t="s">
        <v>18</v>
      </c>
      <c r="E225" t="s">
        <v>19</v>
      </c>
      <c r="F225" t="s">
        <v>20</v>
      </c>
      <c r="G225" t="s">
        <v>20</v>
      </c>
      <c r="H225" t="s">
        <v>712</v>
      </c>
      <c r="I225">
        <f t="shared" si="33"/>
        <v>19</v>
      </c>
      <c r="J225" t="s">
        <v>650</v>
      </c>
      <c r="K225" t="s">
        <v>51</v>
      </c>
      <c r="L225" t="str">
        <f t="shared" si="34"/>
        <v>Stress</v>
      </c>
      <c r="M225" t="s">
        <v>648</v>
      </c>
      <c r="N225" t="s">
        <v>716</v>
      </c>
      <c r="O225" t="s">
        <v>438</v>
      </c>
      <c r="P225" t="s">
        <v>716</v>
      </c>
      <c r="Q225" t="s">
        <v>412</v>
      </c>
      <c r="R225" t="s">
        <v>709</v>
      </c>
      <c r="S225" t="s">
        <v>703</v>
      </c>
      <c r="T225" t="s">
        <v>615</v>
      </c>
      <c r="U225" s="1" t="s">
        <v>754</v>
      </c>
      <c r="V225" s="1">
        <f t="shared" si="35"/>
        <v>1.02545454525E-10</v>
      </c>
      <c r="W225" s="1"/>
      <c r="Z225" s="1"/>
      <c r="AA225" s="1">
        <f>[31]Ding_etal_2015_Fig5!C4</f>
        <v>1.3672727270000001E-8</v>
      </c>
      <c r="AC225">
        <v>75</v>
      </c>
      <c r="AD225">
        <v>652</v>
      </c>
      <c r="AG225" s="2">
        <v>0.37</v>
      </c>
      <c r="AI225" s="5">
        <v>0.69</v>
      </c>
      <c r="AJ225" t="s">
        <v>47</v>
      </c>
    </row>
    <row r="226" spans="1:36" x14ac:dyDescent="0.25">
      <c r="A226" t="s">
        <v>242</v>
      </c>
      <c r="B226" t="s">
        <v>56</v>
      </c>
      <c r="C226" t="s">
        <v>57</v>
      </c>
      <c r="D226" t="s">
        <v>18</v>
      </c>
      <c r="E226" t="s">
        <v>19</v>
      </c>
      <c r="F226" t="s">
        <v>20</v>
      </c>
      <c r="G226" t="s">
        <v>20</v>
      </c>
      <c r="H226" t="s">
        <v>712</v>
      </c>
      <c r="I226">
        <f t="shared" si="33"/>
        <v>19</v>
      </c>
      <c r="J226" t="s">
        <v>650</v>
      </c>
      <c r="K226" t="s">
        <v>51</v>
      </c>
      <c r="L226" t="str">
        <f t="shared" si="34"/>
        <v>Stress</v>
      </c>
      <c r="M226" t="s">
        <v>649</v>
      </c>
      <c r="N226" t="s">
        <v>716</v>
      </c>
      <c r="O226" t="s">
        <v>438</v>
      </c>
      <c r="P226" t="s">
        <v>716</v>
      </c>
      <c r="Q226" t="s">
        <v>412</v>
      </c>
      <c r="R226" t="s">
        <v>709</v>
      </c>
      <c r="S226" t="s">
        <v>703</v>
      </c>
      <c r="T226" t="s">
        <v>615</v>
      </c>
      <c r="U226" s="1" t="s">
        <v>754</v>
      </c>
      <c r="V226" s="1">
        <f t="shared" si="35"/>
        <v>2.7511688320000002E-11</v>
      </c>
      <c r="W226" s="1"/>
      <c r="Z226" s="1"/>
      <c r="AA226" s="1">
        <f>[31]Ding_etal_2015_Fig5!C5</f>
        <v>6.8779220799999999E-9</v>
      </c>
      <c r="AC226">
        <v>40</v>
      </c>
      <c r="AD226">
        <v>280</v>
      </c>
      <c r="AG226" s="2">
        <v>0.46</v>
      </c>
      <c r="AI226" s="5">
        <v>0.46</v>
      </c>
      <c r="AJ226" t="s">
        <v>47</v>
      </c>
    </row>
    <row r="227" spans="1:36" x14ac:dyDescent="0.25">
      <c r="A227" t="s">
        <v>242</v>
      </c>
      <c r="B227" t="s">
        <v>56</v>
      </c>
      <c r="C227" t="s">
        <v>57</v>
      </c>
      <c r="D227" t="s">
        <v>18</v>
      </c>
      <c r="E227" t="s">
        <v>19</v>
      </c>
      <c r="F227" t="s">
        <v>20</v>
      </c>
      <c r="G227" t="s">
        <v>20</v>
      </c>
      <c r="H227" t="s">
        <v>712</v>
      </c>
      <c r="I227">
        <f t="shared" si="33"/>
        <v>19</v>
      </c>
      <c r="J227" t="s">
        <v>650</v>
      </c>
      <c r="K227" t="s">
        <v>39</v>
      </c>
      <c r="L227" t="str">
        <f t="shared" si="34"/>
        <v>Control</v>
      </c>
      <c r="M227" t="s">
        <v>648</v>
      </c>
      <c r="N227" t="s">
        <v>716</v>
      </c>
      <c r="O227" t="s">
        <v>439</v>
      </c>
      <c r="P227" t="s">
        <v>716</v>
      </c>
      <c r="Q227" t="s">
        <v>412</v>
      </c>
      <c r="R227" t="s">
        <v>709</v>
      </c>
      <c r="S227" t="s">
        <v>703</v>
      </c>
      <c r="T227" t="s">
        <v>615</v>
      </c>
      <c r="U227" s="1" t="s">
        <v>754</v>
      </c>
      <c r="V227" s="1">
        <f t="shared" si="35"/>
        <v>8.4435724269000009E-11</v>
      </c>
      <c r="W227" s="1"/>
      <c r="Z227" s="1"/>
      <c r="AA227" s="1">
        <f>[31]Ding_etal_2015_Fig5!C6</f>
        <v>1.5931268730000001E-8</v>
      </c>
      <c r="AC227">
        <v>53</v>
      </c>
      <c r="AD227">
        <v>445</v>
      </c>
      <c r="AG227" s="2">
        <v>0.34</v>
      </c>
      <c r="AI227" s="5">
        <v>0.53</v>
      </c>
      <c r="AJ227" t="s">
        <v>47</v>
      </c>
    </row>
    <row r="228" spans="1:36" x14ac:dyDescent="0.25">
      <c r="A228" t="s">
        <v>242</v>
      </c>
      <c r="B228" t="s">
        <v>56</v>
      </c>
      <c r="C228" t="s">
        <v>57</v>
      </c>
      <c r="D228" t="s">
        <v>18</v>
      </c>
      <c r="E228" t="s">
        <v>19</v>
      </c>
      <c r="F228" t="s">
        <v>20</v>
      </c>
      <c r="G228" t="s">
        <v>20</v>
      </c>
      <c r="H228" t="s">
        <v>712</v>
      </c>
      <c r="I228">
        <f t="shared" si="33"/>
        <v>19</v>
      </c>
      <c r="J228" t="s">
        <v>650</v>
      </c>
      <c r="K228" t="s">
        <v>39</v>
      </c>
      <c r="L228" t="str">
        <f t="shared" si="34"/>
        <v>Control</v>
      </c>
      <c r="M228" t="s">
        <v>649</v>
      </c>
      <c r="N228" t="s">
        <v>716</v>
      </c>
      <c r="O228" t="s">
        <v>439</v>
      </c>
      <c r="P228" t="s">
        <v>716</v>
      </c>
      <c r="Q228" t="s">
        <v>412</v>
      </c>
      <c r="R228" t="s">
        <v>709</v>
      </c>
      <c r="S228" t="s">
        <v>703</v>
      </c>
      <c r="T228" t="s">
        <v>615</v>
      </c>
      <c r="U228" s="1" t="s">
        <v>754</v>
      </c>
      <c r="V228" s="1">
        <f t="shared" si="35"/>
        <v>7.8285714264999991E-11</v>
      </c>
      <c r="W228" s="1"/>
      <c r="Z228" s="1"/>
      <c r="AA228" s="1">
        <f>[31]Ding_etal_2015_Fig5!C7</f>
        <v>1.423376623E-8</v>
      </c>
      <c r="AC228">
        <v>55</v>
      </c>
      <c r="AD228">
        <v>443</v>
      </c>
      <c r="AG228" s="2">
        <v>0.4</v>
      </c>
      <c r="AI228" s="5">
        <v>0.53</v>
      </c>
      <c r="AJ228" t="s">
        <v>47</v>
      </c>
    </row>
    <row r="229" spans="1:36" x14ac:dyDescent="0.25">
      <c r="A229" t="s">
        <v>242</v>
      </c>
      <c r="B229" t="s">
        <v>56</v>
      </c>
      <c r="C229" t="s">
        <v>57</v>
      </c>
      <c r="D229" t="s">
        <v>18</v>
      </c>
      <c r="E229" t="s">
        <v>19</v>
      </c>
      <c r="F229" t="s">
        <v>20</v>
      </c>
      <c r="G229" t="s">
        <v>20</v>
      </c>
      <c r="H229" t="s">
        <v>712</v>
      </c>
      <c r="I229">
        <f t="shared" si="33"/>
        <v>19</v>
      </c>
      <c r="J229" t="s">
        <v>650</v>
      </c>
      <c r="K229" t="s">
        <v>51</v>
      </c>
      <c r="L229" t="str">
        <f t="shared" si="34"/>
        <v>Stress</v>
      </c>
      <c r="M229" t="s">
        <v>648</v>
      </c>
      <c r="N229" t="s">
        <v>716</v>
      </c>
      <c r="O229" t="s">
        <v>439</v>
      </c>
      <c r="P229" t="s">
        <v>716</v>
      </c>
      <c r="Q229" t="s">
        <v>412</v>
      </c>
      <c r="R229" t="s">
        <v>709</v>
      </c>
      <c r="S229" t="s">
        <v>703</v>
      </c>
      <c r="T229" t="s">
        <v>615</v>
      </c>
      <c r="U229" s="1" t="s">
        <v>754</v>
      </c>
      <c r="V229" s="1">
        <f t="shared" si="35"/>
        <v>2.2214805199E-10</v>
      </c>
      <c r="W229" s="1"/>
      <c r="Z229" s="1"/>
      <c r="AA229" s="1">
        <f>[31]Ding_etal_2015_Fig5!C8</f>
        <v>2.6135064940000001E-8</v>
      </c>
      <c r="AC229">
        <v>85</v>
      </c>
      <c r="AD229">
        <v>873</v>
      </c>
      <c r="AG229" s="2">
        <v>0.35</v>
      </c>
      <c r="AI229" s="5">
        <v>0.79</v>
      </c>
      <c r="AJ229" t="s">
        <v>47</v>
      </c>
    </row>
    <row r="230" spans="1:36" x14ac:dyDescent="0.25">
      <c r="A230" t="s">
        <v>242</v>
      </c>
      <c r="B230" t="s">
        <v>56</v>
      </c>
      <c r="C230" t="s">
        <v>57</v>
      </c>
      <c r="D230" t="s">
        <v>18</v>
      </c>
      <c r="E230" t="s">
        <v>19</v>
      </c>
      <c r="F230" t="s">
        <v>20</v>
      </c>
      <c r="G230" t="s">
        <v>20</v>
      </c>
      <c r="H230" t="s">
        <v>712</v>
      </c>
      <c r="I230">
        <f t="shared" si="33"/>
        <v>19</v>
      </c>
      <c r="J230" t="s">
        <v>650</v>
      </c>
      <c r="K230" t="s">
        <v>51</v>
      </c>
      <c r="L230" t="str">
        <f t="shared" si="34"/>
        <v>Stress</v>
      </c>
      <c r="M230" t="s">
        <v>649</v>
      </c>
      <c r="N230" t="s">
        <v>716</v>
      </c>
      <c r="O230" t="s">
        <v>439</v>
      </c>
      <c r="P230" t="s">
        <v>716</v>
      </c>
      <c r="Q230" t="s">
        <v>412</v>
      </c>
      <c r="R230" t="s">
        <v>709</v>
      </c>
      <c r="S230" t="s">
        <v>703</v>
      </c>
      <c r="T230" t="s">
        <v>615</v>
      </c>
      <c r="U230" s="1" t="s">
        <v>754</v>
      </c>
      <c r="V230" s="1">
        <f t="shared" si="35"/>
        <v>3.9445194802000002E-11</v>
      </c>
      <c r="W230" s="1"/>
      <c r="Z230" s="1"/>
      <c r="AA230" s="1">
        <f>[31]Ding_etal_2015_Fig5!C9</f>
        <v>9.6207792199999994E-9</v>
      </c>
      <c r="AC230">
        <v>41</v>
      </c>
      <c r="AD230">
        <v>322</v>
      </c>
      <c r="AG230" s="2">
        <v>0.41</v>
      </c>
      <c r="AI230" s="5">
        <v>0.42</v>
      </c>
      <c r="AJ230" t="s">
        <v>47</v>
      </c>
    </row>
    <row r="231" spans="1:36" x14ac:dyDescent="0.25">
      <c r="A231" t="s">
        <v>60</v>
      </c>
      <c r="B231" t="s">
        <v>44</v>
      </c>
      <c r="C231" t="s">
        <v>45</v>
      </c>
      <c r="D231" t="s">
        <v>46</v>
      </c>
      <c r="E231" t="s">
        <v>19</v>
      </c>
      <c r="G231" t="s">
        <v>621</v>
      </c>
      <c r="H231" t="s">
        <v>714</v>
      </c>
      <c r="I231">
        <v>365</v>
      </c>
      <c r="J231" t="s">
        <v>728</v>
      </c>
      <c r="K231" t="s">
        <v>51</v>
      </c>
      <c r="L231" t="str">
        <f t="shared" si="34"/>
        <v>Stress</v>
      </c>
      <c r="M231" t="s">
        <v>436</v>
      </c>
      <c r="N231" t="s">
        <v>716</v>
      </c>
      <c r="Q231" t="s">
        <v>412</v>
      </c>
      <c r="R231" t="s">
        <v>709</v>
      </c>
      <c r="S231" t="s">
        <v>703</v>
      </c>
      <c r="T231" t="s">
        <v>615</v>
      </c>
      <c r="U231" s="1" t="s">
        <v>754</v>
      </c>
      <c r="V231" s="1">
        <f t="shared" ref="V231:V238" si="36">+W231*AF231</f>
        <v>7.9801980198019815E-10</v>
      </c>
      <c r="W231" s="1">
        <f>'[32]Barrios-Masias_etal_2015_Fig5'!B2</f>
        <v>3.0693069306930698E-10</v>
      </c>
      <c r="X231" s="1"/>
      <c r="Y231" s="1"/>
      <c r="Z231" s="1"/>
      <c r="AB231" s="1"/>
      <c r="AE231" s="2"/>
      <c r="AF231" s="2">
        <v>2.6</v>
      </c>
      <c r="AJ231" t="s">
        <v>203</v>
      </c>
    </row>
    <row r="232" spans="1:36" x14ac:dyDescent="0.25">
      <c r="A232" t="s">
        <v>60</v>
      </c>
      <c r="B232" t="s">
        <v>44</v>
      </c>
      <c r="C232" t="s">
        <v>45</v>
      </c>
      <c r="D232" t="s">
        <v>46</v>
      </c>
      <c r="E232" t="s">
        <v>19</v>
      </c>
      <c r="G232" t="s">
        <v>621</v>
      </c>
      <c r="H232" t="s">
        <v>714</v>
      </c>
      <c r="I232">
        <v>365</v>
      </c>
      <c r="J232" t="s">
        <v>728</v>
      </c>
      <c r="K232" t="s">
        <v>39</v>
      </c>
      <c r="L232" t="str">
        <f t="shared" si="34"/>
        <v>Control</v>
      </c>
      <c r="M232" t="s">
        <v>436</v>
      </c>
      <c r="N232" t="s">
        <v>716</v>
      </c>
      <c r="Q232" t="s">
        <v>412</v>
      </c>
      <c r="R232" t="s">
        <v>709</v>
      </c>
      <c r="S232" t="s">
        <v>703</v>
      </c>
      <c r="T232" t="s">
        <v>615</v>
      </c>
      <c r="U232" s="1" t="s">
        <v>754</v>
      </c>
      <c r="V232" s="1">
        <f t="shared" si="36"/>
        <v>1.355021216407354E-9</v>
      </c>
      <c r="W232" s="1">
        <f>'[32]Barrios-Masias_etal_2015_Fig5'!B3</f>
        <v>6.77510608203677E-10</v>
      </c>
      <c r="X232" s="1"/>
      <c r="Y232" s="1"/>
      <c r="Z232" s="1"/>
      <c r="AB232" s="1"/>
      <c r="AE232" s="2"/>
      <c r="AF232" s="2">
        <v>2</v>
      </c>
      <c r="AJ232" t="s">
        <v>203</v>
      </c>
    </row>
    <row r="233" spans="1:36" x14ac:dyDescent="0.25">
      <c r="A233" t="s">
        <v>60</v>
      </c>
      <c r="B233" t="s">
        <v>44</v>
      </c>
      <c r="C233" t="s">
        <v>45</v>
      </c>
      <c r="D233" t="s">
        <v>46</v>
      </c>
      <c r="E233" t="s">
        <v>19</v>
      </c>
      <c r="G233" t="s">
        <v>621</v>
      </c>
      <c r="H233" t="s">
        <v>714</v>
      </c>
      <c r="I233">
        <v>365</v>
      </c>
      <c r="J233" t="s">
        <v>728</v>
      </c>
      <c r="K233" t="s">
        <v>51</v>
      </c>
      <c r="L233" t="str">
        <f t="shared" si="34"/>
        <v>Stress</v>
      </c>
      <c r="M233" t="s">
        <v>437</v>
      </c>
      <c r="N233" t="s">
        <v>716</v>
      </c>
      <c r="Q233" t="s">
        <v>412</v>
      </c>
      <c r="R233" t="s">
        <v>709</v>
      </c>
      <c r="S233" t="s">
        <v>703</v>
      </c>
      <c r="T233" t="s">
        <v>615</v>
      </c>
      <c r="U233" s="1" t="s">
        <v>754</v>
      </c>
      <c r="V233" s="1">
        <f t="shared" si="36"/>
        <v>1.216407355021215E-9</v>
      </c>
      <c r="W233" s="1">
        <f>'[32]Barrios-Masias_etal_2015_Fig5'!B4</f>
        <v>4.8656294200848602E-10</v>
      </c>
      <c r="X233" s="1"/>
      <c r="Y233" s="1"/>
      <c r="Z233" s="1"/>
      <c r="AB233" s="1"/>
      <c r="AE233" s="2"/>
      <c r="AF233" s="2">
        <v>2.5</v>
      </c>
      <c r="AJ233" t="s">
        <v>203</v>
      </c>
    </row>
    <row r="234" spans="1:36" x14ac:dyDescent="0.25">
      <c r="A234" t="s">
        <v>60</v>
      </c>
      <c r="B234" t="s">
        <v>44</v>
      </c>
      <c r="C234" t="s">
        <v>45</v>
      </c>
      <c r="D234" t="s">
        <v>46</v>
      </c>
      <c r="E234" t="s">
        <v>19</v>
      </c>
      <c r="G234" t="s">
        <v>621</v>
      </c>
      <c r="H234" t="s">
        <v>714</v>
      </c>
      <c r="I234">
        <v>365</v>
      </c>
      <c r="J234" t="s">
        <v>728</v>
      </c>
      <c r="K234" t="s">
        <v>39</v>
      </c>
      <c r="L234" t="str">
        <f t="shared" si="34"/>
        <v>Control</v>
      </c>
      <c r="M234" t="s">
        <v>437</v>
      </c>
      <c r="N234" t="s">
        <v>716</v>
      </c>
      <c r="Q234" t="s">
        <v>412</v>
      </c>
      <c r="R234" t="s">
        <v>709</v>
      </c>
      <c r="S234" t="s">
        <v>703</v>
      </c>
      <c r="T234" t="s">
        <v>615</v>
      </c>
      <c r="U234" s="1" t="s">
        <v>754</v>
      </c>
      <c r="V234" s="1">
        <f t="shared" si="36"/>
        <v>1.4377652050919363E-9</v>
      </c>
      <c r="W234" s="1">
        <f>'[32]Barrios-Masias_etal_2015_Fig5'!B5</f>
        <v>7.5671852899575602E-10</v>
      </c>
      <c r="X234" s="1"/>
      <c r="Y234" s="1"/>
      <c r="Z234" s="1"/>
      <c r="AB234" s="1"/>
      <c r="AE234" s="2"/>
      <c r="AF234" s="2">
        <v>1.9</v>
      </c>
      <c r="AJ234" t="s">
        <v>203</v>
      </c>
    </row>
    <row r="235" spans="1:36" x14ac:dyDescent="0.25">
      <c r="A235" t="s">
        <v>60</v>
      </c>
      <c r="B235" t="s">
        <v>44</v>
      </c>
      <c r="C235" t="s">
        <v>45</v>
      </c>
      <c r="D235" t="s">
        <v>46</v>
      </c>
      <c r="E235" t="s">
        <v>19</v>
      </c>
      <c r="G235" t="s">
        <v>621</v>
      </c>
      <c r="H235" t="s">
        <v>714</v>
      </c>
      <c r="I235">
        <v>365</v>
      </c>
      <c r="J235" t="s">
        <v>728</v>
      </c>
      <c r="K235" t="s">
        <v>51</v>
      </c>
      <c r="L235" t="str">
        <f t="shared" si="34"/>
        <v>Stress</v>
      </c>
      <c r="M235" t="s">
        <v>436</v>
      </c>
      <c r="N235" t="s">
        <v>716</v>
      </c>
      <c r="Q235" t="s">
        <v>412</v>
      </c>
      <c r="R235" t="s">
        <v>709</v>
      </c>
      <c r="S235" t="s">
        <v>703</v>
      </c>
      <c r="T235" t="s">
        <v>616</v>
      </c>
      <c r="U235" s="1" t="s">
        <v>754</v>
      </c>
      <c r="V235" s="1">
        <f t="shared" si="36"/>
        <v>4.3832853025936521E-10</v>
      </c>
      <c r="W235" s="1">
        <f>'[33]Barrios-Masias_etal_2015_Fig4c'!B2</f>
        <v>1.68587896253602E-10</v>
      </c>
      <c r="X235" s="1"/>
      <c r="Y235" s="1"/>
      <c r="Z235" s="1"/>
      <c r="AB235" s="1"/>
      <c r="AE235" s="2"/>
      <c r="AF235" s="2">
        <v>2.6</v>
      </c>
      <c r="AJ235" t="s">
        <v>352</v>
      </c>
    </row>
    <row r="236" spans="1:36" x14ac:dyDescent="0.25">
      <c r="A236" t="s">
        <v>60</v>
      </c>
      <c r="B236" t="s">
        <v>44</v>
      </c>
      <c r="C236" t="s">
        <v>45</v>
      </c>
      <c r="D236" t="s">
        <v>46</v>
      </c>
      <c r="E236" t="s">
        <v>19</v>
      </c>
      <c r="G236" t="s">
        <v>621</v>
      </c>
      <c r="H236" t="s">
        <v>714</v>
      </c>
      <c r="I236">
        <v>365</v>
      </c>
      <c r="J236" t="s">
        <v>728</v>
      </c>
      <c r="K236" t="s">
        <v>39</v>
      </c>
      <c r="L236" t="str">
        <f t="shared" si="34"/>
        <v>Control</v>
      </c>
      <c r="M236" t="s">
        <v>436</v>
      </c>
      <c r="N236" t="s">
        <v>716</v>
      </c>
      <c r="Q236" t="s">
        <v>412</v>
      </c>
      <c r="R236" t="s">
        <v>709</v>
      </c>
      <c r="S236" t="s">
        <v>703</v>
      </c>
      <c r="T236" t="s">
        <v>616</v>
      </c>
      <c r="U236" s="1" t="s">
        <v>754</v>
      </c>
      <c r="V236" s="1">
        <f t="shared" si="36"/>
        <v>6.80115273775214E-10</v>
      </c>
      <c r="W236" s="1">
        <f>'[33]Barrios-Masias_etal_2015_Fig4c'!B3</f>
        <v>3.40057636887607E-10</v>
      </c>
      <c r="X236" s="1"/>
      <c r="Y236" s="1"/>
      <c r="Z236" s="1"/>
      <c r="AB236" s="1"/>
      <c r="AE236" s="2"/>
      <c r="AF236" s="2">
        <v>2</v>
      </c>
      <c r="AJ236" t="s">
        <v>352</v>
      </c>
    </row>
    <row r="237" spans="1:36" x14ac:dyDescent="0.25">
      <c r="A237" t="s">
        <v>60</v>
      </c>
      <c r="B237" t="s">
        <v>44</v>
      </c>
      <c r="C237" t="s">
        <v>45</v>
      </c>
      <c r="D237" t="s">
        <v>46</v>
      </c>
      <c r="E237" t="s">
        <v>19</v>
      </c>
      <c r="G237" t="s">
        <v>621</v>
      </c>
      <c r="H237" t="s">
        <v>714</v>
      </c>
      <c r="I237">
        <v>365</v>
      </c>
      <c r="J237" t="s">
        <v>728</v>
      </c>
      <c r="K237" t="s">
        <v>51</v>
      </c>
      <c r="L237" t="str">
        <f t="shared" si="34"/>
        <v>Stress</v>
      </c>
      <c r="M237" t="s">
        <v>437</v>
      </c>
      <c r="N237" t="s">
        <v>716</v>
      </c>
      <c r="Q237" t="s">
        <v>412</v>
      </c>
      <c r="R237" t="s">
        <v>709</v>
      </c>
      <c r="S237" t="s">
        <v>703</v>
      </c>
      <c r="T237" t="s">
        <v>616</v>
      </c>
      <c r="U237" s="1" t="s">
        <v>754</v>
      </c>
      <c r="V237" s="1">
        <f t="shared" si="36"/>
        <v>8.4293948126801251E-10</v>
      </c>
      <c r="W237" s="1">
        <f>'[33]Barrios-Masias_etal_2015_Fig4c'!B4</f>
        <v>3.3717579250720499E-10</v>
      </c>
      <c r="X237" s="1"/>
      <c r="Y237" s="1"/>
      <c r="Z237" s="1"/>
      <c r="AB237" s="1"/>
      <c r="AE237" s="2"/>
      <c r="AF237" s="2">
        <v>2.5</v>
      </c>
      <c r="AJ237" t="s">
        <v>352</v>
      </c>
    </row>
    <row r="238" spans="1:36" x14ac:dyDescent="0.25">
      <c r="A238" t="s">
        <v>60</v>
      </c>
      <c r="B238" t="s">
        <v>44</v>
      </c>
      <c r="C238" t="s">
        <v>45</v>
      </c>
      <c r="D238" t="s">
        <v>46</v>
      </c>
      <c r="E238" t="s">
        <v>19</v>
      </c>
      <c r="G238" t="s">
        <v>621</v>
      </c>
      <c r="H238" t="s">
        <v>714</v>
      </c>
      <c r="I238">
        <v>365</v>
      </c>
      <c r="J238" t="s">
        <v>728</v>
      </c>
      <c r="K238" t="s">
        <v>39</v>
      </c>
      <c r="L238" t="str">
        <f t="shared" si="34"/>
        <v>Control</v>
      </c>
      <c r="M238" t="s">
        <v>437</v>
      </c>
      <c r="N238" t="s">
        <v>716</v>
      </c>
      <c r="Q238" t="s">
        <v>412</v>
      </c>
      <c r="R238" t="s">
        <v>709</v>
      </c>
      <c r="S238" t="s">
        <v>703</v>
      </c>
      <c r="T238" t="s">
        <v>616</v>
      </c>
      <c r="U238" s="1" t="s">
        <v>754</v>
      </c>
      <c r="V238" s="1">
        <f t="shared" si="36"/>
        <v>7.2550432276657012E-10</v>
      </c>
      <c r="W238" s="1">
        <f>'[33]Barrios-Masias_etal_2015_Fig4c'!B5</f>
        <v>3.8184438040345798E-10</v>
      </c>
      <c r="X238" s="1"/>
      <c r="Y238" s="1"/>
      <c r="Z238" s="1"/>
      <c r="AB238" s="1"/>
      <c r="AE238" s="2"/>
      <c r="AF238" s="2">
        <v>1.9</v>
      </c>
      <c r="AJ238" t="s">
        <v>352</v>
      </c>
    </row>
    <row r="239" spans="1:36" x14ac:dyDescent="0.25">
      <c r="A239" t="s">
        <v>243</v>
      </c>
      <c r="B239" t="s">
        <v>44</v>
      </c>
      <c r="C239" t="s">
        <v>45</v>
      </c>
      <c r="D239" t="s">
        <v>46</v>
      </c>
      <c r="E239" t="s">
        <v>19</v>
      </c>
      <c r="G239" t="s">
        <v>621</v>
      </c>
      <c r="H239" t="s">
        <v>714</v>
      </c>
      <c r="I239">
        <f>1*365+4*30</f>
        <v>485</v>
      </c>
      <c r="J239" t="s">
        <v>442</v>
      </c>
      <c r="K239" t="s">
        <v>39</v>
      </c>
      <c r="L239" t="str">
        <f t="shared" si="34"/>
        <v>Control</v>
      </c>
      <c r="Q239" t="s">
        <v>412</v>
      </c>
      <c r="R239" t="s">
        <v>709</v>
      </c>
      <c r="S239" t="s">
        <v>703</v>
      </c>
      <c r="T239" t="s">
        <v>615</v>
      </c>
      <c r="U239" s="1"/>
      <c r="V239" s="1"/>
      <c r="W239" s="1"/>
      <c r="X239">
        <f>0.49*0.000000001</f>
        <v>4.9000000000000007E-10</v>
      </c>
      <c r="AJ239" t="s">
        <v>47</v>
      </c>
    </row>
    <row r="240" spans="1:36" x14ac:dyDescent="0.25">
      <c r="A240" t="s">
        <v>243</v>
      </c>
      <c r="B240" t="s">
        <v>101</v>
      </c>
      <c r="C240" t="s">
        <v>102</v>
      </c>
      <c r="D240" t="s">
        <v>92</v>
      </c>
      <c r="E240" t="s">
        <v>19</v>
      </c>
      <c r="F240" t="s">
        <v>37</v>
      </c>
      <c r="G240" t="s">
        <v>626</v>
      </c>
      <c r="H240" t="s">
        <v>714</v>
      </c>
      <c r="I240">
        <f>8*7</f>
        <v>56</v>
      </c>
      <c r="J240" t="s">
        <v>442</v>
      </c>
      <c r="K240" t="s">
        <v>39</v>
      </c>
      <c r="L240" t="str">
        <f t="shared" si="34"/>
        <v>Control</v>
      </c>
      <c r="Q240" t="s">
        <v>412</v>
      </c>
      <c r="R240" t="s">
        <v>709</v>
      </c>
      <c r="S240" t="s">
        <v>703</v>
      </c>
      <c r="T240" t="s">
        <v>615</v>
      </c>
      <c r="U240" s="1"/>
      <c r="V240" s="1"/>
      <c r="W240" s="1"/>
      <c r="X240">
        <f>4.32*0.000000001</f>
        <v>4.3200000000000008E-9</v>
      </c>
      <c r="AJ240" t="s">
        <v>47</v>
      </c>
    </row>
    <row r="241" spans="1:36" x14ac:dyDescent="0.25">
      <c r="A241" t="s">
        <v>243</v>
      </c>
      <c r="B241" t="s">
        <v>53</v>
      </c>
      <c r="C241" t="s">
        <v>54</v>
      </c>
      <c r="D241" t="s">
        <v>18</v>
      </c>
      <c r="E241" t="s">
        <v>31</v>
      </c>
      <c r="F241" t="s">
        <v>32</v>
      </c>
      <c r="G241" t="s">
        <v>32</v>
      </c>
      <c r="H241" t="s">
        <v>712</v>
      </c>
      <c r="I241">
        <f>8*7</f>
        <v>56</v>
      </c>
      <c r="J241" t="s">
        <v>442</v>
      </c>
      <c r="K241" t="s">
        <v>39</v>
      </c>
      <c r="L241" t="str">
        <f t="shared" si="34"/>
        <v>Control</v>
      </c>
      <c r="Q241" t="s">
        <v>412</v>
      </c>
      <c r="R241" t="s">
        <v>709</v>
      </c>
      <c r="S241" t="s">
        <v>703</v>
      </c>
      <c r="T241" t="s">
        <v>615</v>
      </c>
      <c r="U241" s="1"/>
      <c r="V241" s="1"/>
      <c r="W241" s="1"/>
      <c r="X241">
        <f>2.35*0.000000001</f>
        <v>2.3500000000000004E-9</v>
      </c>
      <c r="AJ241" t="s">
        <v>47</v>
      </c>
    </row>
    <row r="242" spans="1:36" x14ac:dyDescent="0.25">
      <c r="A242" t="s">
        <v>243</v>
      </c>
      <c r="B242" t="s">
        <v>44</v>
      </c>
      <c r="C242" t="s">
        <v>45</v>
      </c>
      <c r="D242" t="s">
        <v>46</v>
      </c>
      <c r="E242" t="s">
        <v>19</v>
      </c>
      <c r="G242" t="s">
        <v>621</v>
      </c>
      <c r="H242" t="s">
        <v>714</v>
      </c>
      <c r="I242">
        <f>1*365+4*30</f>
        <v>485</v>
      </c>
      <c r="J242" t="s">
        <v>442</v>
      </c>
      <c r="K242" t="s">
        <v>244</v>
      </c>
      <c r="L242" t="str">
        <f t="shared" si="34"/>
        <v>Stress</v>
      </c>
      <c r="Q242" t="s">
        <v>412</v>
      </c>
      <c r="R242" t="s">
        <v>709</v>
      </c>
      <c r="S242" t="s">
        <v>703</v>
      </c>
      <c r="T242" t="s">
        <v>615</v>
      </c>
      <c r="U242" s="1"/>
      <c r="V242" s="1"/>
      <c r="W242" s="1"/>
      <c r="X242">
        <f>0.24*0.000000001</f>
        <v>2.4E-10</v>
      </c>
      <c r="AJ242" t="s">
        <v>47</v>
      </c>
    </row>
    <row r="243" spans="1:36" x14ac:dyDescent="0.25">
      <c r="A243" t="s">
        <v>243</v>
      </c>
      <c r="B243" t="s">
        <v>101</v>
      </c>
      <c r="C243" t="s">
        <v>102</v>
      </c>
      <c r="D243" t="s">
        <v>92</v>
      </c>
      <c r="E243" t="s">
        <v>19</v>
      </c>
      <c r="F243" t="s">
        <v>37</v>
      </c>
      <c r="G243" t="s">
        <v>626</v>
      </c>
      <c r="H243" t="s">
        <v>714</v>
      </c>
      <c r="I243">
        <f>8*7</f>
        <v>56</v>
      </c>
      <c r="J243" t="s">
        <v>442</v>
      </c>
      <c r="K243" t="s">
        <v>244</v>
      </c>
      <c r="L243" t="str">
        <f t="shared" si="34"/>
        <v>Stress</v>
      </c>
      <c r="Q243" t="s">
        <v>412</v>
      </c>
      <c r="R243" t="s">
        <v>709</v>
      </c>
      <c r="S243" t="s">
        <v>703</v>
      </c>
      <c r="T243" t="s">
        <v>615</v>
      </c>
      <c r="U243" s="1"/>
      <c r="V243" s="1"/>
      <c r="W243" s="1"/>
      <c r="X243">
        <f>2.02*0.000000001</f>
        <v>2.0200000000000001E-9</v>
      </c>
      <c r="AJ243" t="s">
        <v>47</v>
      </c>
    </row>
    <row r="244" spans="1:36" x14ac:dyDescent="0.25">
      <c r="A244" t="s">
        <v>243</v>
      </c>
      <c r="B244" t="s">
        <v>53</v>
      </c>
      <c r="C244" t="s">
        <v>54</v>
      </c>
      <c r="D244" t="s">
        <v>18</v>
      </c>
      <c r="E244" t="s">
        <v>31</v>
      </c>
      <c r="F244" t="s">
        <v>32</v>
      </c>
      <c r="G244" t="s">
        <v>32</v>
      </c>
      <c r="H244" t="s">
        <v>712</v>
      </c>
      <c r="I244">
        <f>8*7</f>
        <v>56</v>
      </c>
      <c r="J244" t="s">
        <v>442</v>
      </c>
      <c r="K244" t="s">
        <v>244</v>
      </c>
      <c r="L244" t="str">
        <f t="shared" si="34"/>
        <v>Stress</v>
      </c>
      <c r="Q244" t="s">
        <v>412</v>
      </c>
      <c r="R244" t="s">
        <v>709</v>
      </c>
      <c r="S244" t="s">
        <v>703</v>
      </c>
      <c r="T244" t="s">
        <v>615</v>
      </c>
      <c r="U244" s="1"/>
      <c r="V244" s="1"/>
      <c r="W244" s="1"/>
      <c r="X244">
        <f>0.99*0.000000001</f>
        <v>9.900000000000001E-10</v>
      </c>
      <c r="AJ244" t="s">
        <v>47</v>
      </c>
    </row>
    <row r="245" spans="1:36" x14ac:dyDescent="0.25">
      <c r="A245" t="s">
        <v>550</v>
      </c>
      <c r="B245" t="s">
        <v>128</v>
      </c>
      <c r="C245" t="s">
        <v>70</v>
      </c>
      <c r="D245" t="s">
        <v>71</v>
      </c>
      <c r="E245" t="s">
        <v>19</v>
      </c>
      <c r="F245" t="s">
        <v>129</v>
      </c>
      <c r="G245" t="s">
        <v>624</v>
      </c>
      <c r="H245" t="s">
        <v>713</v>
      </c>
      <c r="I245">
        <f>5*30+1</f>
        <v>151</v>
      </c>
      <c r="J245" t="s">
        <v>245</v>
      </c>
      <c r="K245" t="s">
        <v>39</v>
      </c>
      <c r="L245" t="str">
        <f t="shared" si="34"/>
        <v>Control</v>
      </c>
      <c r="Q245" t="s">
        <v>412</v>
      </c>
      <c r="R245" t="s">
        <v>709</v>
      </c>
      <c r="S245" t="s">
        <v>703</v>
      </c>
      <c r="T245" t="s">
        <v>615</v>
      </c>
      <c r="U245" s="1"/>
      <c r="V245" s="1"/>
      <c r="W245" s="1"/>
      <c r="Z245" s="1">
        <f>[34]Liu_etal_2014_Fig2a!C2</f>
        <v>7.7696070578656895E-10</v>
      </c>
      <c r="AJ245" t="s">
        <v>47</v>
      </c>
    </row>
    <row r="246" spans="1:36" x14ac:dyDescent="0.25">
      <c r="A246" t="s">
        <v>550</v>
      </c>
      <c r="B246" t="s">
        <v>128</v>
      </c>
      <c r="C246" t="s">
        <v>70</v>
      </c>
      <c r="D246" t="s">
        <v>71</v>
      </c>
      <c r="E246" t="s">
        <v>19</v>
      </c>
      <c r="F246" t="s">
        <v>129</v>
      </c>
      <c r="G246" t="s">
        <v>624</v>
      </c>
      <c r="H246" t="s">
        <v>713</v>
      </c>
      <c r="I246">
        <f>5*30+1</f>
        <v>151</v>
      </c>
      <c r="J246" t="s">
        <v>245</v>
      </c>
      <c r="K246" t="s">
        <v>440</v>
      </c>
      <c r="L246" t="str">
        <f t="shared" si="34"/>
        <v>Stress</v>
      </c>
      <c r="Q246" t="s">
        <v>412</v>
      </c>
      <c r="R246" t="s">
        <v>709</v>
      </c>
      <c r="S246" t="s">
        <v>703</v>
      </c>
      <c r="T246" t="s">
        <v>615</v>
      </c>
      <c r="U246" s="1"/>
      <c r="V246" s="1"/>
      <c r="W246" s="1"/>
      <c r="Z246" s="1">
        <f>[34]Liu_etal_2014_Fig2a!C3</f>
        <v>5.7052532505483996E-10</v>
      </c>
      <c r="AJ246" t="s">
        <v>47</v>
      </c>
    </row>
    <row r="247" spans="1:36" x14ac:dyDescent="0.25">
      <c r="A247" t="s">
        <v>550</v>
      </c>
      <c r="B247" t="s">
        <v>128</v>
      </c>
      <c r="C247" t="s">
        <v>70</v>
      </c>
      <c r="D247" t="s">
        <v>71</v>
      </c>
      <c r="E247" t="s">
        <v>19</v>
      </c>
      <c r="F247" t="s">
        <v>129</v>
      </c>
      <c r="G247" t="s">
        <v>624</v>
      </c>
      <c r="H247" t="s">
        <v>713</v>
      </c>
      <c r="I247">
        <f>5*30+1</f>
        <v>151</v>
      </c>
      <c r="J247" t="s">
        <v>245</v>
      </c>
      <c r="K247" t="s">
        <v>441</v>
      </c>
      <c r="L247" t="str">
        <f t="shared" si="34"/>
        <v>Stress</v>
      </c>
      <c r="Q247" t="s">
        <v>412</v>
      </c>
      <c r="R247" t="s">
        <v>709</v>
      </c>
      <c r="S247" t="s">
        <v>703</v>
      </c>
      <c r="T247" t="s">
        <v>615</v>
      </c>
      <c r="U247" s="1"/>
      <c r="V247" s="1"/>
      <c r="W247" s="1"/>
      <c r="Z247" s="1">
        <f>[34]Liu_etal_2014_Fig2a!C4</f>
        <v>4.1209689784207603E-10</v>
      </c>
      <c r="AJ247" t="s">
        <v>47</v>
      </c>
    </row>
    <row r="248" spans="1:36" x14ac:dyDescent="0.25">
      <c r="A248" t="s">
        <v>550</v>
      </c>
      <c r="B248" t="s">
        <v>128</v>
      </c>
      <c r="C248" t="s">
        <v>70</v>
      </c>
      <c r="D248" t="s">
        <v>71</v>
      </c>
      <c r="E248" t="s">
        <v>19</v>
      </c>
      <c r="F248" t="s">
        <v>129</v>
      </c>
      <c r="G248" t="s">
        <v>624</v>
      </c>
      <c r="H248" t="s">
        <v>713</v>
      </c>
      <c r="I248">
        <f>5*30+7</f>
        <v>157</v>
      </c>
      <c r="J248" t="s">
        <v>245</v>
      </c>
      <c r="K248" t="s">
        <v>39</v>
      </c>
      <c r="L248" t="str">
        <f t="shared" si="34"/>
        <v>Control</v>
      </c>
      <c r="Q248" t="s">
        <v>412</v>
      </c>
      <c r="R248" t="s">
        <v>709</v>
      </c>
      <c r="S248" t="s">
        <v>703</v>
      </c>
      <c r="T248" t="s">
        <v>615</v>
      </c>
      <c r="U248" s="1"/>
      <c r="V248" s="1"/>
      <c r="W248" s="1"/>
      <c r="Z248" s="1">
        <f>[34]Liu_etal_2014_Fig2a!C5</f>
        <v>7.9942625278993601E-10</v>
      </c>
      <c r="AJ248" t="s">
        <v>47</v>
      </c>
    </row>
    <row r="249" spans="1:36" x14ac:dyDescent="0.25">
      <c r="A249" t="s">
        <v>550</v>
      </c>
      <c r="B249" t="s">
        <v>128</v>
      </c>
      <c r="C249" t="s">
        <v>70</v>
      </c>
      <c r="D249" t="s">
        <v>71</v>
      </c>
      <c r="E249" t="s">
        <v>19</v>
      </c>
      <c r="F249" t="s">
        <v>129</v>
      </c>
      <c r="G249" t="s">
        <v>624</v>
      </c>
      <c r="H249" t="s">
        <v>713</v>
      </c>
      <c r="I249">
        <f>5*30+7</f>
        <v>157</v>
      </c>
      <c r="J249" t="s">
        <v>245</v>
      </c>
      <c r="K249" t="s">
        <v>440</v>
      </c>
      <c r="L249" t="str">
        <f t="shared" si="34"/>
        <v>Stress</v>
      </c>
      <c r="Q249" t="s">
        <v>412</v>
      </c>
      <c r="R249" t="s">
        <v>709</v>
      </c>
      <c r="S249" t="s">
        <v>703</v>
      </c>
      <c r="T249" t="s">
        <v>615</v>
      </c>
      <c r="U249" s="1"/>
      <c r="V249" s="1"/>
      <c r="W249" s="1"/>
      <c r="Z249" s="1">
        <f>[34]Liu_etal_2014_Fig2a!C6</f>
        <v>6.0323893523192096E-10</v>
      </c>
      <c r="AJ249" t="s">
        <v>47</v>
      </c>
    </row>
    <row r="250" spans="1:36" x14ac:dyDescent="0.25">
      <c r="A250" t="s">
        <v>550</v>
      </c>
      <c r="B250" t="s">
        <v>128</v>
      </c>
      <c r="C250" t="s">
        <v>70</v>
      </c>
      <c r="D250" t="s">
        <v>71</v>
      </c>
      <c r="E250" t="s">
        <v>19</v>
      </c>
      <c r="F250" t="s">
        <v>129</v>
      </c>
      <c r="G250" t="s">
        <v>624</v>
      </c>
      <c r="H250" t="s">
        <v>713</v>
      </c>
      <c r="I250">
        <f>5*30+7</f>
        <v>157</v>
      </c>
      <c r="J250" t="s">
        <v>245</v>
      </c>
      <c r="K250" t="s">
        <v>441</v>
      </c>
      <c r="L250" t="str">
        <f t="shared" si="34"/>
        <v>Stress</v>
      </c>
      <c r="Q250" t="s">
        <v>412</v>
      </c>
      <c r="R250" t="s">
        <v>709</v>
      </c>
      <c r="S250" t="s">
        <v>703</v>
      </c>
      <c r="T250" t="s">
        <v>615</v>
      </c>
      <c r="U250" s="1"/>
      <c r="V250" s="1"/>
      <c r="W250" s="1"/>
      <c r="Z250" s="1">
        <f>[34]Liu_etal_2014_Fig2a!C7</f>
        <v>6.04828572946632E-10</v>
      </c>
      <c r="AJ250" t="s">
        <v>47</v>
      </c>
    </row>
    <row r="251" spans="1:36" x14ac:dyDescent="0.25">
      <c r="A251" t="s">
        <v>550</v>
      </c>
      <c r="B251" t="s">
        <v>128</v>
      </c>
      <c r="C251" t="s">
        <v>70</v>
      </c>
      <c r="D251" t="s">
        <v>71</v>
      </c>
      <c r="E251" t="s">
        <v>19</v>
      </c>
      <c r="F251" t="s">
        <v>129</v>
      </c>
      <c r="G251" t="s">
        <v>624</v>
      </c>
      <c r="H251" t="s">
        <v>713</v>
      </c>
      <c r="I251">
        <f>5*30+21</f>
        <v>171</v>
      </c>
      <c r="J251" t="s">
        <v>245</v>
      </c>
      <c r="K251" t="s">
        <v>39</v>
      </c>
      <c r="L251" t="str">
        <f t="shared" si="34"/>
        <v>Control</v>
      </c>
      <c r="Q251" t="s">
        <v>412</v>
      </c>
      <c r="R251" t="s">
        <v>709</v>
      </c>
      <c r="S251" t="s">
        <v>703</v>
      </c>
      <c r="T251" t="s">
        <v>615</v>
      </c>
      <c r="U251" s="1"/>
      <c r="V251" s="1"/>
      <c r="W251" s="1"/>
      <c r="Z251" s="1">
        <f>[34]Liu_etal_2014_Fig2a!C8</f>
        <v>9.3163046772047308E-10</v>
      </c>
      <c r="AJ251" t="s">
        <v>47</v>
      </c>
    </row>
    <row r="252" spans="1:36" x14ac:dyDescent="0.25">
      <c r="A252" t="s">
        <v>550</v>
      </c>
      <c r="B252" t="s">
        <v>128</v>
      </c>
      <c r="C252" t="s">
        <v>70</v>
      </c>
      <c r="D252" t="s">
        <v>71</v>
      </c>
      <c r="E252" t="s">
        <v>19</v>
      </c>
      <c r="F252" t="s">
        <v>129</v>
      </c>
      <c r="G252" t="s">
        <v>624</v>
      </c>
      <c r="H252" t="s">
        <v>713</v>
      </c>
      <c r="I252">
        <f>5*30+21</f>
        <v>171</v>
      </c>
      <c r="J252" t="s">
        <v>245</v>
      </c>
      <c r="K252" t="s">
        <v>440</v>
      </c>
      <c r="L252" t="str">
        <f t="shared" si="34"/>
        <v>Stress</v>
      </c>
      <c r="Q252" t="s">
        <v>412</v>
      </c>
      <c r="R252" t="s">
        <v>709</v>
      </c>
      <c r="S252" t="s">
        <v>703</v>
      </c>
      <c r="T252" t="s">
        <v>615</v>
      </c>
      <c r="U252" s="1"/>
      <c r="V252" s="1"/>
      <c r="W252" s="1"/>
      <c r="Z252" s="1">
        <f>[34]Liu_etal_2014_Fig2a!C9</f>
        <v>9.1710551283900195E-10</v>
      </c>
      <c r="AJ252" t="s">
        <v>47</v>
      </c>
    </row>
    <row r="253" spans="1:36" x14ac:dyDescent="0.25">
      <c r="A253" t="s">
        <v>550</v>
      </c>
      <c r="B253" t="s">
        <v>128</v>
      </c>
      <c r="C253" t="s">
        <v>70</v>
      </c>
      <c r="D253" t="s">
        <v>71</v>
      </c>
      <c r="E253" t="s">
        <v>19</v>
      </c>
      <c r="F253" t="s">
        <v>129</v>
      </c>
      <c r="G253" t="s">
        <v>624</v>
      </c>
      <c r="H253" t="s">
        <v>713</v>
      </c>
      <c r="I253">
        <f>5*30+21</f>
        <v>171</v>
      </c>
      <c r="J253" t="s">
        <v>245</v>
      </c>
      <c r="K253" t="s">
        <v>441</v>
      </c>
      <c r="L253" t="str">
        <f t="shared" si="34"/>
        <v>Stress</v>
      </c>
      <c r="Q253" t="s">
        <v>412</v>
      </c>
      <c r="R253" t="s">
        <v>709</v>
      </c>
      <c r="S253" t="s">
        <v>703</v>
      </c>
      <c r="T253" t="s">
        <v>615</v>
      </c>
      <c r="U253" s="1"/>
      <c r="V253" s="1"/>
      <c r="W253" s="1"/>
      <c r="Z253" s="1">
        <f>[34]Liu_etal_2014_Fig2a!C10</f>
        <v>7.1373845324751406E-10</v>
      </c>
      <c r="AJ253" t="s">
        <v>47</v>
      </c>
    </row>
    <row r="254" spans="1:36" x14ac:dyDescent="0.25">
      <c r="A254" t="s">
        <v>550</v>
      </c>
      <c r="B254" t="s">
        <v>128</v>
      </c>
      <c r="C254" t="s">
        <v>70</v>
      </c>
      <c r="D254" t="s">
        <v>71</v>
      </c>
      <c r="E254" t="s">
        <v>19</v>
      </c>
      <c r="F254" t="s">
        <v>129</v>
      </c>
      <c r="G254" t="s">
        <v>624</v>
      </c>
      <c r="H254" t="s">
        <v>713</v>
      </c>
      <c r="I254">
        <f>1*365+2*30+1</f>
        <v>426</v>
      </c>
      <c r="J254" t="s">
        <v>443</v>
      </c>
      <c r="K254" t="s">
        <v>39</v>
      </c>
      <c r="L254" t="str">
        <f t="shared" si="34"/>
        <v>Control</v>
      </c>
      <c r="M254" t="s">
        <v>39</v>
      </c>
      <c r="N254" t="str">
        <f t="shared" ref="N254:N269" si="37">+IF(M254="Control","Control","Stress")</f>
        <v>Control</v>
      </c>
      <c r="Q254" t="s">
        <v>412</v>
      </c>
      <c r="R254" t="s">
        <v>709</v>
      </c>
      <c r="S254" t="s">
        <v>703</v>
      </c>
      <c r="T254" t="s">
        <v>615</v>
      </c>
      <c r="U254" s="1"/>
      <c r="V254" s="1"/>
      <c r="W254" s="1"/>
      <c r="Z254" s="1">
        <f>[35]Liu_etal_2014_Fig4!C2</f>
        <v>5.3786713715574205E-10</v>
      </c>
      <c r="AJ254" t="s">
        <v>47</v>
      </c>
    </row>
    <row r="255" spans="1:36" x14ac:dyDescent="0.25">
      <c r="A255" t="s">
        <v>550</v>
      </c>
      <c r="B255" t="s">
        <v>128</v>
      </c>
      <c r="C255" t="s">
        <v>70</v>
      </c>
      <c r="D255" t="s">
        <v>71</v>
      </c>
      <c r="E255" t="s">
        <v>19</v>
      </c>
      <c r="F255" t="s">
        <v>129</v>
      </c>
      <c r="G255" t="s">
        <v>624</v>
      </c>
      <c r="H255" t="s">
        <v>713</v>
      </c>
      <c r="I255">
        <f>1*365+2*30+1</f>
        <v>426</v>
      </c>
      <c r="J255" t="s">
        <v>443</v>
      </c>
      <c r="K255" t="s">
        <v>39</v>
      </c>
      <c r="L255" t="str">
        <f t="shared" ref="L255:L286" si="38">+IF(K255 = "Control", "Control", "Stress")</f>
        <v>Control</v>
      </c>
      <c r="M255" t="s">
        <v>444</v>
      </c>
      <c r="N255" t="str">
        <f t="shared" si="37"/>
        <v>Stress</v>
      </c>
      <c r="Q255" t="s">
        <v>412</v>
      </c>
      <c r="R255" t="s">
        <v>709</v>
      </c>
      <c r="S255" t="s">
        <v>703</v>
      </c>
      <c r="T255" t="s">
        <v>615</v>
      </c>
      <c r="U255" s="1"/>
      <c r="V255" s="1"/>
      <c r="W255" s="1"/>
      <c r="Z255" s="1">
        <f>[35]Liu_etal_2014_Fig4!C3</f>
        <v>6.00847257734293E-10</v>
      </c>
      <c r="AJ255" t="s">
        <v>47</v>
      </c>
    </row>
    <row r="256" spans="1:36" x14ac:dyDescent="0.25">
      <c r="A256" t="s">
        <v>550</v>
      </c>
      <c r="B256" t="s">
        <v>128</v>
      </c>
      <c r="C256" t="s">
        <v>70</v>
      </c>
      <c r="D256" t="s">
        <v>71</v>
      </c>
      <c r="E256" t="s">
        <v>19</v>
      </c>
      <c r="F256" t="s">
        <v>129</v>
      </c>
      <c r="G256" t="s">
        <v>624</v>
      </c>
      <c r="H256" t="s">
        <v>713</v>
      </c>
      <c r="I256">
        <f>1*365+2*30+1</f>
        <v>426</v>
      </c>
      <c r="J256" t="s">
        <v>443</v>
      </c>
      <c r="K256" t="s">
        <v>245</v>
      </c>
      <c r="L256" t="str">
        <f t="shared" si="38"/>
        <v>Stress</v>
      </c>
      <c r="M256" t="s">
        <v>39</v>
      </c>
      <c r="N256" t="str">
        <f t="shared" si="37"/>
        <v>Control</v>
      </c>
      <c r="Q256" t="s">
        <v>412</v>
      </c>
      <c r="R256" t="s">
        <v>709</v>
      </c>
      <c r="S256" t="s">
        <v>703</v>
      </c>
      <c r="T256" t="s">
        <v>615</v>
      </c>
      <c r="U256" s="1"/>
      <c r="V256" s="1"/>
      <c r="W256" s="1"/>
      <c r="Z256" s="1">
        <f>[35]Liu_etal_2014_Fig4!C4</f>
        <v>3.34615856362452E-10</v>
      </c>
      <c r="AJ256" t="s">
        <v>47</v>
      </c>
    </row>
    <row r="257" spans="1:36" x14ac:dyDescent="0.25">
      <c r="A257" t="s">
        <v>550</v>
      </c>
      <c r="B257" t="s">
        <v>128</v>
      </c>
      <c r="C257" t="s">
        <v>70</v>
      </c>
      <c r="D257" t="s">
        <v>71</v>
      </c>
      <c r="E257" t="s">
        <v>19</v>
      </c>
      <c r="F257" t="s">
        <v>129</v>
      </c>
      <c r="G257" t="s">
        <v>624</v>
      </c>
      <c r="H257" t="s">
        <v>713</v>
      </c>
      <c r="I257">
        <f>1*365+2*30+1</f>
        <v>426</v>
      </c>
      <c r="J257" t="s">
        <v>443</v>
      </c>
      <c r="K257" t="s">
        <v>245</v>
      </c>
      <c r="L257" t="str">
        <f t="shared" si="38"/>
        <v>Stress</v>
      </c>
      <c r="M257" t="s">
        <v>444</v>
      </c>
      <c r="N257" t="str">
        <f t="shared" si="37"/>
        <v>Stress</v>
      </c>
      <c r="Q257" t="s">
        <v>412</v>
      </c>
      <c r="R257" t="s">
        <v>709</v>
      </c>
      <c r="S257" t="s">
        <v>703</v>
      </c>
      <c r="T257" t="s">
        <v>615</v>
      </c>
      <c r="U257" s="1"/>
      <c r="V257" s="1"/>
      <c r="W257" s="1"/>
      <c r="Z257" s="1">
        <f>[35]Liu_etal_2014_Fig4!C5</f>
        <v>3.7516572474502001E-10</v>
      </c>
      <c r="AJ257" t="s">
        <v>47</v>
      </c>
    </row>
    <row r="258" spans="1:36" x14ac:dyDescent="0.25">
      <c r="A258" t="s">
        <v>550</v>
      </c>
      <c r="B258" t="s">
        <v>128</v>
      </c>
      <c r="C258" t="s">
        <v>70</v>
      </c>
      <c r="D258" t="s">
        <v>71</v>
      </c>
      <c r="E258" t="s">
        <v>19</v>
      </c>
      <c r="F258" t="s">
        <v>129</v>
      </c>
      <c r="G258" t="s">
        <v>624</v>
      </c>
      <c r="H258" t="s">
        <v>713</v>
      </c>
      <c r="I258">
        <f>1*365+2*30+10</f>
        <v>435</v>
      </c>
      <c r="J258" t="s">
        <v>443</v>
      </c>
      <c r="K258" t="s">
        <v>39</v>
      </c>
      <c r="L258" t="str">
        <f t="shared" si="38"/>
        <v>Control</v>
      </c>
      <c r="M258" t="s">
        <v>39</v>
      </c>
      <c r="N258" t="str">
        <f t="shared" si="37"/>
        <v>Control</v>
      </c>
      <c r="Q258" t="s">
        <v>412</v>
      </c>
      <c r="R258" t="s">
        <v>709</v>
      </c>
      <c r="S258" t="s">
        <v>703</v>
      </c>
      <c r="T258" t="s">
        <v>615</v>
      </c>
      <c r="U258" s="1"/>
      <c r="V258" s="1"/>
      <c r="W258" s="1"/>
      <c r="Z258" s="1">
        <f>[35]Liu_etal_2014_Fig4!C6</f>
        <v>5.5036654747190699E-10</v>
      </c>
      <c r="AJ258" t="s">
        <v>47</v>
      </c>
    </row>
    <row r="259" spans="1:36" x14ac:dyDescent="0.25">
      <c r="A259" t="s">
        <v>550</v>
      </c>
      <c r="B259" t="s">
        <v>128</v>
      </c>
      <c r="C259" t="s">
        <v>70</v>
      </c>
      <c r="D259" t="s">
        <v>71</v>
      </c>
      <c r="E259" t="s">
        <v>19</v>
      </c>
      <c r="F259" t="s">
        <v>129</v>
      </c>
      <c r="G259" t="s">
        <v>624</v>
      </c>
      <c r="H259" t="s">
        <v>713</v>
      </c>
      <c r="I259">
        <f>1*365+2*30+10</f>
        <v>435</v>
      </c>
      <c r="J259" t="s">
        <v>443</v>
      </c>
      <c r="K259" t="s">
        <v>39</v>
      </c>
      <c r="L259" t="str">
        <f t="shared" si="38"/>
        <v>Control</v>
      </c>
      <c r="M259" t="s">
        <v>444</v>
      </c>
      <c r="N259" t="str">
        <f t="shared" si="37"/>
        <v>Stress</v>
      </c>
      <c r="Q259" t="s">
        <v>412</v>
      </c>
      <c r="R259" t="s">
        <v>709</v>
      </c>
      <c r="S259" t="s">
        <v>703</v>
      </c>
      <c r="T259" t="s">
        <v>615</v>
      </c>
      <c r="U259" s="1"/>
      <c r="V259" s="1"/>
      <c r="W259" s="1"/>
      <c r="Z259" s="1">
        <f>[35]Liu_etal_2014_Fig4!C7</f>
        <v>6.0569304361773304E-10</v>
      </c>
      <c r="AJ259" t="s">
        <v>47</v>
      </c>
    </row>
    <row r="260" spans="1:36" x14ac:dyDescent="0.25">
      <c r="A260" t="s">
        <v>550</v>
      </c>
      <c r="B260" t="s">
        <v>128</v>
      </c>
      <c r="C260" t="s">
        <v>70</v>
      </c>
      <c r="D260" t="s">
        <v>71</v>
      </c>
      <c r="E260" t="s">
        <v>19</v>
      </c>
      <c r="F260" t="s">
        <v>129</v>
      </c>
      <c r="G260" t="s">
        <v>624</v>
      </c>
      <c r="H260" t="s">
        <v>713</v>
      </c>
      <c r="I260">
        <f>1*365+2*30+10</f>
        <v>435</v>
      </c>
      <c r="J260" t="s">
        <v>443</v>
      </c>
      <c r="K260" t="s">
        <v>245</v>
      </c>
      <c r="L260" t="str">
        <f t="shared" si="38"/>
        <v>Stress</v>
      </c>
      <c r="M260" t="s">
        <v>39</v>
      </c>
      <c r="N260" t="str">
        <f t="shared" si="37"/>
        <v>Control</v>
      </c>
      <c r="Q260" t="s">
        <v>412</v>
      </c>
      <c r="R260" t="s">
        <v>709</v>
      </c>
      <c r="S260" t="s">
        <v>703</v>
      </c>
      <c r="T260" t="s">
        <v>615</v>
      </c>
      <c r="U260" s="1"/>
      <c r="V260" s="1"/>
      <c r="W260" s="1"/>
      <c r="Z260" s="1">
        <f>[35]Liu_etal_2014_Fig4!C8</f>
        <v>4.0906886563700003E-10</v>
      </c>
      <c r="AJ260" t="s">
        <v>47</v>
      </c>
    </row>
    <row r="261" spans="1:36" x14ac:dyDescent="0.25">
      <c r="A261" t="s">
        <v>550</v>
      </c>
      <c r="B261" t="s">
        <v>128</v>
      </c>
      <c r="C261" t="s">
        <v>70</v>
      </c>
      <c r="D261" t="s">
        <v>71</v>
      </c>
      <c r="E261" t="s">
        <v>19</v>
      </c>
      <c r="F261" t="s">
        <v>129</v>
      </c>
      <c r="G261" t="s">
        <v>624</v>
      </c>
      <c r="H261" t="s">
        <v>713</v>
      </c>
      <c r="I261">
        <f>1*365+2*30+10</f>
        <v>435</v>
      </c>
      <c r="J261" t="s">
        <v>443</v>
      </c>
      <c r="K261" t="s">
        <v>245</v>
      </c>
      <c r="L261" t="str">
        <f t="shared" si="38"/>
        <v>Stress</v>
      </c>
      <c r="M261" t="s">
        <v>444</v>
      </c>
      <c r="N261" t="str">
        <f t="shared" si="37"/>
        <v>Stress</v>
      </c>
      <c r="Q261" t="s">
        <v>412</v>
      </c>
      <c r="R261" t="s">
        <v>709</v>
      </c>
      <c r="S261" t="s">
        <v>703</v>
      </c>
      <c r="T261" t="s">
        <v>615</v>
      </c>
      <c r="U261" s="1"/>
      <c r="V261" s="1"/>
      <c r="W261" s="1"/>
      <c r="Z261" s="1">
        <f>[35]Liu_etal_2014_Fig4!C9</f>
        <v>4.3298078102444597E-10</v>
      </c>
      <c r="AJ261" t="s">
        <v>47</v>
      </c>
    </row>
    <row r="262" spans="1:36" x14ac:dyDescent="0.25">
      <c r="A262" t="s">
        <v>550</v>
      </c>
      <c r="B262" t="s">
        <v>128</v>
      </c>
      <c r="C262" t="s">
        <v>70</v>
      </c>
      <c r="D262" t="s">
        <v>71</v>
      </c>
      <c r="E262" t="s">
        <v>19</v>
      </c>
      <c r="F262" t="s">
        <v>129</v>
      </c>
      <c r="G262" t="s">
        <v>624</v>
      </c>
      <c r="H262" t="s">
        <v>713</v>
      </c>
      <c r="I262">
        <f>1*365+2*30+21</f>
        <v>446</v>
      </c>
      <c r="J262" t="s">
        <v>443</v>
      </c>
      <c r="K262" t="s">
        <v>39</v>
      </c>
      <c r="L262" t="str">
        <f t="shared" si="38"/>
        <v>Control</v>
      </c>
      <c r="M262" t="s">
        <v>39</v>
      </c>
      <c r="N262" t="str">
        <f t="shared" si="37"/>
        <v>Control</v>
      </c>
      <c r="Q262" t="s">
        <v>412</v>
      </c>
      <c r="R262" t="s">
        <v>709</v>
      </c>
      <c r="S262" t="s">
        <v>703</v>
      </c>
      <c r="T262" t="s">
        <v>615</v>
      </c>
      <c r="U262" s="1"/>
      <c r="V262" s="1"/>
      <c r="W262" s="1"/>
      <c r="Z262" s="1">
        <f>[35]Liu_etal_2014_Fig4!C10</f>
        <v>5.6820613459887302E-10</v>
      </c>
      <c r="AJ262" t="s">
        <v>47</v>
      </c>
    </row>
    <row r="263" spans="1:36" x14ac:dyDescent="0.25">
      <c r="A263" t="s">
        <v>550</v>
      </c>
      <c r="B263" t="s">
        <v>128</v>
      </c>
      <c r="C263" t="s">
        <v>70</v>
      </c>
      <c r="D263" t="s">
        <v>71</v>
      </c>
      <c r="E263" t="s">
        <v>19</v>
      </c>
      <c r="F263" t="s">
        <v>129</v>
      </c>
      <c r="G263" t="s">
        <v>624</v>
      </c>
      <c r="H263" t="s">
        <v>713</v>
      </c>
      <c r="I263">
        <f>1*365+2*30+21</f>
        <v>446</v>
      </c>
      <c r="J263" t="s">
        <v>443</v>
      </c>
      <c r="K263" t="s">
        <v>39</v>
      </c>
      <c r="L263" t="str">
        <f t="shared" si="38"/>
        <v>Control</v>
      </c>
      <c r="M263" t="s">
        <v>444</v>
      </c>
      <c r="N263" t="str">
        <f t="shared" si="37"/>
        <v>Stress</v>
      </c>
      <c r="Q263" t="s">
        <v>412</v>
      </c>
      <c r="R263" t="s">
        <v>709</v>
      </c>
      <c r="S263" t="s">
        <v>703</v>
      </c>
      <c r="T263" t="s">
        <v>615</v>
      </c>
      <c r="U263" s="1"/>
      <c r="V263" s="1"/>
      <c r="W263" s="1"/>
      <c r="Z263" s="1">
        <f>[35]Liu_etal_2014_Fig4!C11</f>
        <v>5.2525828151978007E-10</v>
      </c>
      <c r="AC263" s="2"/>
      <c r="AJ263" t="s">
        <v>47</v>
      </c>
    </row>
    <row r="264" spans="1:36" x14ac:dyDescent="0.25">
      <c r="A264" t="s">
        <v>550</v>
      </c>
      <c r="B264" t="s">
        <v>128</v>
      </c>
      <c r="C264" t="s">
        <v>70</v>
      </c>
      <c r="D264" t="s">
        <v>71</v>
      </c>
      <c r="E264" t="s">
        <v>19</v>
      </c>
      <c r="F264" t="s">
        <v>129</v>
      </c>
      <c r="G264" t="s">
        <v>624</v>
      </c>
      <c r="H264" t="s">
        <v>713</v>
      </c>
      <c r="I264">
        <f>1*365+2*30+21</f>
        <v>446</v>
      </c>
      <c r="J264" t="s">
        <v>443</v>
      </c>
      <c r="K264" t="s">
        <v>245</v>
      </c>
      <c r="L264" t="str">
        <f t="shared" si="38"/>
        <v>Stress</v>
      </c>
      <c r="M264" t="s">
        <v>39</v>
      </c>
      <c r="N264" t="str">
        <f t="shared" si="37"/>
        <v>Control</v>
      </c>
      <c r="Q264" t="s">
        <v>412</v>
      </c>
      <c r="R264" t="s">
        <v>709</v>
      </c>
      <c r="S264" t="s">
        <v>703</v>
      </c>
      <c r="T264" t="s">
        <v>615</v>
      </c>
      <c r="U264" s="1"/>
      <c r="V264" s="1"/>
      <c r="W264" s="1"/>
      <c r="Z264" s="1">
        <f>[35]Liu_etal_2014_Fig4!C12</f>
        <v>4.62981492933657E-10</v>
      </c>
      <c r="AC264" s="2"/>
      <c r="AJ264" t="s">
        <v>47</v>
      </c>
    </row>
    <row r="265" spans="1:36" x14ac:dyDescent="0.25">
      <c r="A265" t="s">
        <v>550</v>
      </c>
      <c r="B265" t="s">
        <v>128</v>
      </c>
      <c r="C265" t="s">
        <v>70</v>
      </c>
      <c r="D265" t="s">
        <v>71</v>
      </c>
      <c r="E265" t="s">
        <v>19</v>
      </c>
      <c r="F265" t="s">
        <v>129</v>
      </c>
      <c r="G265" t="s">
        <v>624</v>
      </c>
      <c r="H265" t="s">
        <v>713</v>
      </c>
      <c r="I265">
        <f>1*365+2*30+21</f>
        <v>446</v>
      </c>
      <c r="J265" t="s">
        <v>443</v>
      </c>
      <c r="K265" t="s">
        <v>245</v>
      </c>
      <c r="L265" t="str">
        <f t="shared" si="38"/>
        <v>Stress</v>
      </c>
      <c r="M265" t="s">
        <v>444</v>
      </c>
      <c r="N265" t="str">
        <f t="shared" si="37"/>
        <v>Stress</v>
      </c>
      <c r="Q265" t="s">
        <v>412</v>
      </c>
      <c r="R265" t="s">
        <v>709</v>
      </c>
      <c r="S265" t="s">
        <v>703</v>
      </c>
      <c r="T265" t="s">
        <v>615</v>
      </c>
      <c r="U265" s="1"/>
      <c r="V265" s="1"/>
      <c r="W265" s="1"/>
      <c r="Z265" s="1">
        <f>[35]Liu_etal_2014_Fig4!C13</f>
        <v>4.4384983347328506E-10</v>
      </c>
      <c r="AC265" s="2"/>
      <c r="AJ265" t="s">
        <v>47</v>
      </c>
    </row>
    <row r="266" spans="1:36" x14ac:dyDescent="0.25">
      <c r="A266" t="s">
        <v>61</v>
      </c>
      <c r="B266" t="s">
        <v>62</v>
      </c>
      <c r="C266" t="s">
        <v>63</v>
      </c>
      <c r="D266" t="s">
        <v>18</v>
      </c>
      <c r="E266" t="s">
        <v>31</v>
      </c>
      <c r="F266" t="s">
        <v>32</v>
      </c>
      <c r="G266" t="s">
        <v>32</v>
      </c>
      <c r="H266" t="s">
        <v>712</v>
      </c>
      <c r="I266">
        <f>4+12+7</f>
        <v>23</v>
      </c>
      <c r="J266" t="s">
        <v>729</v>
      </c>
      <c r="K266" t="s">
        <v>39</v>
      </c>
      <c r="L266" t="str">
        <f t="shared" si="38"/>
        <v>Control</v>
      </c>
      <c r="M266" t="s">
        <v>39</v>
      </c>
      <c r="N266" t="str">
        <f t="shared" si="37"/>
        <v>Control</v>
      </c>
      <c r="Q266" t="s">
        <v>412</v>
      </c>
      <c r="R266" t="s">
        <v>709</v>
      </c>
      <c r="S266" t="s">
        <v>703</v>
      </c>
      <c r="T266" t="s">
        <v>615</v>
      </c>
      <c r="U266" s="1" t="s">
        <v>754</v>
      </c>
      <c r="V266" s="1">
        <f t="shared" ref="V266:V269" si="39">+AA266*AC266/10000</f>
        <v>1.0154913294797701E-9</v>
      </c>
      <c r="W266" s="1"/>
      <c r="X266" s="1"/>
      <c r="Y266" s="1"/>
      <c r="Z266" s="1"/>
      <c r="AA266" s="1">
        <f>[36]Liu_etal_2014_Fig7b!B2</f>
        <v>1.1999999999999999E-7</v>
      </c>
      <c r="AB266" s="1"/>
      <c r="AC266" s="2">
        <f>[37]Liu_etal_2014_Fig7c!B2</f>
        <v>84.624277456647505</v>
      </c>
      <c r="AE266" s="2"/>
      <c r="AJ266" t="s">
        <v>203</v>
      </c>
    </row>
    <row r="267" spans="1:36" x14ac:dyDescent="0.25">
      <c r="A267" t="s">
        <v>61</v>
      </c>
      <c r="B267" t="s">
        <v>62</v>
      </c>
      <c r="C267" t="s">
        <v>63</v>
      </c>
      <c r="D267" t="s">
        <v>18</v>
      </c>
      <c r="E267" t="s">
        <v>31</v>
      </c>
      <c r="F267" t="s">
        <v>32</v>
      </c>
      <c r="G267" t="s">
        <v>32</v>
      </c>
      <c r="H267" t="s">
        <v>712</v>
      </c>
      <c r="I267">
        <f>4+12+7</f>
        <v>23</v>
      </c>
      <c r="J267" t="s">
        <v>729</v>
      </c>
      <c r="K267" t="s">
        <v>39</v>
      </c>
      <c r="L267" t="str">
        <f t="shared" si="38"/>
        <v>Control</v>
      </c>
      <c r="M267" t="s">
        <v>50</v>
      </c>
      <c r="N267" t="str">
        <f t="shared" si="37"/>
        <v>Stress</v>
      </c>
      <c r="Q267" t="s">
        <v>412</v>
      </c>
      <c r="R267" t="s">
        <v>709</v>
      </c>
      <c r="S267" t="s">
        <v>703</v>
      </c>
      <c r="T267" t="s">
        <v>615</v>
      </c>
      <c r="U267" s="1" t="s">
        <v>754</v>
      </c>
      <c r="V267" s="1">
        <f t="shared" si="39"/>
        <v>9.8913294797687937E-10</v>
      </c>
      <c r="W267" s="1"/>
      <c r="X267" s="1"/>
      <c r="Y267" s="1"/>
      <c r="Z267" s="1"/>
      <c r="AA267" s="1">
        <f>[36]Liu_etal_2014_Fig7b!B3</f>
        <v>1.24E-7</v>
      </c>
      <c r="AB267" s="1"/>
      <c r="AC267" s="2">
        <f>[37]Liu_etal_2014_Fig7c!B3</f>
        <v>79.768786127167701</v>
      </c>
      <c r="AE267" s="2"/>
      <c r="AJ267" t="s">
        <v>203</v>
      </c>
    </row>
    <row r="268" spans="1:36" x14ac:dyDescent="0.25">
      <c r="A268" t="s">
        <v>61</v>
      </c>
      <c r="B268" t="s">
        <v>62</v>
      </c>
      <c r="C268" t="s">
        <v>63</v>
      </c>
      <c r="D268" t="s">
        <v>18</v>
      </c>
      <c r="E268" t="s">
        <v>31</v>
      </c>
      <c r="F268" t="s">
        <v>32</v>
      </c>
      <c r="G268" t="s">
        <v>32</v>
      </c>
      <c r="H268" t="s">
        <v>712</v>
      </c>
      <c r="I268">
        <f>4+12+7</f>
        <v>23</v>
      </c>
      <c r="J268" t="s">
        <v>729</v>
      </c>
      <c r="K268" t="s">
        <v>64</v>
      </c>
      <c r="L268" t="str">
        <f t="shared" si="38"/>
        <v>Stress</v>
      </c>
      <c r="M268" t="s">
        <v>39</v>
      </c>
      <c r="N268" t="str">
        <f t="shared" si="37"/>
        <v>Control</v>
      </c>
      <c r="Q268" t="s">
        <v>412</v>
      </c>
      <c r="R268" t="s">
        <v>709</v>
      </c>
      <c r="S268" t="s">
        <v>703</v>
      </c>
      <c r="T268" t="s">
        <v>615</v>
      </c>
      <c r="U268" s="1" t="s">
        <v>754</v>
      </c>
      <c r="V268" s="1">
        <f t="shared" si="39"/>
        <v>5.140751445086715E-10</v>
      </c>
      <c r="W268" s="1"/>
      <c r="X268" s="1"/>
      <c r="Y268" s="1"/>
      <c r="Z268" s="1"/>
      <c r="AA268" s="1">
        <f>[36]Liu_etal_2014_Fig7b!B4</f>
        <v>6.0500000000000006E-8</v>
      </c>
      <c r="AB268" s="1"/>
      <c r="AC268" s="2">
        <f>[37]Liu_etal_2014_Fig7c!B4</f>
        <v>84.971098265896103</v>
      </c>
      <c r="AE268" s="2"/>
      <c r="AJ268" t="s">
        <v>203</v>
      </c>
    </row>
    <row r="269" spans="1:36" x14ac:dyDescent="0.25">
      <c r="A269" t="s">
        <v>61</v>
      </c>
      <c r="B269" t="s">
        <v>62</v>
      </c>
      <c r="C269" t="s">
        <v>63</v>
      </c>
      <c r="D269" t="s">
        <v>18</v>
      </c>
      <c r="E269" t="s">
        <v>31</v>
      </c>
      <c r="F269" t="s">
        <v>32</v>
      </c>
      <c r="G269" t="s">
        <v>32</v>
      </c>
      <c r="H269" t="s">
        <v>712</v>
      </c>
      <c r="I269">
        <f>4+12+7</f>
        <v>23</v>
      </c>
      <c r="J269" t="s">
        <v>729</v>
      </c>
      <c r="K269" t="s">
        <v>64</v>
      </c>
      <c r="L269" t="str">
        <f t="shared" si="38"/>
        <v>Stress</v>
      </c>
      <c r="M269" t="s">
        <v>50</v>
      </c>
      <c r="N269" t="str">
        <f t="shared" si="37"/>
        <v>Stress</v>
      </c>
      <c r="Q269" t="s">
        <v>412</v>
      </c>
      <c r="R269" t="s">
        <v>709</v>
      </c>
      <c r="S269" t="s">
        <v>703</v>
      </c>
      <c r="T269" t="s">
        <v>615</v>
      </c>
      <c r="U269" s="1" t="s">
        <v>754</v>
      </c>
      <c r="V269" s="1">
        <f t="shared" si="39"/>
        <v>6.6190057803468117E-10</v>
      </c>
      <c r="W269" s="1"/>
      <c r="X269" s="1"/>
      <c r="Y269" s="1"/>
      <c r="Z269" s="1"/>
      <c r="AA269" s="1">
        <f>[36]Liu_etal_2014_Fig7b!B5</f>
        <v>8.5199999999999995E-8</v>
      </c>
      <c r="AB269" s="1"/>
      <c r="AC269" s="2">
        <f>[37]Liu_etal_2014_Fig7c!B5</f>
        <v>77.687861271676198</v>
      </c>
      <c r="AE269" s="2"/>
      <c r="AJ269" t="s">
        <v>203</v>
      </c>
    </row>
    <row r="270" spans="1:36" x14ac:dyDescent="0.25">
      <c r="A270" t="s">
        <v>552</v>
      </c>
      <c r="B270" t="s">
        <v>553</v>
      </c>
      <c r="C270" t="s">
        <v>232</v>
      </c>
      <c r="D270" t="s">
        <v>200</v>
      </c>
      <c r="E270" t="s">
        <v>19</v>
      </c>
      <c r="F270" t="s">
        <v>201</v>
      </c>
      <c r="G270" t="s">
        <v>620</v>
      </c>
      <c r="H270" t="s">
        <v>713</v>
      </c>
      <c r="I270">
        <f>16*30</f>
        <v>480</v>
      </c>
      <c r="J270" t="s">
        <v>84</v>
      </c>
      <c r="K270" t="s">
        <v>39</v>
      </c>
      <c r="L270" t="str">
        <f t="shared" si="38"/>
        <v>Control</v>
      </c>
      <c r="Q270" t="s">
        <v>412</v>
      </c>
      <c r="R270" t="s">
        <v>709</v>
      </c>
      <c r="S270" t="s">
        <v>703</v>
      </c>
      <c r="T270" t="s">
        <v>615</v>
      </c>
      <c r="U270" s="1" t="s">
        <v>755</v>
      </c>
      <c r="V270" s="1">
        <f>'[38]Jimenez-Casas&amp;Zwiazek_2014_Fig4'!B2</f>
        <v>1.37582417582417E-8</v>
      </c>
      <c r="W270" s="1"/>
      <c r="X270" s="1"/>
      <c r="AE270">
        <v>39.799999999999997</v>
      </c>
      <c r="AJ270" t="s">
        <v>47</v>
      </c>
    </row>
    <row r="271" spans="1:36" x14ac:dyDescent="0.25">
      <c r="A271" t="s">
        <v>552</v>
      </c>
      <c r="B271" t="s">
        <v>553</v>
      </c>
      <c r="C271" t="s">
        <v>232</v>
      </c>
      <c r="D271" t="s">
        <v>200</v>
      </c>
      <c r="E271" t="s">
        <v>19</v>
      </c>
      <c r="F271" t="s">
        <v>201</v>
      </c>
      <c r="G271" t="s">
        <v>620</v>
      </c>
      <c r="H271" t="s">
        <v>713</v>
      </c>
      <c r="I271">
        <f>16*30</f>
        <v>480</v>
      </c>
      <c r="J271" t="s">
        <v>84</v>
      </c>
      <c r="K271" t="s">
        <v>449</v>
      </c>
      <c r="L271" t="str">
        <f t="shared" si="38"/>
        <v>Stress</v>
      </c>
      <c r="Q271" t="s">
        <v>412</v>
      </c>
      <c r="R271" t="s">
        <v>709</v>
      </c>
      <c r="S271" t="s">
        <v>703</v>
      </c>
      <c r="T271" t="s">
        <v>615</v>
      </c>
      <c r="U271" s="1" t="s">
        <v>755</v>
      </c>
      <c r="V271" s="1">
        <f>'[38]Jimenez-Casas&amp;Zwiazek_2014_Fig4'!B3</f>
        <v>7.4285714285714302E-9</v>
      </c>
      <c r="W271" s="1"/>
      <c r="X271" s="1"/>
      <c r="AE271">
        <v>21.9</v>
      </c>
      <c r="AJ271" t="s">
        <v>47</v>
      </c>
    </row>
    <row r="272" spans="1:36" x14ac:dyDescent="0.25">
      <c r="A272" t="s">
        <v>552</v>
      </c>
      <c r="B272" t="s">
        <v>553</v>
      </c>
      <c r="C272" t="s">
        <v>232</v>
      </c>
      <c r="D272" t="s">
        <v>200</v>
      </c>
      <c r="E272" t="s">
        <v>19</v>
      </c>
      <c r="F272" t="s">
        <v>201</v>
      </c>
      <c r="G272" t="s">
        <v>620</v>
      </c>
      <c r="H272" t="s">
        <v>713</v>
      </c>
      <c r="I272">
        <f>16*30</f>
        <v>480</v>
      </c>
      <c r="J272" t="s">
        <v>84</v>
      </c>
      <c r="K272" t="s">
        <v>554</v>
      </c>
      <c r="L272" t="str">
        <f t="shared" si="38"/>
        <v>Stress</v>
      </c>
      <c r="Q272" t="s">
        <v>412</v>
      </c>
      <c r="R272" t="s">
        <v>709</v>
      </c>
      <c r="S272" t="s">
        <v>703</v>
      </c>
      <c r="T272" t="s">
        <v>615</v>
      </c>
      <c r="U272" s="1" t="s">
        <v>755</v>
      </c>
      <c r="V272" s="1">
        <f>'[38]Jimenez-Casas&amp;Zwiazek_2014_Fig4'!B4</f>
        <v>3.4725274725274701E-9</v>
      </c>
      <c r="W272" s="1"/>
      <c r="X272" s="1"/>
      <c r="AE272">
        <v>15.6</v>
      </c>
      <c r="AJ272" t="s">
        <v>47</v>
      </c>
    </row>
    <row r="273" spans="1:36" x14ac:dyDescent="0.25">
      <c r="A273" t="s">
        <v>380</v>
      </c>
      <c r="B273" t="s">
        <v>105</v>
      </c>
      <c r="C273" t="s">
        <v>78</v>
      </c>
      <c r="D273" t="s">
        <v>18</v>
      </c>
      <c r="E273" t="s">
        <v>19</v>
      </c>
      <c r="F273" t="s">
        <v>20</v>
      </c>
      <c r="G273" t="s">
        <v>20</v>
      </c>
      <c r="H273" t="s">
        <v>712</v>
      </c>
      <c r="I273">
        <f>+AVERAGE(15,17)</f>
        <v>16</v>
      </c>
      <c r="J273" t="s">
        <v>84</v>
      </c>
      <c r="K273" t="s">
        <v>39</v>
      </c>
      <c r="L273" t="str">
        <f t="shared" si="38"/>
        <v>Control</v>
      </c>
      <c r="Q273" t="s">
        <v>412</v>
      </c>
      <c r="R273" t="s">
        <v>709</v>
      </c>
      <c r="S273" t="s">
        <v>703</v>
      </c>
      <c r="T273" t="s">
        <v>616</v>
      </c>
      <c r="U273" s="1" t="s">
        <v>754</v>
      </c>
      <c r="V273" s="1">
        <f t="shared" ref="V273:V274" si="40">+AA273*AC273/10000</f>
        <v>9.897904943453632E-11</v>
      </c>
      <c r="AA273" s="1">
        <f>[39]Fricke_etal_2014_Fig2c!B2</f>
        <v>4.8939641109298499E-8</v>
      </c>
      <c r="AC273" s="2">
        <f>[40]Fricke_etal_2014_Fig2a!B2*10000</f>
        <v>20.2247191011236</v>
      </c>
      <c r="AG273"/>
      <c r="AH273"/>
      <c r="AI273"/>
      <c r="AJ273" t="s">
        <v>352</v>
      </c>
    </row>
    <row r="274" spans="1:36" x14ac:dyDescent="0.25">
      <c r="A274" t="s">
        <v>380</v>
      </c>
      <c r="B274" t="s">
        <v>105</v>
      </c>
      <c r="C274" t="s">
        <v>78</v>
      </c>
      <c r="D274" t="s">
        <v>18</v>
      </c>
      <c r="E274" t="s">
        <v>19</v>
      </c>
      <c r="F274" t="s">
        <v>20</v>
      </c>
      <c r="G274" t="s">
        <v>20</v>
      </c>
      <c r="H274" t="s">
        <v>712</v>
      </c>
      <c r="I274">
        <f>+AVERAGE(15,17)</f>
        <v>16</v>
      </c>
      <c r="J274" t="s">
        <v>84</v>
      </c>
      <c r="K274" t="s">
        <v>84</v>
      </c>
      <c r="L274" t="str">
        <f t="shared" si="38"/>
        <v>Stress</v>
      </c>
      <c r="Q274" t="s">
        <v>412</v>
      </c>
      <c r="R274" t="s">
        <v>709</v>
      </c>
      <c r="S274" t="s">
        <v>703</v>
      </c>
      <c r="T274" t="s">
        <v>616</v>
      </c>
      <c r="U274" s="1" t="s">
        <v>754</v>
      </c>
      <c r="V274" s="1">
        <f t="shared" si="40"/>
        <v>3.2370862453161561E-11</v>
      </c>
      <c r="AA274" s="1">
        <f>[39]Fricke_etal_2014_Fig2c!B3</f>
        <v>1.6639477977161501E-8</v>
      </c>
      <c r="AC274" s="2">
        <f>[40]Fricke_etal_2014_Fig2a!B3*10000</f>
        <v>19.454253611556901</v>
      </c>
      <c r="AG274"/>
      <c r="AH274"/>
      <c r="AI274"/>
      <c r="AJ274" t="s">
        <v>352</v>
      </c>
    </row>
    <row r="275" spans="1:36" x14ac:dyDescent="0.25">
      <c r="A275" t="s">
        <v>375</v>
      </c>
      <c r="B275" t="s">
        <v>34</v>
      </c>
      <c r="C275" t="s">
        <v>35</v>
      </c>
      <c r="D275" t="s">
        <v>36</v>
      </c>
      <c r="E275" t="s">
        <v>19</v>
      </c>
      <c r="F275" t="s">
        <v>37</v>
      </c>
      <c r="G275" t="s">
        <v>622</v>
      </c>
      <c r="H275" t="s">
        <v>714</v>
      </c>
      <c r="I275">
        <f>10+10*7+6</f>
        <v>86</v>
      </c>
      <c r="J275" t="s">
        <v>651</v>
      </c>
      <c r="K275" t="s">
        <v>39</v>
      </c>
      <c r="L275" t="str">
        <f t="shared" si="38"/>
        <v>Control</v>
      </c>
      <c r="M275" t="s">
        <v>214</v>
      </c>
      <c r="N275" t="s">
        <v>716</v>
      </c>
      <c r="Q275" t="s">
        <v>412</v>
      </c>
      <c r="R275" t="s">
        <v>709</v>
      </c>
      <c r="S275" t="s">
        <v>703</v>
      </c>
      <c r="T275" t="s">
        <v>615</v>
      </c>
      <c r="U275" s="1"/>
      <c r="V275" s="1"/>
      <c r="W275" s="1"/>
      <c r="X275" s="1"/>
      <c r="Y275" s="1"/>
      <c r="Z275" s="1">
        <f>'[41]Calvo-Polanco_etal_2014_Fig1'!B2*0.000001</f>
        <v>1.0216508795669799E-9</v>
      </c>
      <c r="AB275" s="1"/>
      <c r="AC275" s="2"/>
      <c r="AE275" s="2"/>
      <c r="AF275" s="2">
        <v>3.4</v>
      </c>
      <c r="AJ275" t="s">
        <v>47</v>
      </c>
    </row>
    <row r="276" spans="1:36" x14ac:dyDescent="0.25">
      <c r="A276" t="s">
        <v>375</v>
      </c>
      <c r="B276" t="s">
        <v>34</v>
      </c>
      <c r="C276" t="s">
        <v>35</v>
      </c>
      <c r="D276" t="s">
        <v>36</v>
      </c>
      <c r="E276" t="s">
        <v>19</v>
      </c>
      <c r="F276" t="s">
        <v>37</v>
      </c>
      <c r="G276" t="s">
        <v>622</v>
      </c>
      <c r="H276" t="s">
        <v>714</v>
      </c>
      <c r="I276">
        <f>10+10*7+6</f>
        <v>86</v>
      </c>
      <c r="J276" t="s">
        <v>651</v>
      </c>
      <c r="K276" t="s">
        <v>39</v>
      </c>
      <c r="L276" t="str">
        <f t="shared" si="38"/>
        <v>Control</v>
      </c>
      <c r="M276" t="s">
        <v>353</v>
      </c>
      <c r="N276" t="s">
        <v>716</v>
      </c>
      <c r="Q276" t="s">
        <v>412</v>
      </c>
      <c r="R276" t="s">
        <v>709</v>
      </c>
      <c r="S276" t="s">
        <v>703</v>
      </c>
      <c r="T276" t="s">
        <v>615</v>
      </c>
      <c r="U276" s="1"/>
      <c r="V276" s="1"/>
      <c r="W276" s="1"/>
      <c r="X276" s="1"/>
      <c r="Y276" s="1"/>
      <c r="Z276" s="1">
        <f>'[41]Calvo-Polanco_etal_2014_Fig1'!B3*0.000001</f>
        <v>1.15020297699594E-9</v>
      </c>
      <c r="AB276" s="1"/>
      <c r="AC276" s="2"/>
      <c r="AE276" s="2"/>
      <c r="AF276" s="2">
        <v>2.5</v>
      </c>
      <c r="AJ276" t="s">
        <v>47</v>
      </c>
    </row>
    <row r="277" spans="1:36" x14ac:dyDescent="0.25">
      <c r="A277" t="s">
        <v>375</v>
      </c>
      <c r="B277" t="s">
        <v>34</v>
      </c>
      <c r="C277" t="s">
        <v>35</v>
      </c>
      <c r="D277" t="s">
        <v>36</v>
      </c>
      <c r="E277" t="s">
        <v>19</v>
      </c>
      <c r="F277" t="s">
        <v>37</v>
      </c>
      <c r="G277" t="s">
        <v>622</v>
      </c>
      <c r="H277" t="s">
        <v>714</v>
      </c>
      <c r="I277">
        <f>10+10*7+6</f>
        <v>86</v>
      </c>
      <c r="J277" t="s">
        <v>651</v>
      </c>
      <c r="K277" t="s">
        <v>103</v>
      </c>
      <c r="L277" t="str">
        <f t="shared" si="38"/>
        <v>Stress</v>
      </c>
      <c r="M277" t="s">
        <v>214</v>
      </c>
      <c r="N277" t="s">
        <v>716</v>
      </c>
      <c r="Q277" t="s">
        <v>412</v>
      </c>
      <c r="R277" t="s">
        <v>709</v>
      </c>
      <c r="S277" t="s">
        <v>703</v>
      </c>
      <c r="T277" t="s">
        <v>615</v>
      </c>
      <c r="U277" s="1"/>
      <c r="V277" s="1"/>
      <c r="W277" s="1"/>
      <c r="X277" s="1"/>
      <c r="Y277" s="1"/>
      <c r="Z277" s="1">
        <f>'[41]Calvo-Polanco_etal_2014_Fig1'!B4*0.000001</f>
        <v>9.5060893098782103E-10</v>
      </c>
      <c r="AB277" s="1"/>
      <c r="AC277" s="3"/>
      <c r="AE277" s="2"/>
      <c r="AF277" s="2">
        <v>3.3</v>
      </c>
      <c r="AJ277" t="s">
        <v>47</v>
      </c>
    </row>
    <row r="278" spans="1:36" x14ac:dyDescent="0.25">
      <c r="A278" t="s">
        <v>375</v>
      </c>
      <c r="B278" t="s">
        <v>34</v>
      </c>
      <c r="C278" t="s">
        <v>35</v>
      </c>
      <c r="D278" t="s">
        <v>36</v>
      </c>
      <c r="E278" t="s">
        <v>19</v>
      </c>
      <c r="F278" t="s">
        <v>37</v>
      </c>
      <c r="G278" t="s">
        <v>622</v>
      </c>
      <c r="H278" t="s">
        <v>714</v>
      </c>
      <c r="I278">
        <f>10+10*7+6</f>
        <v>86</v>
      </c>
      <c r="J278" t="s">
        <v>651</v>
      </c>
      <c r="K278" t="s">
        <v>103</v>
      </c>
      <c r="L278" t="str">
        <f t="shared" si="38"/>
        <v>Stress</v>
      </c>
      <c r="M278" t="s">
        <v>353</v>
      </c>
      <c r="N278" t="s">
        <v>716</v>
      </c>
      <c r="Q278" t="s">
        <v>412</v>
      </c>
      <c r="R278" t="s">
        <v>709</v>
      </c>
      <c r="S278" t="s">
        <v>703</v>
      </c>
      <c r="T278" t="s">
        <v>615</v>
      </c>
      <c r="U278" s="1"/>
      <c r="V278" s="1"/>
      <c r="W278" s="1"/>
      <c r="X278" s="1"/>
      <c r="Y278" s="1"/>
      <c r="Z278" s="1">
        <f>'[41]Calvo-Polanco_etal_2014_Fig1'!B5*0.000001</f>
        <v>1.75236806495263E-9</v>
      </c>
      <c r="AB278" s="1"/>
      <c r="AC278" s="3"/>
      <c r="AE278" s="2"/>
      <c r="AF278" s="2">
        <v>3.1</v>
      </c>
      <c r="AJ278" t="s">
        <v>47</v>
      </c>
    </row>
    <row r="279" spans="1:36" x14ac:dyDescent="0.25">
      <c r="A279" t="s">
        <v>246</v>
      </c>
      <c r="B279" t="s">
        <v>247</v>
      </c>
      <c r="C279" t="s">
        <v>248</v>
      </c>
      <c r="D279" t="s">
        <v>152</v>
      </c>
      <c r="E279" t="s">
        <v>19</v>
      </c>
      <c r="F279" t="s">
        <v>72</v>
      </c>
      <c r="G279" t="s">
        <v>601</v>
      </c>
      <c r="H279" t="s">
        <v>713</v>
      </c>
      <c r="I279">
        <f t="shared" ref="I279:I287" si="41">2*365</f>
        <v>730</v>
      </c>
      <c r="J279" t="s">
        <v>516</v>
      </c>
      <c r="K279" t="s">
        <v>39</v>
      </c>
      <c r="L279" t="str">
        <f t="shared" si="38"/>
        <v>Control</v>
      </c>
      <c r="M279" t="s">
        <v>652</v>
      </c>
      <c r="N279" t="s">
        <v>716</v>
      </c>
      <c r="Q279" t="s">
        <v>412</v>
      </c>
      <c r="R279" t="s">
        <v>709</v>
      </c>
      <c r="S279" t="s">
        <v>703</v>
      </c>
      <c r="T279" t="s">
        <v>615</v>
      </c>
      <c r="U279" s="1" t="s">
        <v>754</v>
      </c>
      <c r="V279" s="1">
        <f>+AB279*AH279</f>
        <v>7.5784208080220928E-8</v>
      </c>
      <c r="W279" s="1"/>
      <c r="AB279" s="1">
        <f>2.41*0.0000001</f>
        <v>2.41E-7</v>
      </c>
      <c r="AH279" s="5">
        <f>[42]Yang_etal_2013_Fig5!$D$6</f>
        <v>0.31445729493867602</v>
      </c>
      <c r="AJ279" t="s">
        <v>47</v>
      </c>
    </row>
    <row r="280" spans="1:36" x14ac:dyDescent="0.25">
      <c r="A280" t="s">
        <v>246</v>
      </c>
      <c r="B280" t="s">
        <v>247</v>
      </c>
      <c r="C280" t="s">
        <v>248</v>
      </c>
      <c r="D280" t="s">
        <v>152</v>
      </c>
      <c r="E280" t="s">
        <v>19</v>
      </c>
      <c r="F280" t="s">
        <v>72</v>
      </c>
      <c r="G280" t="s">
        <v>601</v>
      </c>
      <c r="H280" t="s">
        <v>713</v>
      </c>
      <c r="I280">
        <f t="shared" si="41"/>
        <v>730</v>
      </c>
      <c r="J280" t="s">
        <v>516</v>
      </c>
      <c r="K280" t="s">
        <v>655</v>
      </c>
      <c r="L280" t="str">
        <f t="shared" si="38"/>
        <v>Stress</v>
      </c>
      <c r="M280" t="s">
        <v>652</v>
      </c>
      <c r="N280" t="s">
        <v>716</v>
      </c>
      <c r="Q280" t="s">
        <v>412</v>
      </c>
      <c r="R280" t="s">
        <v>709</v>
      </c>
      <c r="S280" t="s">
        <v>703</v>
      </c>
      <c r="T280" t="s">
        <v>615</v>
      </c>
      <c r="U280" s="1" t="s">
        <v>754</v>
      </c>
      <c r="V280" s="1">
        <f t="shared" ref="V280:V287" si="42">+AB280*AH280</f>
        <v>5.6849751970611044E-8</v>
      </c>
      <c r="W280" s="1"/>
      <c r="AB280" s="1">
        <f>1.99*0.0000001</f>
        <v>1.99E-7</v>
      </c>
      <c r="AH280" s="5">
        <f>[42]Yang_etal_2013_Fig5!$D$11</f>
        <v>0.28567714558096002</v>
      </c>
      <c r="AJ280" t="s">
        <v>47</v>
      </c>
    </row>
    <row r="281" spans="1:36" x14ac:dyDescent="0.25">
      <c r="A281" t="s">
        <v>246</v>
      </c>
      <c r="B281" t="s">
        <v>247</v>
      </c>
      <c r="C281" t="s">
        <v>248</v>
      </c>
      <c r="D281" t="s">
        <v>152</v>
      </c>
      <c r="E281" t="s">
        <v>19</v>
      </c>
      <c r="F281" t="s">
        <v>72</v>
      </c>
      <c r="G281" t="s">
        <v>601</v>
      </c>
      <c r="H281" t="s">
        <v>713</v>
      </c>
      <c r="I281">
        <f t="shared" si="41"/>
        <v>730</v>
      </c>
      <c r="J281" t="s">
        <v>516</v>
      </c>
      <c r="K281" t="s">
        <v>656</v>
      </c>
      <c r="L281" t="str">
        <f t="shared" si="38"/>
        <v>Stress</v>
      </c>
      <c r="M281" t="s">
        <v>652</v>
      </c>
      <c r="N281" t="s">
        <v>716</v>
      </c>
      <c r="Q281" t="s">
        <v>412</v>
      </c>
      <c r="R281" t="s">
        <v>709</v>
      </c>
      <c r="S281" t="s">
        <v>703</v>
      </c>
      <c r="T281" t="s">
        <v>615</v>
      </c>
      <c r="U281" s="1" t="s">
        <v>754</v>
      </c>
      <c r="V281" s="1">
        <f t="shared" si="42"/>
        <v>3.7481796423623894E-8</v>
      </c>
      <c r="W281" s="1"/>
      <c r="AB281" s="1">
        <f>1.52*0.0000001</f>
        <v>1.5199999999999998E-7</v>
      </c>
      <c r="AH281" s="5">
        <f>[42]Yang_etal_2013_Fig5!$D$16</f>
        <v>0.24659076594489404</v>
      </c>
      <c r="AJ281" t="s">
        <v>47</v>
      </c>
    </row>
    <row r="282" spans="1:36" x14ac:dyDescent="0.25">
      <c r="A282" t="s">
        <v>246</v>
      </c>
      <c r="B282" t="s">
        <v>247</v>
      </c>
      <c r="C282" t="s">
        <v>248</v>
      </c>
      <c r="D282" t="s">
        <v>152</v>
      </c>
      <c r="E282" t="s">
        <v>19</v>
      </c>
      <c r="F282" t="s">
        <v>72</v>
      </c>
      <c r="G282" t="s">
        <v>601</v>
      </c>
      <c r="H282" t="s">
        <v>713</v>
      </c>
      <c r="I282">
        <f t="shared" si="41"/>
        <v>730</v>
      </c>
      <c r="J282" t="s">
        <v>516</v>
      </c>
      <c r="K282" t="s">
        <v>39</v>
      </c>
      <c r="L282" t="str">
        <f t="shared" si="38"/>
        <v>Control</v>
      </c>
      <c r="M282" t="s">
        <v>653</v>
      </c>
      <c r="N282" t="s">
        <v>716</v>
      </c>
      <c r="Q282" t="s">
        <v>412</v>
      </c>
      <c r="R282" t="s">
        <v>709</v>
      </c>
      <c r="S282" t="s">
        <v>703</v>
      </c>
      <c r="T282" t="s">
        <v>615</v>
      </c>
      <c r="U282" s="1" t="s">
        <v>754</v>
      </c>
      <c r="V282" s="1">
        <f t="shared" si="42"/>
        <v>1.0041438349295953E-7</v>
      </c>
      <c r="W282" s="1"/>
      <c r="AB282" s="1">
        <f>2.49*0.0000001</f>
        <v>2.4900000000000002E-7</v>
      </c>
      <c r="AH282" s="5">
        <f>[42]Yang_etal_2013_Fig5!$D$21</f>
        <v>0.40327061643758844</v>
      </c>
      <c r="AJ282" t="s">
        <v>47</v>
      </c>
    </row>
    <row r="283" spans="1:36" x14ac:dyDescent="0.25">
      <c r="A283" t="s">
        <v>246</v>
      </c>
      <c r="B283" t="s">
        <v>247</v>
      </c>
      <c r="C283" t="s">
        <v>248</v>
      </c>
      <c r="D283" t="s">
        <v>152</v>
      </c>
      <c r="E283" t="s">
        <v>19</v>
      </c>
      <c r="F283" t="s">
        <v>72</v>
      </c>
      <c r="G283" t="s">
        <v>601</v>
      </c>
      <c r="H283" t="s">
        <v>713</v>
      </c>
      <c r="I283">
        <f t="shared" si="41"/>
        <v>730</v>
      </c>
      <c r="J283" t="s">
        <v>516</v>
      </c>
      <c r="K283" t="s">
        <v>655</v>
      </c>
      <c r="L283" t="str">
        <f t="shared" si="38"/>
        <v>Stress</v>
      </c>
      <c r="M283" t="s">
        <v>653</v>
      </c>
      <c r="N283" t="s">
        <v>716</v>
      </c>
      <c r="Q283" t="s">
        <v>412</v>
      </c>
      <c r="R283" t="s">
        <v>709</v>
      </c>
      <c r="S283" t="s">
        <v>703</v>
      </c>
      <c r="T283" t="s">
        <v>615</v>
      </c>
      <c r="U283" s="1" t="s">
        <v>754</v>
      </c>
      <c r="V283" s="1">
        <f t="shared" si="42"/>
        <v>8.9783325857967777E-8</v>
      </c>
      <c r="W283" s="1"/>
      <c r="AB283" s="1">
        <f>2.6*0.0000001</f>
        <v>2.6E-7</v>
      </c>
      <c r="AH283" s="5">
        <f>[42]Yang_etal_2013_Fig5!$D$26</f>
        <v>0.34532048406910681</v>
      </c>
      <c r="AJ283" t="s">
        <v>47</v>
      </c>
    </row>
    <row r="284" spans="1:36" x14ac:dyDescent="0.25">
      <c r="A284" t="s">
        <v>246</v>
      </c>
      <c r="B284" t="s">
        <v>247</v>
      </c>
      <c r="C284" t="s">
        <v>248</v>
      </c>
      <c r="D284" t="s">
        <v>152</v>
      </c>
      <c r="E284" t="s">
        <v>19</v>
      </c>
      <c r="F284" t="s">
        <v>72</v>
      </c>
      <c r="G284" t="s">
        <v>601</v>
      </c>
      <c r="H284" t="s">
        <v>713</v>
      </c>
      <c r="I284">
        <f t="shared" si="41"/>
        <v>730</v>
      </c>
      <c r="J284" t="s">
        <v>516</v>
      </c>
      <c r="K284" t="s">
        <v>656</v>
      </c>
      <c r="L284" t="str">
        <f t="shared" si="38"/>
        <v>Stress</v>
      </c>
      <c r="M284" t="s">
        <v>653</v>
      </c>
      <c r="N284" t="s">
        <v>716</v>
      </c>
      <c r="Q284" t="s">
        <v>412</v>
      </c>
      <c r="R284" t="s">
        <v>709</v>
      </c>
      <c r="S284" t="s">
        <v>703</v>
      </c>
      <c r="T284" t="s">
        <v>615</v>
      </c>
      <c r="U284" s="1" t="s">
        <v>754</v>
      </c>
      <c r="V284" s="1">
        <f t="shared" si="42"/>
        <v>6.5737224459296701E-8</v>
      </c>
      <c r="W284" s="1"/>
      <c r="AB284" s="1">
        <f>2.16*0.0000001</f>
        <v>2.16E-7</v>
      </c>
      <c r="AH284" s="5">
        <f>[42]Yang_etal_2013_Fig5!$D$31</f>
        <v>0.3043390021263736</v>
      </c>
      <c r="AJ284" t="s">
        <v>47</v>
      </c>
    </row>
    <row r="285" spans="1:36" x14ac:dyDescent="0.25">
      <c r="A285" t="s">
        <v>246</v>
      </c>
      <c r="B285" t="s">
        <v>247</v>
      </c>
      <c r="C285" t="s">
        <v>248</v>
      </c>
      <c r="D285" t="s">
        <v>152</v>
      </c>
      <c r="E285" t="s">
        <v>19</v>
      </c>
      <c r="F285" t="s">
        <v>72</v>
      </c>
      <c r="G285" t="s">
        <v>601</v>
      </c>
      <c r="H285" t="s">
        <v>713</v>
      </c>
      <c r="I285">
        <f t="shared" si="41"/>
        <v>730</v>
      </c>
      <c r="J285" t="s">
        <v>516</v>
      </c>
      <c r="K285" t="s">
        <v>39</v>
      </c>
      <c r="L285" t="str">
        <f t="shared" si="38"/>
        <v>Control</v>
      </c>
      <c r="M285" t="s">
        <v>654</v>
      </c>
      <c r="N285" t="s">
        <v>716</v>
      </c>
      <c r="Q285" t="s">
        <v>412</v>
      </c>
      <c r="R285" t="s">
        <v>709</v>
      </c>
      <c r="S285" t="s">
        <v>703</v>
      </c>
      <c r="T285" t="s">
        <v>615</v>
      </c>
      <c r="U285" s="1" t="s">
        <v>754</v>
      </c>
      <c r="V285" s="1">
        <f t="shared" si="42"/>
        <v>1.2010470070063206E-7</v>
      </c>
      <c r="W285" s="1"/>
      <c r="AB285" s="1">
        <f>2.56*0.0000001</f>
        <v>2.5600000000000002E-7</v>
      </c>
      <c r="AH285" s="5">
        <f>[42]Yang_etal_2013_Fig5!$D$36</f>
        <v>0.46915898711184401</v>
      </c>
      <c r="AJ285" t="s">
        <v>47</v>
      </c>
    </row>
    <row r="286" spans="1:36" x14ac:dyDescent="0.25">
      <c r="A286" t="s">
        <v>246</v>
      </c>
      <c r="B286" t="s">
        <v>247</v>
      </c>
      <c r="C286" t="s">
        <v>248</v>
      </c>
      <c r="D286" t="s">
        <v>152</v>
      </c>
      <c r="E286" t="s">
        <v>19</v>
      </c>
      <c r="F286" t="s">
        <v>72</v>
      </c>
      <c r="G286" t="s">
        <v>601</v>
      </c>
      <c r="H286" t="s">
        <v>713</v>
      </c>
      <c r="I286">
        <f t="shared" si="41"/>
        <v>730</v>
      </c>
      <c r="J286" t="s">
        <v>516</v>
      </c>
      <c r="K286" t="s">
        <v>655</v>
      </c>
      <c r="L286" t="str">
        <f t="shared" si="38"/>
        <v>Stress</v>
      </c>
      <c r="M286" t="s">
        <v>654</v>
      </c>
      <c r="N286" t="s">
        <v>716</v>
      </c>
      <c r="Q286" t="s">
        <v>412</v>
      </c>
      <c r="R286" t="s">
        <v>709</v>
      </c>
      <c r="S286" t="s">
        <v>703</v>
      </c>
      <c r="T286" t="s">
        <v>615</v>
      </c>
      <c r="U286" s="1" t="s">
        <v>754</v>
      </c>
      <c r="V286" s="1">
        <f t="shared" si="42"/>
        <v>1.1870692699566795E-7</v>
      </c>
      <c r="W286" s="1"/>
      <c r="AB286" s="1">
        <f>3.02*0.0000001</f>
        <v>3.0199999999999998E-7</v>
      </c>
      <c r="AH286" s="5">
        <f>[42]Yang_etal_2013_Fig5!$D$41</f>
        <v>0.39306929468764223</v>
      </c>
      <c r="AJ286" t="s">
        <v>47</v>
      </c>
    </row>
    <row r="287" spans="1:36" x14ac:dyDescent="0.25">
      <c r="A287" t="s">
        <v>246</v>
      </c>
      <c r="B287" t="s">
        <v>247</v>
      </c>
      <c r="C287" t="s">
        <v>248</v>
      </c>
      <c r="D287" t="s">
        <v>152</v>
      </c>
      <c r="E287" t="s">
        <v>19</v>
      </c>
      <c r="F287" t="s">
        <v>72</v>
      </c>
      <c r="G287" t="s">
        <v>601</v>
      </c>
      <c r="H287" t="s">
        <v>713</v>
      </c>
      <c r="I287">
        <f t="shared" si="41"/>
        <v>730</v>
      </c>
      <c r="J287" t="s">
        <v>516</v>
      </c>
      <c r="K287" t="s">
        <v>656</v>
      </c>
      <c r="L287" t="str">
        <f t="shared" ref="L287" si="43">+IF(K287 = "Control", "Control", "Stress")</f>
        <v>Stress</v>
      </c>
      <c r="M287" t="s">
        <v>654</v>
      </c>
      <c r="N287" t="s">
        <v>716</v>
      </c>
      <c r="Q287" t="s">
        <v>412</v>
      </c>
      <c r="R287" t="s">
        <v>709</v>
      </c>
      <c r="S287" t="s">
        <v>703</v>
      </c>
      <c r="T287" t="s">
        <v>615</v>
      </c>
      <c r="U287" s="1" t="s">
        <v>754</v>
      </c>
      <c r="V287" s="1">
        <f t="shared" si="42"/>
        <v>8.1969296546470809E-8</v>
      </c>
      <c r="W287" s="1"/>
      <c r="AB287" s="1">
        <f>2.41*0.0000001</f>
        <v>2.41E-7</v>
      </c>
      <c r="AH287" s="5">
        <f>[42]Yang_etal_2013_Fig5!$D$46</f>
        <v>0.34012156243348884</v>
      </c>
      <c r="AJ287" t="s">
        <v>47</v>
      </c>
    </row>
    <row r="288" spans="1:36" x14ac:dyDescent="0.25">
      <c r="A288" t="s">
        <v>69</v>
      </c>
      <c r="B288" t="s">
        <v>16</v>
      </c>
      <c r="C288" t="s">
        <v>17</v>
      </c>
      <c r="D288" t="s">
        <v>18</v>
      </c>
      <c r="E288" t="s">
        <v>19</v>
      </c>
      <c r="F288" t="s">
        <v>20</v>
      </c>
      <c r="G288" t="s">
        <v>20</v>
      </c>
      <c r="H288" t="s">
        <v>712</v>
      </c>
      <c r="I288">
        <f>+AVERAGE(9,13)</f>
        <v>11</v>
      </c>
      <c r="J288" t="s">
        <v>778</v>
      </c>
      <c r="Q288" t="s">
        <v>412</v>
      </c>
      <c r="R288" t="s">
        <v>709</v>
      </c>
      <c r="S288" t="s">
        <v>703</v>
      </c>
      <c r="T288" t="s">
        <v>616</v>
      </c>
      <c r="U288" s="1" t="s">
        <v>754</v>
      </c>
      <c r="V288" s="1">
        <f t="shared" ref="V288:V291" si="44">+AA288*AC288/10000</f>
        <v>2.0255954496978248E-11</v>
      </c>
      <c r="W288" s="1"/>
      <c r="X288" s="1"/>
      <c r="Y288" s="1"/>
      <c r="Z288" s="1"/>
      <c r="AA288" s="1">
        <f>[43]Suku_etal_2013_Fig4d!B2</f>
        <v>4.1958762886597905E-8</v>
      </c>
      <c r="AB288" s="1"/>
      <c r="AC288" s="2">
        <f>[44]Suku_etal_2013_Fig3a!B2</f>
        <v>4.8275862068965401</v>
      </c>
      <c r="AE288" s="2"/>
      <c r="AF288" s="2"/>
      <c r="AH288" s="5">
        <f>[45]Suku_etal_2013_Fig3c!B2</f>
        <v>8.8888888888891896E-4</v>
      </c>
      <c r="AJ288" t="s">
        <v>352</v>
      </c>
    </row>
    <row r="289" spans="1:36" x14ac:dyDescent="0.25">
      <c r="A289" t="s">
        <v>69</v>
      </c>
      <c r="B289" t="s">
        <v>16</v>
      </c>
      <c r="C289" t="s">
        <v>17</v>
      </c>
      <c r="D289" t="s">
        <v>18</v>
      </c>
      <c r="E289" t="s">
        <v>19</v>
      </c>
      <c r="F289" t="s">
        <v>20</v>
      </c>
      <c r="G289" t="s">
        <v>20</v>
      </c>
      <c r="H289" t="s">
        <v>712</v>
      </c>
      <c r="I289">
        <f>+AVERAGE(14,18)</f>
        <v>16</v>
      </c>
      <c r="J289" t="s">
        <v>778</v>
      </c>
      <c r="Q289" t="s">
        <v>412</v>
      </c>
      <c r="R289" t="s">
        <v>709</v>
      </c>
      <c r="S289" t="s">
        <v>703</v>
      </c>
      <c r="T289" t="s">
        <v>616</v>
      </c>
      <c r="U289" s="1" t="s">
        <v>754</v>
      </c>
      <c r="V289" s="1">
        <f t="shared" si="44"/>
        <v>1.1826215022091228E-10</v>
      </c>
      <c r="W289" s="1"/>
      <c r="X289" s="1"/>
      <c r="Y289" s="1"/>
      <c r="Z289" s="1"/>
      <c r="AA289" s="1">
        <f>[43]Suku_etal_2013_Fig4d!B3</f>
        <v>8.2783505154639099E-8</v>
      </c>
      <c r="AB289" s="1"/>
      <c r="AC289" s="2">
        <f>[44]Suku_etal_2013_Fig3a!B3</f>
        <v>14.285714285714199</v>
      </c>
      <c r="AE289" s="2"/>
      <c r="AF289" s="2"/>
      <c r="AH289" s="5">
        <f>[45]Suku_etal_2013_Fig3c!B3</f>
        <v>3.2592592592592799E-3</v>
      </c>
      <c r="AJ289" t="s">
        <v>352</v>
      </c>
    </row>
    <row r="290" spans="1:36" x14ac:dyDescent="0.25">
      <c r="A290" t="s">
        <v>69</v>
      </c>
      <c r="B290" t="s">
        <v>16</v>
      </c>
      <c r="C290" t="s">
        <v>17</v>
      </c>
      <c r="D290" t="s">
        <v>18</v>
      </c>
      <c r="E290" t="s">
        <v>19</v>
      </c>
      <c r="F290" t="s">
        <v>20</v>
      </c>
      <c r="G290" t="s">
        <v>20</v>
      </c>
      <c r="H290" t="s">
        <v>712</v>
      </c>
      <c r="I290">
        <f>+AVERAGE(19,23)</f>
        <v>21</v>
      </c>
      <c r="J290" t="s">
        <v>778</v>
      </c>
      <c r="Q290" t="s">
        <v>412</v>
      </c>
      <c r="R290" t="s">
        <v>709</v>
      </c>
      <c r="S290" t="s">
        <v>703</v>
      </c>
      <c r="T290" t="s">
        <v>616</v>
      </c>
      <c r="U290" s="1" t="s">
        <v>754</v>
      </c>
      <c r="V290" s="1">
        <f t="shared" si="44"/>
        <v>1.7344472093849899E-10</v>
      </c>
      <c r="W290" s="1"/>
      <c r="X290" s="1"/>
      <c r="Y290" s="1"/>
      <c r="Z290" s="1"/>
      <c r="AA290" s="1">
        <f>[43]Suku_etal_2013_Fig4d!B4</f>
        <v>8.58762886597937E-8</v>
      </c>
      <c r="AB290" s="1"/>
      <c r="AC290" s="2">
        <f>[44]Suku_etal_2013_Fig3a!B4</f>
        <v>20.197044334975299</v>
      </c>
      <c r="AE290" s="2"/>
      <c r="AF290" s="2"/>
      <c r="AH290" s="5">
        <f>[45]Suku_etal_2013_Fig3c!B4</f>
        <v>5.20370370370368E-3</v>
      </c>
      <c r="AJ290" t="s">
        <v>352</v>
      </c>
    </row>
    <row r="291" spans="1:36" x14ac:dyDescent="0.25">
      <c r="A291" t="s">
        <v>69</v>
      </c>
      <c r="B291" t="s">
        <v>16</v>
      </c>
      <c r="C291" t="s">
        <v>17</v>
      </c>
      <c r="D291" t="s">
        <v>18</v>
      </c>
      <c r="E291" t="s">
        <v>19</v>
      </c>
      <c r="F291" t="s">
        <v>20</v>
      </c>
      <c r="G291" t="s">
        <v>20</v>
      </c>
      <c r="H291" t="s">
        <v>712</v>
      </c>
      <c r="I291">
        <f>+AVERAGE(24,28)</f>
        <v>26</v>
      </c>
      <c r="J291" t="s">
        <v>778</v>
      </c>
      <c r="Q291" t="s">
        <v>412</v>
      </c>
      <c r="R291" t="s">
        <v>709</v>
      </c>
      <c r="S291" t="s">
        <v>703</v>
      </c>
      <c r="T291" t="s">
        <v>616</v>
      </c>
      <c r="U291" s="1" t="s">
        <v>754</v>
      </c>
      <c r="V291" s="1">
        <f t="shared" si="44"/>
        <v>4.9089330150830301E-10</v>
      </c>
      <c r="W291" s="1"/>
      <c r="X291" s="1"/>
      <c r="Y291" s="1"/>
      <c r="Z291" s="1"/>
      <c r="AA291" s="1">
        <f>[43]Suku_etal_2013_Fig4d!B5</f>
        <v>7.7010309278350493E-8</v>
      </c>
      <c r="AB291" s="1"/>
      <c r="AC291" s="2">
        <f>[44]Suku_etal_2013_Fig3a!B5</f>
        <v>63.743842364532</v>
      </c>
      <c r="AE291" s="2"/>
      <c r="AF291" s="2"/>
      <c r="AH291" s="5">
        <f>[45]Suku_etal_2013_Fig3c!B5</f>
        <v>1.3611111111110999E-2</v>
      </c>
      <c r="AJ291" t="s">
        <v>352</v>
      </c>
    </row>
    <row r="292" spans="1:36" x14ac:dyDescent="0.25">
      <c r="A292" t="s">
        <v>249</v>
      </c>
      <c r="B292" t="s">
        <v>56</v>
      </c>
      <c r="C292" t="s">
        <v>57</v>
      </c>
      <c r="D292" t="s">
        <v>18</v>
      </c>
      <c r="E292" t="s">
        <v>19</v>
      </c>
      <c r="F292" t="s">
        <v>20</v>
      </c>
      <c r="G292" t="s">
        <v>20</v>
      </c>
      <c r="H292" t="s">
        <v>712</v>
      </c>
      <c r="I292">
        <f t="shared" ref="I292:I299" si="45">3*7</f>
        <v>21</v>
      </c>
      <c r="J292" t="s">
        <v>650</v>
      </c>
      <c r="K292" t="s">
        <v>39</v>
      </c>
      <c r="L292" t="str">
        <f t="shared" ref="L292:L323" si="46">+IF(K292 = "Control", "Control", "Stress")</f>
        <v>Control</v>
      </c>
      <c r="M292" t="s">
        <v>648</v>
      </c>
      <c r="N292" t="s">
        <v>716</v>
      </c>
      <c r="O292" t="s">
        <v>438</v>
      </c>
      <c r="P292" t="s">
        <v>716</v>
      </c>
      <c r="Q292" t="s">
        <v>412</v>
      </c>
      <c r="R292" t="s">
        <v>709</v>
      </c>
      <c r="S292" t="s">
        <v>703</v>
      </c>
      <c r="T292" t="s">
        <v>615</v>
      </c>
      <c r="W292" s="1"/>
      <c r="AA292" s="1">
        <f>[46]Yang_etal_2012_Fig5!C2</f>
        <v>2.5640018534053501E-8</v>
      </c>
      <c r="AE292">
        <v>0.4</v>
      </c>
      <c r="AJ292" t="s">
        <v>47</v>
      </c>
    </row>
    <row r="293" spans="1:36" x14ac:dyDescent="0.25">
      <c r="A293" t="s">
        <v>249</v>
      </c>
      <c r="B293" t="s">
        <v>56</v>
      </c>
      <c r="C293" t="s">
        <v>57</v>
      </c>
      <c r="D293" t="s">
        <v>18</v>
      </c>
      <c r="E293" t="s">
        <v>19</v>
      </c>
      <c r="F293" t="s">
        <v>20</v>
      </c>
      <c r="G293" t="s">
        <v>20</v>
      </c>
      <c r="H293" t="s">
        <v>712</v>
      </c>
      <c r="I293">
        <f t="shared" si="45"/>
        <v>21</v>
      </c>
      <c r="J293" t="s">
        <v>650</v>
      </c>
      <c r="K293" t="s">
        <v>39</v>
      </c>
      <c r="L293" t="str">
        <f t="shared" si="46"/>
        <v>Control</v>
      </c>
      <c r="M293" t="s">
        <v>649</v>
      </c>
      <c r="N293" t="s">
        <v>716</v>
      </c>
      <c r="O293" t="s">
        <v>438</v>
      </c>
      <c r="P293" t="s">
        <v>716</v>
      </c>
      <c r="Q293" t="s">
        <v>412</v>
      </c>
      <c r="R293" t="s">
        <v>709</v>
      </c>
      <c r="S293" t="s">
        <v>703</v>
      </c>
      <c r="T293" t="s">
        <v>615</v>
      </c>
      <c r="W293" s="1"/>
      <c r="AA293" s="1">
        <f>[46]Yang_etal_2012_Fig5!C3</f>
        <v>1.9322722826984301E-8</v>
      </c>
      <c r="AE293">
        <v>0.41</v>
      </c>
      <c r="AJ293" t="s">
        <v>47</v>
      </c>
    </row>
    <row r="294" spans="1:36" x14ac:dyDescent="0.25">
      <c r="A294" t="s">
        <v>249</v>
      </c>
      <c r="B294" t="s">
        <v>56</v>
      </c>
      <c r="C294" t="s">
        <v>57</v>
      </c>
      <c r="D294" t="s">
        <v>18</v>
      </c>
      <c r="E294" t="s">
        <v>19</v>
      </c>
      <c r="F294" t="s">
        <v>20</v>
      </c>
      <c r="G294" t="s">
        <v>20</v>
      </c>
      <c r="H294" t="s">
        <v>712</v>
      </c>
      <c r="I294">
        <f t="shared" si="45"/>
        <v>21</v>
      </c>
      <c r="J294" t="s">
        <v>650</v>
      </c>
      <c r="K294" t="s">
        <v>51</v>
      </c>
      <c r="L294" t="str">
        <f t="shared" si="46"/>
        <v>Stress</v>
      </c>
      <c r="M294" t="s">
        <v>648</v>
      </c>
      <c r="N294" t="s">
        <v>716</v>
      </c>
      <c r="O294" t="s">
        <v>438</v>
      </c>
      <c r="P294" t="s">
        <v>716</v>
      </c>
      <c r="Q294" t="s">
        <v>412</v>
      </c>
      <c r="R294" t="s">
        <v>709</v>
      </c>
      <c r="S294" t="s">
        <v>703</v>
      </c>
      <c r="T294" t="s">
        <v>615</v>
      </c>
      <c r="W294" s="1"/>
      <c r="AA294" s="1">
        <f>[46]Yang_etal_2012_Fig5!C4</f>
        <v>2.2618101008488002E-8</v>
      </c>
      <c r="AE294">
        <v>0.48</v>
      </c>
      <c r="AJ294" t="s">
        <v>47</v>
      </c>
    </row>
    <row r="295" spans="1:36" x14ac:dyDescent="0.25">
      <c r="A295" t="s">
        <v>249</v>
      </c>
      <c r="B295" t="s">
        <v>56</v>
      </c>
      <c r="C295" t="s">
        <v>57</v>
      </c>
      <c r="D295" t="s">
        <v>18</v>
      </c>
      <c r="E295" t="s">
        <v>19</v>
      </c>
      <c r="F295" t="s">
        <v>20</v>
      </c>
      <c r="G295" t="s">
        <v>20</v>
      </c>
      <c r="H295" t="s">
        <v>712</v>
      </c>
      <c r="I295">
        <f t="shared" si="45"/>
        <v>21</v>
      </c>
      <c r="J295" t="s">
        <v>650</v>
      </c>
      <c r="K295" t="s">
        <v>51</v>
      </c>
      <c r="L295" t="str">
        <f t="shared" si="46"/>
        <v>Stress</v>
      </c>
      <c r="M295" t="s">
        <v>649</v>
      </c>
      <c r="N295" t="s">
        <v>716</v>
      </c>
      <c r="O295" t="s">
        <v>438</v>
      </c>
      <c r="P295" t="s">
        <v>716</v>
      </c>
      <c r="Q295" t="s">
        <v>412</v>
      </c>
      <c r="R295" t="s">
        <v>709</v>
      </c>
      <c r="S295" t="s">
        <v>703</v>
      </c>
      <c r="T295" t="s">
        <v>615</v>
      </c>
      <c r="W295" s="1"/>
      <c r="AA295" s="1">
        <f>[46]Yang_etal_2012_Fig5!C5</f>
        <v>1.42913730115071E-8</v>
      </c>
      <c r="AE295">
        <v>0.46</v>
      </c>
      <c r="AJ295" t="s">
        <v>47</v>
      </c>
    </row>
    <row r="296" spans="1:36" x14ac:dyDescent="0.25">
      <c r="A296" t="s">
        <v>249</v>
      </c>
      <c r="B296" t="s">
        <v>56</v>
      </c>
      <c r="C296" t="s">
        <v>57</v>
      </c>
      <c r="D296" t="s">
        <v>18</v>
      </c>
      <c r="E296" t="s">
        <v>19</v>
      </c>
      <c r="F296" t="s">
        <v>20</v>
      </c>
      <c r="G296" t="s">
        <v>20</v>
      </c>
      <c r="H296" t="s">
        <v>712</v>
      </c>
      <c r="I296">
        <f t="shared" si="45"/>
        <v>21</v>
      </c>
      <c r="J296" t="s">
        <v>650</v>
      </c>
      <c r="K296" t="s">
        <v>39</v>
      </c>
      <c r="L296" t="str">
        <f t="shared" si="46"/>
        <v>Control</v>
      </c>
      <c r="M296" t="s">
        <v>648</v>
      </c>
      <c r="N296" t="s">
        <v>716</v>
      </c>
      <c r="O296" t="s">
        <v>439</v>
      </c>
      <c r="P296" t="s">
        <v>716</v>
      </c>
      <c r="Q296" t="s">
        <v>412</v>
      </c>
      <c r="R296" t="s">
        <v>709</v>
      </c>
      <c r="S296" t="s">
        <v>703</v>
      </c>
      <c r="T296" t="s">
        <v>615</v>
      </c>
      <c r="W296" s="1"/>
      <c r="AA296" s="1">
        <f>[46]Yang_etal_2012_Fig5!C6</f>
        <v>3.18396484052485E-8</v>
      </c>
      <c r="AE296">
        <v>0.25</v>
      </c>
      <c r="AJ296" t="s">
        <v>47</v>
      </c>
    </row>
    <row r="297" spans="1:36" x14ac:dyDescent="0.25">
      <c r="A297" t="s">
        <v>249</v>
      </c>
      <c r="B297" t="s">
        <v>56</v>
      </c>
      <c r="C297" t="s">
        <v>57</v>
      </c>
      <c r="D297" t="s">
        <v>18</v>
      </c>
      <c r="E297" t="s">
        <v>19</v>
      </c>
      <c r="F297" t="s">
        <v>20</v>
      </c>
      <c r="G297" t="s">
        <v>20</v>
      </c>
      <c r="H297" t="s">
        <v>712</v>
      </c>
      <c r="I297">
        <f t="shared" si="45"/>
        <v>21</v>
      </c>
      <c r="J297" t="s">
        <v>650</v>
      </c>
      <c r="K297" t="s">
        <v>39</v>
      </c>
      <c r="L297" t="str">
        <f t="shared" si="46"/>
        <v>Control</v>
      </c>
      <c r="M297" t="s">
        <v>649</v>
      </c>
      <c r="N297" t="s">
        <v>716</v>
      </c>
      <c r="O297" t="s">
        <v>439</v>
      </c>
      <c r="P297" t="s">
        <v>716</v>
      </c>
      <c r="Q297" t="s">
        <v>412</v>
      </c>
      <c r="R297" t="s">
        <v>709</v>
      </c>
      <c r="S297" t="s">
        <v>703</v>
      </c>
      <c r="T297" t="s">
        <v>615</v>
      </c>
      <c r="W297" s="1"/>
      <c r="AA297" s="1">
        <f>[46]Yang_etal_2012_Fig5!C7</f>
        <v>2.4413987577324103E-8</v>
      </c>
      <c r="AE297">
        <v>0.25</v>
      </c>
      <c r="AJ297" t="s">
        <v>47</v>
      </c>
    </row>
    <row r="298" spans="1:36" x14ac:dyDescent="0.25">
      <c r="A298" t="s">
        <v>249</v>
      </c>
      <c r="B298" t="s">
        <v>56</v>
      </c>
      <c r="C298" t="s">
        <v>57</v>
      </c>
      <c r="D298" t="s">
        <v>18</v>
      </c>
      <c r="E298" t="s">
        <v>19</v>
      </c>
      <c r="F298" t="s">
        <v>20</v>
      </c>
      <c r="G298" t="s">
        <v>20</v>
      </c>
      <c r="H298" t="s">
        <v>712</v>
      </c>
      <c r="I298">
        <f t="shared" si="45"/>
        <v>21</v>
      </c>
      <c r="J298" t="s">
        <v>650</v>
      </c>
      <c r="K298" t="s">
        <v>51</v>
      </c>
      <c r="L298" t="str">
        <f t="shared" si="46"/>
        <v>Stress</v>
      </c>
      <c r="M298" t="s">
        <v>648</v>
      </c>
      <c r="N298" t="s">
        <v>716</v>
      </c>
      <c r="O298" t="s">
        <v>439</v>
      </c>
      <c r="P298" t="s">
        <v>716</v>
      </c>
      <c r="Q298" t="s">
        <v>412</v>
      </c>
      <c r="R298" t="s">
        <v>709</v>
      </c>
      <c r="S298" t="s">
        <v>703</v>
      </c>
      <c r="T298" t="s">
        <v>615</v>
      </c>
      <c r="W298" s="1"/>
      <c r="AA298" s="1">
        <f>[46]Yang_etal_2012_Fig5!C8</f>
        <v>2.9865738564914198E-8</v>
      </c>
      <c r="AE298">
        <v>0.28999999999999998</v>
      </c>
      <c r="AJ298" t="s">
        <v>47</v>
      </c>
    </row>
    <row r="299" spans="1:36" x14ac:dyDescent="0.25">
      <c r="A299" t="s">
        <v>249</v>
      </c>
      <c r="B299" t="s">
        <v>56</v>
      </c>
      <c r="C299" t="s">
        <v>57</v>
      </c>
      <c r="D299" t="s">
        <v>18</v>
      </c>
      <c r="E299" t="s">
        <v>19</v>
      </c>
      <c r="F299" t="s">
        <v>20</v>
      </c>
      <c r="G299" t="s">
        <v>20</v>
      </c>
      <c r="H299" t="s">
        <v>712</v>
      </c>
      <c r="I299">
        <f t="shared" si="45"/>
        <v>21</v>
      </c>
      <c r="J299" t="s">
        <v>650</v>
      </c>
      <c r="K299" t="s">
        <v>51</v>
      </c>
      <c r="L299" t="str">
        <f t="shared" si="46"/>
        <v>Stress</v>
      </c>
      <c r="M299" t="s">
        <v>649</v>
      </c>
      <c r="N299" t="s">
        <v>716</v>
      </c>
      <c r="O299" t="s">
        <v>439</v>
      </c>
      <c r="P299" t="s">
        <v>716</v>
      </c>
      <c r="Q299" t="s">
        <v>412</v>
      </c>
      <c r="R299" t="s">
        <v>709</v>
      </c>
      <c r="S299" t="s">
        <v>703</v>
      </c>
      <c r="T299" t="s">
        <v>615</v>
      </c>
      <c r="W299" s="1"/>
      <c r="AA299" s="1">
        <f>[46]Yang_etal_2012_Fig5!C9</f>
        <v>1.9925093768882999E-8</v>
      </c>
      <c r="AE299">
        <v>0.32</v>
      </c>
      <c r="AJ299" t="s">
        <v>47</v>
      </c>
    </row>
    <row r="300" spans="1:36" x14ac:dyDescent="0.25">
      <c r="A300" t="s">
        <v>73</v>
      </c>
      <c r="B300" t="s">
        <v>44</v>
      </c>
      <c r="C300" t="s">
        <v>45</v>
      </c>
      <c r="D300" t="s">
        <v>46</v>
      </c>
      <c r="E300" t="s">
        <v>19</v>
      </c>
      <c r="G300" t="s">
        <v>621</v>
      </c>
      <c r="H300" t="s">
        <v>714</v>
      </c>
      <c r="J300" t="s">
        <v>637</v>
      </c>
      <c r="K300" t="s">
        <v>39</v>
      </c>
      <c r="L300" t="str">
        <f t="shared" si="46"/>
        <v>Control</v>
      </c>
      <c r="Q300" t="s">
        <v>412</v>
      </c>
      <c r="R300" t="s">
        <v>709</v>
      </c>
      <c r="S300" t="s">
        <v>703</v>
      </c>
      <c r="T300" t="s">
        <v>615</v>
      </c>
      <c r="U300" s="1" t="s">
        <v>755</v>
      </c>
      <c r="V300" s="1">
        <f>[47]Perrone_etal_2012_Fig7a!C2</f>
        <v>5.4733785234668521E-9</v>
      </c>
      <c r="W300" s="1"/>
      <c r="X300" s="1"/>
      <c r="Y300" s="1"/>
      <c r="Z300" s="1"/>
      <c r="AA300" s="1">
        <f>[47]Perrone_etal_2012_Fig7a!E2</f>
        <v>1.0711545008164429E-6</v>
      </c>
      <c r="AB300" s="1"/>
      <c r="AC300" s="3">
        <f t="shared" ref="AC300:AC306" si="47">+V300/AA300*10000</f>
        <v>51.097937032379527</v>
      </c>
      <c r="AE300" s="2">
        <f>[48]Perrone_etal_2012_Fig6!B2</f>
        <v>7.4046822742474898</v>
      </c>
      <c r="AF300" s="2"/>
      <c r="AJ300" t="s">
        <v>47</v>
      </c>
    </row>
    <row r="301" spans="1:36" x14ac:dyDescent="0.25">
      <c r="A301" t="s">
        <v>73</v>
      </c>
      <c r="B301" t="s">
        <v>44</v>
      </c>
      <c r="C301" t="s">
        <v>45</v>
      </c>
      <c r="D301" t="s">
        <v>46</v>
      </c>
      <c r="E301" t="s">
        <v>19</v>
      </c>
      <c r="G301" t="s">
        <v>621</v>
      </c>
      <c r="H301" t="s">
        <v>714</v>
      </c>
      <c r="J301" t="s">
        <v>637</v>
      </c>
      <c r="K301" t="s">
        <v>710</v>
      </c>
      <c r="L301" t="str">
        <f t="shared" si="46"/>
        <v>Stress</v>
      </c>
      <c r="Q301" t="s">
        <v>412</v>
      </c>
      <c r="R301" t="s">
        <v>709</v>
      </c>
      <c r="S301" t="s">
        <v>703</v>
      </c>
      <c r="T301" t="s">
        <v>615</v>
      </c>
      <c r="U301" s="1" t="s">
        <v>755</v>
      </c>
      <c r="V301" s="1">
        <f>[47]Perrone_etal_2012_Fig7a!C3</f>
        <v>6.6394861936906892E-9</v>
      </c>
      <c r="W301" s="1"/>
      <c r="X301" s="1"/>
      <c r="Y301" s="1"/>
      <c r="Z301" s="1"/>
      <c r="AA301" s="1">
        <f>[47]Perrone_etal_2012_Fig7a!E3</f>
        <v>1.7109665170548303E-6</v>
      </c>
      <c r="AB301" s="1"/>
      <c r="AC301" s="3">
        <f t="shared" si="47"/>
        <v>38.805471220556434</v>
      </c>
      <c r="AE301" s="2">
        <f>[48]Perrone_etal_2012_Fig6!B3</f>
        <v>4.6354515050167198</v>
      </c>
      <c r="AF301" s="2"/>
      <c r="AJ301" t="s">
        <v>47</v>
      </c>
    </row>
    <row r="302" spans="1:36" x14ac:dyDescent="0.25">
      <c r="A302" t="s">
        <v>73</v>
      </c>
      <c r="B302" t="s">
        <v>44</v>
      </c>
      <c r="C302" t="s">
        <v>45</v>
      </c>
      <c r="D302" t="s">
        <v>46</v>
      </c>
      <c r="E302" t="s">
        <v>19</v>
      </c>
      <c r="G302" t="s">
        <v>621</v>
      </c>
      <c r="H302" t="s">
        <v>714</v>
      </c>
      <c r="J302" t="s">
        <v>637</v>
      </c>
      <c r="K302" t="s">
        <v>710</v>
      </c>
      <c r="L302" t="str">
        <f t="shared" si="46"/>
        <v>Stress</v>
      </c>
      <c r="Q302" t="s">
        <v>412</v>
      </c>
      <c r="R302" t="s">
        <v>709</v>
      </c>
      <c r="S302" t="s">
        <v>703</v>
      </c>
      <c r="T302" t="s">
        <v>615</v>
      </c>
      <c r="U302" s="1" t="s">
        <v>755</v>
      </c>
      <c r="V302" s="1">
        <f>[47]Perrone_etal_2012_Fig7a!C4</f>
        <v>1.497657158607338E-8</v>
      </c>
      <c r="W302" s="1"/>
      <c r="X302" s="1"/>
      <c r="Y302" s="1"/>
      <c r="Z302" s="1"/>
      <c r="AA302" s="1">
        <f>[47]Perrone_etal_2012_Fig7a!E4</f>
        <v>2.2627768365369427E-6</v>
      </c>
      <c r="AB302" s="1"/>
      <c r="AC302" s="3">
        <f t="shared" si="47"/>
        <v>66.186693023578101</v>
      </c>
      <c r="AE302" s="2">
        <f>[48]Perrone_etal_2012_Fig6!B4</f>
        <v>7.3444816053511701</v>
      </c>
      <c r="AF302" s="2"/>
      <c r="AJ302" t="s">
        <v>47</v>
      </c>
    </row>
    <row r="303" spans="1:36" x14ac:dyDescent="0.25">
      <c r="A303" t="s">
        <v>73</v>
      </c>
      <c r="B303" t="s">
        <v>44</v>
      </c>
      <c r="C303" t="s">
        <v>45</v>
      </c>
      <c r="D303" t="s">
        <v>46</v>
      </c>
      <c r="E303" t="s">
        <v>19</v>
      </c>
      <c r="G303" t="s">
        <v>621</v>
      </c>
      <c r="H303" t="s">
        <v>714</v>
      </c>
      <c r="J303" t="s">
        <v>637</v>
      </c>
      <c r="K303" t="s">
        <v>710</v>
      </c>
      <c r="L303" t="str">
        <f t="shared" si="46"/>
        <v>Stress</v>
      </c>
      <c r="Q303" t="s">
        <v>412</v>
      </c>
      <c r="R303" t="s">
        <v>709</v>
      </c>
      <c r="S303" t="s">
        <v>703</v>
      </c>
      <c r="T303" t="s">
        <v>615</v>
      </c>
      <c r="U303" s="1" t="s">
        <v>755</v>
      </c>
      <c r="V303" s="1">
        <f>[47]Perrone_etal_2012_Fig7a!C5</f>
        <v>1.6861409444230002E-8</v>
      </c>
      <c r="W303" s="1"/>
      <c r="X303" s="1"/>
      <c r="Y303" s="1"/>
      <c r="Z303" s="1"/>
      <c r="AA303" s="1">
        <f>[47]Perrone_etal_2012_Fig7a!E5</f>
        <v>2.8379576549721042E-6</v>
      </c>
      <c r="AB303" s="1"/>
      <c r="AC303" s="3">
        <f t="shared" si="47"/>
        <v>59.413886654329744</v>
      </c>
      <c r="AE303" s="2">
        <f>[48]Perrone_etal_2012_Fig6!B5</f>
        <v>8.6688963210702301</v>
      </c>
      <c r="AF303" s="2"/>
      <c r="AJ303" t="s">
        <v>47</v>
      </c>
    </row>
    <row r="304" spans="1:36" x14ac:dyDescent="0.25">
      <c r="A304" t="s">
        <v>73</v>
      </c>
      <c r="B304" t="s">
        <v>44</v>
      </c>
      <c r="C304" t="s">
        <v>45</v>
      </c>
      <c r="D304" t="s">
        <v>46</v>
      </c>
      <c r="E304" t="s">
        <v>19</v>
      </c>
      <c r="G304" t="s">
        <v>621</v>
      </c>
      <c r="H304" t="s">
        <v>714</v>
      </c>
      <c r="J304" t="s">
        <v>637</v>
      </c>
      <c r="K304" t="s">
        <v>710</v>
      </c>
      <c r="L304" t="str">
        <f t="shared" si="46"/>
        <v>Stress</v>
      </c>
      <c r="Q304" t="s">
        <v>412</v>
      </c>
      <c r="R304" t="s">
        <v>709</v>
      </c>
      <c r="S304" t="s">
        <v>703</v>
      </c>
      <c r="T304" t="s">
        <v>615</v>
      </c>
      <c r="U304" s="1" t="s">
        <v>755</v>
      </c>
      <c r="V304" s="1">
        <f>[47]Perrone_etal_2012_Fig7a!C6</f>
        <v>1.7742893779020256E-8</v>
      </c>
      <c r="W304" s="1"/>
      <c r="X304" s="1"/>
      <c r="Y304" s="1"/>
      <c r="Z304" s="1"/>
      <c r="AA304" s="1">
        <f>[47]Perrone_etal_2012_Fig7a!E6</f>
        <v>3.1544918523049786E-6</v>
      </c>
      <c r="AB304" s="1"/>
      <c r="AC304" s="3">
        <f t="shared" si="47"/>
        <v>56.246440345235229</v>
      </c>
      <c r="AE304" s="2">
        <f>[48]Perrone_etal_2012_Fig6!B6</f>
        <v>7.2842809364548398</v>
      </c>
      <c r="AF304" s="2"/>
      <c r="AJ304" t="s">
        <v>47</v>
      </c>
    </row>
    <row r="305" spans="1:36" x14ac:dyDescent="0.25">
      <c r="A305" t="s">
        <v>73</v>
      </c>
      <c r="B305" t="s">
        <v>44</v>
      </c>
      <c r="C305" t="s">
        <v>45</v>
      </c>
      <c r="D305" t="s">
        <v>46</v>
      </c>
      <c r="E305" t="s">
        <v>19</v>
      </c>
      <c r="G305" t="s">
        <v>621</v>
      </c>
      <c r="H305" t="s">
        <v>714</v>
      </c>
      <c r="J305" t="s">
        <v>637</v>
      </c>
      <c r="K305" t="s">
        <v>710</v>
      </c>
      <c r="L305" t="str">
        <f t="shared" si="46"/>
        <v>Stress</v>
      </c>
      <c r="Q305" t="s">
        <v>412</v>
      </c>
      <c r="R305" t="s">
        <v>709</v>
      </c>
      <c r="S305" t="s">
        <v>703</v>
      </c>
      <c r="T305" t="s">
        <v>615</v>
      </c>
      <c r="U305" s="1" t="s">
        <v>755</v>
      </c>
      <c r="V305" s="1">
        <f>[47]Perrone_etal_2012_Fig7a!C7</f>
        <v>2.7662945624775022E-8</v>
      </c>
      <c r="W305" s="1"/>
      <c r="X305" s="1"/>
      <c r="Y305" s="1"/>
      <c r="Z305" s="1"/>
      <c r="AA305" s="1">
        <f>[47]Perrone_etal_2012_Fig7a!E7</f>
        <v>3.5543068292776325E-6</v>
      </c>
      <c r="AB305" s="1"/>
      <c r="AC305" s="3">
        <f t="shared" si="47"/>
        <v>77.829368575917698</v>
      </c>
      <c r="AE305" s="2">
        <f>[48]Perrone_etal_2012_Fig6!B7</f>
        <v>9.3311036789297592</v>
      </c>
      <c r="AF305" s="2"/>
      <c r="AJ305" t="s">
        <v>47</v>
      </c>
    </row>
    <row r="306" spans="1:36" x14ac:dyDescent="0.25">
      <c r="A306" t="s">
        <v>73</v>
      </c>
      <c r="B306" t="s">
        <v>44</v>
      </c>
      <c r="C306" t="s">
        <v>45</v>
      </c>
      <c r="D306" t="s">
        <v>46</v>
      </c>
      <c r="E306" t="s">
        <v>19</v>
      </c>
      <c r="G306" t="s">
        <v>621</v>
      </c>
      <c r="H306" t="s">
        <v>714</v>
      </c>
      <c r="J306" t="s">
        <v>637</v>
      </c>
      <c r="K306" t="s">
        <v>710</v>
      </c>
      <c r="L306" t="str">
        <f t="shared" si="46"/>
        <v>Stress</v>
      </c>
      <c r="Q306" t="s">
        <v>412</v>
      </c>
      <c r="R306" t="s">
        <v>709</v>
      </c>
      <c r="S306" t="s">
        <v>703</v>
      </c>
      <c r="T306" t="s">
        <v>615</v>
      </c>
      <c r="U306" s="1" t="s">
        <v>755</v>
      </c>
      <c r="V306" s="1">
        <f>[47]Perrone_etal_2012_Fig7a!C8</f>
        <v>2.3245995721813582E-8</v>
      </c>
      <c r="W306" s="1"/>
      <c r="X306" s="1"/>
      <c r="Y306" s="1"/>
      <c r="Z306" s="1"/>
      <c r="AA306" s="1">
        <f>[47]Perrone_etal_2012_Fig7a!E8</f>
        <v>4.9535715238679915E-6</v>
      </c>
      <c r="AB306" s="1"/>
      <c r="AC306" s="3">
        <f t="shared" si="47"/>
        <v>46.92774821117748</v>
      </c>
      <c r="AE306" s="2">
        <f>[48]Perrone_etal_2012_Fig6!B8</f>
        <v>6.3812709030100301</v>
      </c>
      <c r="AF306" s="2"/>
      <c r="AJ306" t="s">
        <v>47</v>
      </c>
    </row>
    <row r="307" spans="1:36" x14ac:dyDescent="0.25">
      <c r="A307" t="s">
        <v>551</v>
      </c>
      <c r="B307" t="s">
        <v>56</v>
      </c>
      <c r="C307" t="s">
        <v>57</v>
      </c>
      <c r="D307" t="s">
        <v>18</v>
      </c>
      <c r="E307" t="s">
        <v>19</v>
      </c>
      <c r="F307" t="s">
        <v>20</v>
      </c>
      <c r="G307" t="s">
        <v>20</v>
      </c>
      <c r="H307" t="s">
        <v>712</v>
      </c>
      <c r="I307">
        <v>21</v>
      </c>
      <c r="J307" t="s">
        <v>721</v>
      </c>
      <c r="K307" t="s">
        <v>39</v>
      </c>
      <c r="L307" t="str">
        <f t="shared" si="46"/>
        <v>Control</v>
      </c>
      <c r="M307" t="s">
        <v>429</v>
      </c>
      <c r="N307" t="s">
        <v>716</v>
      </c>
      <c r="O307" t="s">
        <v>730</v>
      </c>
      <c r="P307" t="s">
        <v>716</v>
      </c>
      <c r="Q307" t="s">
        <v>412</v>
      </c>
      <c r="R307" t="s">
        <v>709</v>
      </c>
      <c r="S307" t="s">
        <v>703</v>
      </c>
      <c r="T307" t="s">
        <v>615</v>
      </c>
      <c r="U307" s="1"/>
      <c r="V307" s="1"/>
      <c r="W307" s="1"/>
      <c r="X307" s="1"/>
      <c r="Y307" s="1"/>
      <c r="Z307" s="1"/>
      <c r="AA307" s="1">
        <f>[49]Henry_etal_2012_Fig3ab!B2</f>
        <v>2.72758037225042E-8</v>
      </c>
      <c r="AB307" s="1"/>
      <c r="AC307" s="3"/>
      <c r="AD307">
        <v>3496</v>
      </c>
      <c r="AE307" s="2"/>
      <c r="AF307" s="2"/>
      <c r="AJ307" t="s">
        <v>203</v>
      </c>
    </row>
    <row r="308" spans="1:36" x14ac:dyDescent="0.25">
      <c r="A308" t="s">
        <v>551</v>
      </c>
      <c r="B308" t="s">
        <v>56</v>
      </c>
      <c r="C308" t="s">
        <v>57</v>
      </c>
      <c r="D308" t="s">
        <v>18</v>
      </c>
      <c r="E308" t="s">
        <v>19</v>
      </c>
      <c r="F308" t="s">
        <v>20</v>
      </c>
      <c r="G308" t="s">
        <v>20</v>
      </c>
      <c r="H308" t="s">
        <v>712</v>
      </c>
      <c r="I308">
        <v>21</v>
      </c>
      <c r="J308" t="s">
        <v>721</v>
      </c>
      <c r="K308" t="s">
        <v>39</v>
      </c>
      <c r="L308" t="str">
        <f t="shared" si="46"/>
        <v>Control</v>
      </c>
      <c r="M308" t="s">
        <v>429</v>
      </c>
      <c r="N308" t="s">
        <v>716</v>
      </c>
      <c r="O308" t="s">
        <v>731</v>
      </c>
      <c r="P308" t="s">
        <v>716</v>
      </c>
      <c r="Q308" t="s">
        <v>412</v>
      </c>
      <c r="R308" t="s">
        <v>709</v>
      </c>
      <c r="S308" t="s">
        <v>703</v>
      </c>
      <c r="T308" t="s">
        <v>615</v>
      </c>
      <c r="U308" s="1"/>
      <c r="V308" s="1"/>
      <c r="W308" s="1"/>
      <c r="X308" s="1"/>
      <c r="Y308" s="1"/>
      <c r="Z308" s="1"/>
      <c r="AA308" s="1">
        <f>[49]Henry_etal_2012_Fig3ab!B3</f>
        <v>2.3891708967851099E-8</v>
      </c>
      <c r="AB308" s="1"/>
      <c r="AC308" s="3"/>
      <c r="AD308">
        <v>3496</v>
      </c>
      <c r="AE308" s="2"/>
      <c r="AF308" s="2"/>
      <c r="AJ308" t="s">
        <v>203</v>
      </c>
    </row>
    <row r="309" spans="1:36" x14ac:dyDescent="0.25">
      <c r="A309" t="s">
        <v>551</v>
      </c>
      <c r="B309" t="s">
        <v>56</v>
      </c>
      <c r="C309" t="s">
        <v>57</v>
      </c>
      <c r="D309" t="s">
        <v>18</v>
      </c>
      <c r="E309" t="s">
        <v>19</v>
      </c>
      <c r="F309" t="s">
        <v>20</v>
      </c>
      <c r="G309" t="s">
        <v>20</v>
      </c>
      <c r="H309" t="s">
        <v>712</v>
      </c>
      <c r="I309">
        <v>21</v>
      </c>
      <c r="J309" t="s">
        <v>721</v>
      </c>
      <c r="K309" t="s">
        <v>39</v>
      </c>
      <c r="L309" t="str">
        <f t="shared" si="46"/>
        <v>Control</v>
      </c>
      <c r="M309" t="s">
        <v>429</v>
      </c>
      <c r="N309" t="s">
        <v>716</v>
      </c>
      <c r="O309" t="s">
        <v>732</v>
      </c>
      <c r="P309" t="s">
        <v>716</v>
      </c>
      <c r="Q309" t="s">
        <v>412</v>
      </c>
      <c r="R309" t="s">
        <v>709</v>
      </c>
      <c r="S309" t="s">
        <v>703</v>
      </c>
      <c r="T309" t="s">
        <v>615</v>
      </c>
      <c r="U309" s="1"/>
      <c r="V309" s="1"/>
      <c r="W309" s="1"/>
      <c r="X309" s="1"/>
      <c r="Y309" s="1"/>
      <c r="Z309" s="1"/>
      <c r="AA309" s="1">
        <f>[49]Henry_etal_2012_Fig3ab!B4</f>
        <v>8.0541455160744393E-9</v>
      </c>
      <c r="AB309" s="1"/>
      <c r="AC309" s="3"/>
      <c r="AD309">
        <v>3496</v>
      </c>
      <c r="AE309" s="2"/>
      <c r="AF309" s="2"/>
      <c r="AJ309" t="s">
        <v>203</v>
      </c>
    </row>
    <row r="310" spans="1:36" x14ac:dyDescent="0.25">
      <c r="A310" t="s">
        <v>551</v>
      </c>
      <c r="B310" t="s">
        <v>56</v>
      </c>
      <c r="C310" t="s">
        <v>57</v>
      </c>
      <c r="D310" t="s">
        <v>18</v>
      </c>
      <c r="E310" t="s">
        <v>19</v>
      </c>
      <c r="F310" t="s">
        <v>20</v>
      </c>
      <c r="G310" t="s">
        <v>20</v>
      </c>
      <c r="H310" t="s">
        <v>712</v>
      </c>
      <c r="I310">
        <v>21</v>
      </c>
      <c r="J310" t="s">
        <v>721</v>
      </c>
      <c r="K310" t="s">
        <v>39</v>
      </c>
      <c r="L310" t="str">
        <f t="shared" si="46"/>
        <v>Control</v>
      </c>
      <c r="M310" t="s">
        <v>430</v>
      </c>
      <c r="N310" t="s">
        <v>716</v>
      </c>
      <c r="O310" t="s">
        <v>730</v>
      </c>
      <c r="P310" t="s">
        <v>716</v>
      </c>
      <c r="Q310" t="s">
        <v>412</v>
      </c>
      <c r="R310" t="s">
        <v>709</v>
      </c>
      <c r="S310" t="s">
        <v>703</v>
      </c>
      <c r="T310" t="s">
        <v>615</v>
      </c>
      <c r="U310" s="1"/>
      <c r="V310" s="1"/>
      <c r="W310" s="1"/>
      <c r="X310" s="1"/>
      <c r="Y310" s="1"/>
      <c r="Z310" s="1"/>
      <c r="AA310" s="1">
        <f>[49]Henry_etal_2012_Fig3ab!B5</f>
        <v>7.3096446700507503E-9</v>
      </c>
      <c r="AB310" s="1"/>
      <c r="AC310" s="3"/>
      <c r="AD310">
        <v>2668</v>
      </c>
      <c r="AE310" s="2"/>
      <c r="AF310" s="2"/>
      <c r="AJ310" t="s">
        <v>203</v>
      </c>
    </row>
    <row r="311" spans="1:36" x14ac:dyDescent="0.25">
      <c r="A311" t="s">
        <v>551</v>
      </c>
      <c r="B311" t="s">
        <v>56</v>
      </c>
      <c r="C311" t="s">
        <v>57</v>
      </c>
      <c r="D311" t="s">
        <v>18</v>
      </c>
      <c r="E311" t="s">
        <v>19</v>
      </c>
      <c r="F311" t="s">
        <v>20</v>
      </c>
      <c r="G311" t="s">
        <v>20</v>
      </c>
      <c r="H311" t="s">
        <v>712</v>
      </c>
      <c r="I311">
        <v>21</v>
      </c>
      <c r="J311" t="s">
        <v>721</v>
      </c>
      <c r="K311" t="s">
        <v>39</v>
      </c>
      <c r="L311" t="str">
        <f t="shared" si="46"/>
        <v>Control</v>
      </c>
      <c r="M311" t="s">
        <v>430</v>
      </c>
      <c r="N311" t="s">
        <v>716</v>
      </c>
      <c r="O311" t="s">
        <v>731</v>
      </c>
      <c r="P311" t="s">
        <v>716</v>
      </c>
      <c r="Q311" t="s">
        <v>412</v>
      </c>
      <c r="R311" t="s">
        <v>709</v>
      </c>
      <c r="S311" t="s">
        <v>703</v>
      </c>
      <c r="T311" t="s">
        <v>615</v>
      </c>
      <c r="U311" s="1"/>
      <c r="V311" s="1"/>
      <c r="W311" s="1"/>
      <c r="X311" s="1"/>
      <c r="Y311" s="1"/>
      <c r="Z311" s="1"/>
      <c r="AA311" s="1">
        <f>[49]Henry_etal_2012_Fig3ab!B6</f>
        <v>1.1844331641285899E-8</v>
      </c>
      <c r="AB311" s="1"/>
      <c r="AC311" s="3"/>
      <c r="AD311">
        <v>2668</v>
      </c>
      <c r="AE311" s="2"/>
      <c r="AF311" s="2"/>
      <c r="AJ311" t="s">
        <v>203</v>
      </c>
    </row>
    <row r="312" spans="1:36" x14ac:dyDescent="0.25">
      <c r="A312" t="s">
        <v>551</v>
      </c>
      <c r="B312" t="s">
        <v>56</v>
      </c>
      <c r="C312" t="s">
        <v>57</v>
      </c>
      <c r="D312" t="s">
        <v>18</v>
      </c>
      <c r="E312" t="s">
        <v>19</v>
      </c>
      <c r="F312" t="s">
        <v>20</v>
      </c>
      <c r="G312" t="s">
        <v>20</v>
      </c>
      <c r="H312" t="s">
        <v>712</v>
      </c>
      <c r="I312">
        <v>21</v>
      </c>
      <c r="J312" t="s">
        <v>721</v>
      </c>
      <c r="K312" t="s">
        <v>39</v>
      </c>
      <c r="L312" t="str">
        <f t="shared" si="46"/>
        <v>Control</v>
      </c>
      <c r="M312" t="s">
        <v>430</v>
      </c>
      <c r="N312" t="s">
        <v>716</v>
      </c>
      <c r="O312" t="s">
        <v>732</v>
      </c>
      <c r="P312" t="s">
        <v>716</v>
      </c>
      <c r="Q312" t="s">
        <v>412</v>
      </c>
      <c r="R312" t="s">
        <v>709</v>
      </c>
      <c r="S312" t="s">
        <v>703</v>
      </c>
      <c r="T312" t="s">
        <v>615</v>
      </c>
      <c r="U312" s="1"/>
      <c r="V312" s="1"/>
      <c r="W312" s="1"/>
      <c r="X312" s="1"/>
      <c r="Y312" s="1"/>
      <c r="Z312" s="1"/>
      <c r="AA312" s="1">
        <f>[49]Henry_etal_2012_Fig3ab!B7</f>
        <v>1.6040609137055799E-8</v>
      </c>
      <c r="AB312" s="1"/>
      <c r="AC312" s="3"/>
      <c r="AD312">
        <v>2668</v>
      </c>
      <c r="AE312" s="2"/>
      <c r="AF312" s="2"/>
      <c r="AJ312" t="s">
        <v>203</v>
      </c>
    </row>
    <row r="313" spans="1:36" x14ac:dyDescent="0.25">
      <c r="A313" t="s">
        <v>551</v>
      </c>
      <c r="B313" t="s">
        <v>56</v>
      </c>
      <c r="C313" t="s">
        <v>57</v>
      </c>
      <c r="D313" t="s">
        <v>18</v>
      </c>
      <c r="E313" t="s">
        <v>19</v>
      </c>
      <c r="F313" t="s">
        <v>20</v>
      </c>
      <c r="G313" t="s">
        <v>20</v>
      </c>
      <c r="H313" t="s">
        <v>712</v>
      </c>
      <c r="I313">
        <v>21</v>
      </c>
      <c r="J313" t="s">
        <v>721</v>
      </c>
      <c r="K313" t="s">
        <v>51</v>
      </c>
      <c r="L313" t="str">
        <f t="shared" si="46"/>
        <v>Stress</v>
      </c>
      <c r="M313" t="s">
        <v>429</v>
      </c>
      <c r="N313" t="s">
        <v>716</v>
      </c>
      <c r="O313" t="s">
        <v>730</v>
      </c>
      <c r="P313" t="s">
        <v>716</v>
      </c>
      <c r="Q313" t="s">
        <v>412</v>
      </c>
      <c r="R313" t="s">
        <v>709</v>
      </c>
      <c r="S313" t="s">
        <v>703</v>
      </c>
      <c r="T313" t="s">
        <v>615</v>
      </c>
      <c r="U313" s="1"/>
      <c r="V313" s="1"/>
      <c r="W313" s="1"/>
      <c r="X313" s="1"/>
      <c r="Y313" s="1"/>
      <c r="Z313" s="1"/>
      <c r="AA313" s="1">
        <f>[49]Henry_etal_2012_Fig3ab!B8</f>
        <v>1.4483925549915299E-8</v>
      </c>
      <c r="AB313" s="1"/>
      <c r="AC313" s="3"/>
      <c r="AD313">
        <v>2194</v>
      </c>
      <c r="AE313" s="2"/>
      <c r="AF313" s="2"/>
      <c r="AJ313" t="s">
        <v>203</v>
      </c>
    </row>
    <row r="314" spans="1:36" x14ac:dyDescent="0.25">
      <c r="A314" t="s">
        <v>551</v>
      </c>
      <c r="B314" t="s">
        <v>56</v>
      </c>
      <c r="C314" t="s">
        <v>57</v>
      </c>
      <c r="D314" t="s">
        <v>18</v>
      </c>
      <c r="E314" t="s">
        <v>19</v>
      </c>
      <c r="F314" t="s">
        <v>20</v>
      </c>
      <c r="G314" t="s">
        <v>20</v>
      </c>
      <c r="H314" t="s">
        <v>712</v>
      </c>
      <c r="I314">
        <v>21</v>
      </c>
      <c r="J314" t="s">
        <v>721</v>
      </c>
      <c r="K314" t="s">
        <v>51</v>
      </c>
      <c r="L314" t="str">
        <f t="shared" si="46"/>
        <v>Stress</v>
      </c>
      <c r="M314" t="s">
        <v>429</v>
      </c>
      <c r="N314" t="s">
        <v>716</v>
      </c>
      <c r="O314" t="s">
        <v>731</v>
      </c>
      <c r="P314" t="s">
        <v>716</v>
      </c>
      <c r="Q314" t="s">
        <v>412</v>
      </c>
      <c r="R314" t="s">
        <v>709</v>
      </c>
      <c r="S314" t="s">
        <v>703</v>
      </c>
      <c r="T314" t="s">
        <v>615</v>
      </c>
      <c r="U314" s="1"/>
      <c r="V314" s="1"/>
      <c r="W314" s="1"/>
      <c r="X314" s="1"/>
      <c r="Y314" s="1"/>
      <c r="Z314" s="1"/>
      <c r="AA314" s="1">
        <f>[49]Henry_etal_2012_Fig3ab!B9</f>
        <v>1.4957698815566799E-8</v>
      </c>
      <c r="AB314" s="1"/>
      <c r="AC314" s="3"/>
      <c r="AD314">
        <v>2194</v>
      </c>
      <c r="AE314" s="2"/>
      <c r="AF314" s="2"/>
      <c r="AJ314" t="s">
        <v>203</v>
      </c>
    </row>
    <row r="315" spans="1:36" x14ac:dyDescent="0.25">
      <c r="A315" t="s">
        <v>551</v>
      </c>
      <c r="B315" t="s">
        <v>56</v>
      </c>
      <c r="C315" t="s">
        <v>57</v>
      </c>
      <c r="D315" t="s">
        <v>18</v>
      </c>
      <c r="E315" t="s">
        <v>19</v>
      </c>
      <c r="F315" t="s">
        <v>20</v>
      </c>
      <c r="G315" t="s">
        <v>20</v>
      </c>
      <c r="H315" t="s">
        <v>712</v>
      </c>
      <c r="I315">
        <v>21</v>
      </c>
      <c r="J315" t="s">
        <v>721</v>
      </c>
      <c r="K315" t="s">
        <v>51</v>
      </c>
      <c r="L315" t="str">
        <f t="shared" si="46"/>
        <v>Stress</v>
      </c>
      <c r="M315" t="s">
        <v>429</v>
      </c>
      <c r="N315" t="s">
        <v>716</v>
      </c>
      <c r="O315" t="s">
        <v>732</v>
      </c>
      <c r="P315" t="s">
        <v>716</v>
      </c>
      <c r="Q315" t="s">
        <v>412</v>
      </c>
      <c r="R315" t="s">
        <v>709</v>
      </c>
      <c r="S315" t="s">
        <v>703</v>
      </c>
      <c r="T315" t="s">
        <v>615</v>
      </c>
      <c r="U315" s="1"/>
      <c r="V315" s="1"/>
      <c r="W315" s="1"/>
      <c r="X315" s="1"/>
      <c r="Y315" s="1"/>
      <c r="Z315" s="1"/>
      <c r="AA315" s="1">
        <f>[49]Henry_etal_2012_Fig3ab!B10</f>
        <v>1.1302876480541401E-8</v>
      </c>
      <c r="AB315" s="1"/>
      <c r="AC315" s="3"/>
      <c r="AD315">
        <v>2194</v>
      </c>
      <c r="AE315" s="2"/>
      <c r="AF315" s="2"/>
      <c r="AJ315" t="s">
        <v>203</v>
      </c>
    </row>
    <row r="316" spans="1:36" x14ac:dyDescent="0.25">
      <c r="A316" t="s">
        <v>551</v>
      </c>
      <c r="B316" t="s">
        <v>56</v>
      </c>
      <c r="C316" t="s">
        <v>57</v>
      </c>
      <c r="D316" t="s">
        <v>18</v>
      </c>
      <c r="E316" t="s">
        <v>19</v>
      </c>
      <c r="F316" t="s">
        <v>20</v>
      </c>
      <c r="G316" t="s">
        <v>20</v>
      </c>
      <c r="H316" t="s">
        <v>712</v>
      </c>
      <c r="I316">
        <v>21</v>
      </c>
      <c r="J316" t="s">
        <v>721</v>
      </c>
      <c r="K316" t="s">
        <v>51</v>
      </c>
      <c r="L316" t="str">
        <f t="shared" si="46"/>
        <v>Stress</v>
      </c>
      <c r="M316" t="s">
        <v>430</v>
      </c>
      <c r="N316" t="s">
        <v>716</v>
      </c>
      <c r="O316" t="s">
        <v>730</v>
      </c>
      <c r="P316" t="s">
        <v>716</v>
      </c>
      <c r="Q316" t="s">
        <v>412</v>
      </c>
      <c r="R316" t="s">
        <v>709</v>
      </c>
      <c r="S316" t="s">
        <v>703</v>
      </c>
      <c r="T316" t="s">
        <v>615</v>
      </c>
      <c r="U316" s="1"/>
      <c r="V316" s="1"/>
      <c r="W316" s="1"/>
      <c r="X316" s="1"/>
      <c r="Y316" s="1"/>
      <c r="Z316" s="1"/>
      <c r="AA316" s="1">
        <f>[49]Henry_etal_2012_Fig3ab!B11</f>
        <v>2.68020304568527E-8</v>
      </c>
      <c r="AB316" s="1"/>
      <c r="AC316" s="3"/>
      <c r="AD316">
        <v>2211</v>
      </c>
      <c r="AE316" s="2"/>
      <c r="AF316" s="2"/>
      <c r="AJ316" t="s">
        <v>203</v>
      </c>
    </row>
    <row r="317" spans="1:36" x14ac:dyDescent="0.25">
      <c r="A317" t="s">
        <v>551</v>
      </c>
      <c r="B317" t="s">
        <v>56</v>
      </c>
      <c r="C317" t="s">
        <v>57</v>
      </c>
      <c r="D317" t="s">
        <v>18</v>
      </c>
      <c r="E317" t="s">
        <v>19</v>
      </c>
      <c r="F317" t="s">
        <v>20</v>
      </c>
      <c r="G317" t="s">
        <v>20</v>
      </c>
      <c r="H317" t="s">
        <v>712</v>
      </c>
      <c r="I317">
        <v>21</v>
      </c>
      <c r="J317" t="s">
        <v>721</v>
      </c>
      <c r="K317" t="s">
        <v>51</v>
      </c>
      <c r="L317" t="str">
        <f t="shared" si="46"/>
        <v>Stress</v>
      </c>
      <c r="M317" t="s">
        <v>430</v>
      </c>
      <c r="N317" t="s">
        <v>716</v>
      </c>
      <c r="O317" t="s">
        <v>731</v>
      </c>
      <c r="P317" t="s">
        <v>716</v>
      </c>
      <c r="Q317" t="s">
        <v>412</v>
      </c>
      <c r="R317" t="s">
        <v>709</v>
      </c>
      <c r="S317" t="s">
        <v>703</v>
      </c>
      <c r="T317" t="s">
        <v>615</v>
      </c>
      <c r="U317" s="1"/>
      <c r="V317" s="1"/>
      <c r="W317" s="1"/>
      <c r="X317" s="1"/>
      <c r="Y317" s="1"/>
      <c r="Z317" s="1"/>
      <c r="AA317" s="1">
        <f>[49]Henry_etal_2012_Fig3ab!B12</f>
        <v>2.1184433164128501E-8</v>
      </c>
      <c r="AB317" s="1"/>
      <c r="AC317" s="3"/>
      <c r="AD317">
        <v>2211</v>
      </c>
      <c r="AE317" s="2"/>
      <c r="AF317" s="2"/>
      <c r="AJ317" t="s">
        <v>203</v>
      </c>
    </row>
    <row r="318" spans="1:36" x14ac:dyDescent="0.25">
      <c r="A318" t="s">
        <v>551</v>
      </c>
      <c r="B318" t="s">
        <v>56</v>
      </c>
      <c r="C318" t="s">
        <v>57</v>
      </c>
      <c r="D318" t="s">
        <v>18</v>
      </c>
      <c r="E318" t="s">
        <v>19</v>
      </c>
      <c r="F318" t="s">
        <v>20</v>
      </c>
      <c r="G318" t="s">
        <v>20</v>
      </c>
      <c r="H318" t="s">
        <v>712</v>
      </c>
      <c r="I318">
        <v>21</v>
      </c>
      <c r="J318" t="s">
        <v>721</v>
      </c>
      <c r="K318" t="s">
        <v>51</v>
      </c>
      <c r="L318" t="str">
        <f t="shared" si="46"/>
        <v>Stress</v>
      </c>
      <c r="M318" t="s">
        <v>430</v>
      </c>
      <c r="N318" t="s">
        <v>716</v>
      </c>
      <c r="O318" t="s">
        <v>732</v>
      </c>
      <c r="P318" t="s">
        <v>716</v>
      </c>
      <c r="Q318" t="s">
        <v>412</v>
      </c>
      <c r="R318" t="s">
        <v>709</v>
      </c>
      <c r="S318" t="s">
        <v>703</v>
      </c>
      <c r="T318" t="s">
        <v>615</v>
      </c>
      <c r="U318" s="1"/>
      <c r="V318" s="1"/>
      <c r="W318" s="1"/>
      <c r="X318" s="1"/>
      <c r="Y318" s="1"/>
      <c r="Z318" s="1"/>
      <c r="AA318" s="1">
        <f>[49]Henry_etal_2012_Fig3ab!B13</f>
        <v>1.2318104906937299E-8</v>
      </c>
      <c r="AB318" s="1"/>
      <c r="AC318" s="3"/>
      <c r="AD318">
        <v>2211</v>
      </c>
      <c r="AE318" s="2"/>
      <c r="AF318" s="2"/>
      <c r="AJ318" t="s">
        <v>203</v>
      </c>
    </row>
    <row r="319" spans="1:36" x14ac:dyDescent="0.25">
      <c r="A319" t="s">
        <v>551</v>
      </c>
      <c r="B319" t="s">
        <v>56</v>
      </c>
      <c r="C319" t="s">
        <v>57</v>
      </c>
      <c r="D319" t="s">
        <v>18</v>
      </c>
      <c r="E319" t="s">
        <v>19</v>
      </c>
      <c r="F319" t="s">
        <v>20</v>
      </c>
      <c r="G319" t="s">
        <v>20</v>
      </c>
      <c r="H319" t="s">
        <v>712</v>
      </c>
      <c r="I319">
        <v>21</v>
      </c>
      <c r="J319" t="s">
        <v>721</v>
      </c>
      <c r="K319" t="s">
        <v>39</v>
      </c>
      <c r="L319" t="str">
        <f t="shared" si="46"/>
        <v>Control</v>
      </c>
      <c r="M319" t="s">
        <v>429</v>
      </c>
      <c r="N319" t="s">
        <v>716</v>
      </c>
      <c r="O319" t="s">
        <v>733</v>
      </c>
      <c r="P319" t="s">
        <v>716</v>
      </c>
      <c r="Q319" t="s">
        <v>412</v>
      </c>
      <c r="R319" t="s">
        <v>709</v>
      </c>
      <c r="S319" t="s">
        <v>703</v>
      </c>
      <c r="T319" t="s">
        <v>615</v>
      </c>
      <c r="U319" s="1"/>
      <c r="V319" s="1"/>
      <c r="W319" s="1"/>
      <c r="X319" s="1"/>
      <c r="Y319" s="1"/>
      <c r="Z319" s="1"/>
      <c r="AA319" s="1">
        <f>[50]Henry_etal_2012_Fig3cd!B1</f>
        <v>4.9910979228486601E-8</v>
      </c>
      <c r="AB319" s="1"/>
      <c r="AC319" s="3"/>
      <c r="AD319">
        <v>1382</v>
      </c>
      <c r="AE319" s="2"/>
      <c r="AF319" s="2"/>
      <c r="AJ319" t="s">
        <v>203</v>
      </c>
    </row>
    <row r="320" spans="1:36" x14ac:dyDescent="0.25">
      <c r="A320" t="s">
        <v>551</v>
      </c>
      <c r="B320" t="s">
        <v>56</v>
      </c>
      <c r="C320" t="s">
        <v>57</v>
      </c>
      <c r="D320" t="s">
        <v>18</v>
      </c>
      <c r="E320" t="s">
        <v>19</v>
      </c>
      <c r="F320" t="s">
        <v>20</v>
      </c>
      <c r="G320" t="s">
        <v>20</v>
      </c>
      <c r="H320" t="s">
        <v>712</v>
      </c>
      <c r="I320">
        <v>21</v>
      </c>
      <c r="J320" t="s">
        <v>721</v>
      </c>
      <c r="K320" t="s">
        <v>39</v>
      </c>
      <c r="L320" t="str">
        <f t="shared" si="46"/>
        <v>Control</v>
      </c>
      <c r="M320" t="s">
        <v>429</v>
      </c>
      <c r="N320" t="s">
        <v>716</v>
      </c>
      <c r="O320" t="s">
        <v>734</v>
      </c>
      <c r="P320" t="s">
        <v>716</v>
      </c>
      <c r="Q320" t="s">
        <v>412</v>
      </c>
      <c r="R320" t="s">
        <v>709</v>
      </c>
      <c r="S320" t="s">
        <v>703</v>
      </c>
      <c r="T320" t="s">
        <v>615</v>
      </c>
      <c r="U320" s="1"/>
      <c r="V320" s="1"/>
      <c r="W320" s="1"/>
      <c r="X320" s="1"/>
      <c r="Y320" s="1"/>
      <c r="Z320" s="1"/>
      <c r="AA320" s="1">
        <f>[50]Henry_etal_2012_Fig3cd!B2</f>
        <v>4.5163204747774401E-8</v>
      </c>
      <c r="AB320" s="1"/>
      <c r="AC320" s="3"/>
      <c r="AD320">
        <v>1382</v>
      </c>
      <c r="AE320" s="2"/>
      <c r="AF320" s="2"/>
      <c r="AJ320" t="s">
        <v>203</v>
      </c>
    </row>
    <row r="321" spans="1:36" x14ac:dyDescent="0.25">
      <c r="A321" t="s">
        <v>551</v>
      </c>
      <c r="B321" t="s">
        <v>56</v>
      </c>
      <c r="C321" t="s">
        <v>57</v>
      </c>
      <c r="D321" t="s">
        <v>18</v>
      </c>
      <c r="E321" t="s">
        <v>19</v>
      </c>
      <c r="F321" t="s">
        <v>20</v>
      </c>
      <c r="G321" t="s">
        <v>20</v>
      </c>
      <c r="H321" t="s">
        <v>712</v>
      </c>
      <c r="I321">
        <v>21</v>
      </c>
      <c r="J321" t="s">
        <v>721</v>
      </c>
      <c r="K321" t="s">
        <v>39</v>
      </c>
      <c r="L321" t="str">
        <f t="shared" si="46"/>
        <v>Control</v>
      </c>
      <c r="M321" t="s">
        <v>429</v>
      </c>
      <c r="N321" t="s">
        <v>716</v>
      </c>
      <c r="O321" t="s">
        <v>735</v>
      </c>
      <c r="P321" t="s">
        <v>716</v>
      </c>
      <c r="Q321" t="s">
        <v>412</v>
      </c>
      <c r="R321" t="s">
        <v>709</v>
      </c>
      <c r="S321" t="s">
        <v>703</v>
      </c>
      <c r="T321" t="s">
        <v>615</v>
      </c>
      <c r="U321" s="1"/>
      <c r="V321" s="1"/>
      <c r="W321" s="1"/>
      <c r="X321" s="1"/>
      <c r="Y321" s="1"/>
      <c r="Z321" s="1"/>
      <c r="AA321" s="1">
        <f>[50]Henry_etal_2012_Fig3cd!B3</f>
        <v>2.0712166172106799E-8</v>
      </c>
      <c r="AB321" s="1"/>
      <c r="AC321" s="3"/>
      <c r="AD321">
        <v>1382</v>
      </c>
      <c r="AE321" s="2"/>
      <c r="AF321" s="2"/>
      <c r="AJ321" t="s">
        <v>203</v>
      </c>
    </row>
    <row r="322" spans="1:36" x14ac:dyDescent="0.25">
      <c r="A322" t="s">
        <v>551</v>
      </c>
      <c r="B322" t="s">
        <v>56</v>
      </c>
      <c r="C322" t="s">
        <v>57</v>
      </c>
      <c r="D322" t="s">
        <v>18</v>
      </c>
      <c r="E322" t="s">
        <v>19</v>
      </c>
      <c r="F322" t="s">
        <v>20</v>
      </c>
      <c r="G322" t="s">
        <v>20</v>
      </c>
      <c r="H322" t="s">
        <v>712</v>
      </c>
      <c r="I322">
        <v>21</v>
      </c>
      <c r="J322" t="s">
        <v>721</v>
      </c>
      <c r="K322" t="s">
        <v>39</v>
      </c>
      <c r="L322" t="str">
        <f t="shared" si="46"/>
        <v>Control</v>
      </c>
      <c r="M322" t="s">
        <v>430</v>
      </c>
      <c r="N322" t="s">
        <v>716</v>
      </c>
      <c r="O322" t="s">
        <v>733</v>
      </c>
      <c r="P322" t="s">
        <v>716</v>
      </c>
      <c r="Q322" t="s">
        <v>412</v>
      </c>
      <c r="R322" t="s">
        <v>709</v>
      </c>
      <c r="S322" t="s">
        <v>703</v>
      </c>
      <c r="T322" t="s">
        <v>615</v>
      </c>
      <c r="U322" s="1"/>
      <c r="V322" s="1"/>
      <c r="W322" s="1"/>
      <c r="X322" s="1"/>
      <c r="Y322" s="1"/>
      <c r="Z322" s="1"/>
      <c r="AA322" s="1">
        <f>[50]Henry_etal_2012_Fig3cd!B4</f>
        <v>4.1364985163204699E-8</v>
      </c>
      <c r="AB322" s="1"/>
      <c r="AC322" s="3"/>
      <c r="AD322">
        <v>1323</v>
      </c>
      <c r="AE322" s="2"/>
      <c r="AF322" s="2"/>
      <c r="AJ322" t="s">
        <v>203</v>
      </c>
    </row>
    <row r="323" spans="1:36" x14ac:dyDescent="0.25">
      <c r="A323" t="s">
        <v>551</v>
      </c>
      <c r="B323" t="s">
        <v>56</v>
      </c>
      <c r="C323" t="s">
        <v>57</v>
      </c>
      <c r="D323" t="s">
        <v>18</v>
      </c>
      <c r="E323" t="s">
        <v>19</v>
      </c>
      <c r="F323" t="s">
        <v>20</v>
      </c>
      <c r="G323" t="s">
        <v>20</v>
      </c>
      <c r="H323" t="s">
        <v>712</v>
      </c>
      <c r="I323">
        <v>21</v>
      </c>
      <c r="J323" t="s">
        <v>721</v>
      </c>
      <c r="K323" t="s">
        <v>39</v>
      </c>
      <c r="L323" t="str">
        <f t="shared" si="46"/>
        <v>Control</v>
      </c>
      <c r="M323" t="s">
        <v>430</v>
      </c>
      <c r="N323" t="s">
        <v>716</v>
      </c>
      <c r="O323" t="s">
        <v>734</v>
      </c>
      <c r="P323" t="s">
        <v>716</v>
      </c>
      <c r="Q323" t="s">
        <v>412</v>
      </c>
      <c r="R323" t="s">
        <v>709</v>
      </c>
      <c r="S323" t="s">
        <v>703</v>
      </c>
      <c r="T323" t="s">
        <v>615</v>
      </c>
      <c r="U323" s="1"/>
      <c r="V323" s="1"/>
      <c r="W323" s="1"/>
      <c r="X323" s="1"/>
      <c r="Y323" s="1"/>
      <c r="Z323" s="1"/>
      <c r="AA323" s="1">
        <f>[50]Henry_etal_2012_Fig3cd!B5</f>
        <v>4.6468842729970301E-8</v>
      </c>
      <c r="AB323" s="1"/>
      <c r="AC323" s="3"/>
      <c r="AD323">
        <v>1323</v>
      </c>
      <c r="AE323" s="2"/>
      <c r="AF323" s="2"/>
      <c r="AJ323" t="s">
        <v>203</v>
      </c>
    </row>
    <row r="324" spans="1:36" x14ac:dyDescent="0.25">
      <c r="A324" t="s">
        <v>551</v>
      </c>
      <c r="B324" t="s">
        <v>56</v>
      </c>
      <c r="C324" t="s">
        <v>57</v>
      </c>
      <c r="D324" t="s">
        <v>18</v>
      </c>
      <c r="E324" t="s">
        <v>19</v>
      </c>
      <c r="F324" t="s">
        <v>20</v>
      </c>
      <c r="G324" t="s">
        <v>20</v>
      </c>
      <c r="H324" t="s">
        <v>712</v>
      </c>
      <c r="I324">
        <v>21</v>
      </c>
      <c r="J324" t="s">
        <v>721</v>
      </c>
      <c r="K324" t="s">
        <v>39</v>
      </c>
      <c r="L324" t="str">
        <f t="shared" ref="L324:L355" si="48">+IF(K324 = "Control", "Control", "Stress")</f>
        <v>Control</v>
      </c>
      <c r="M324" t="s">
        <v>430</v>
      </c>
      <c r="N324" t="s">
        <v>716</v>
      </c>
      <c r="O324" t="s">
        <v>735</v>
      </c>
      <c r="P324" t="s">
        <v>716</v>
      </c>
      <c r="Q324" t="s">
        <v>412</v>
      </c>
      <c r="R324" t="s">
        <v>709</v>
      </c>
      <c r="S324" t="s">
        <v>703</v>
      </c>
      <c r="T324" t="s">
        <v>615</v>
      </c>
      <c r="U324" s="1"/>
      <c r="V324" s="1"/>
      <c r="W324" s="1"/>
      <c r="X324" s="1"/>
      <c r="Y324" s="1"/>
      <c r="Z324" s="1"/>
      <c r="AA324" s="1">
        <f>[50]Henry_etal_2012_Fig3cd!B6</f>
        <v>3.5786350148367898E-8</v>
      </c>
      <c r="AB324" s="1"/>
      <c r="AC324" s="3"/>
      <c r="AD324">
        <v>1323</v>
      </c>
      <c r="AE324" s="2"/>
      <c r="AF324" s="2"/>
      <c r="AJ324" t="s">
        <v>203</v>
      </c>
    </row>
    <row r="325" spans="1:36" x14ac:dyDescent="0.25">
      <c r="A325" t="s">
        <v>551</v>
      </c>
      <c r="B325" t="s">
        <v>56</v>
      </c>
      <c r="C325" t="s">
        <v>57</v>
      </c>
      <c r="D325" t="s">
        <v>18</v>
      </c>
      <c r="E325" t="s">
        <v>19</v>
      </c>
      <c r="F325" t="s">
        <v>20</v>
      </c>
      <c r="G325" t="s">
        <v>20</v>
      </c>
      <c r="H325" t="s">
        <v>712</v>
      </c>
      <c r="I325">
        <v>21</v>
      </c>
      <c r="J325" t="s">
        <v>721</v>
      </c>
      <c r="K325" t="s">
        <v>51</v>
      </c>
      <c r="L325" t="str">
        <f t="shared" si="48"/>
        <v>Stress</v>
      </c>
      <c r="M325" t="s">
        <v>429</v>
      </c>
      <c r="N325" t="s">
        <v>716</v>
      </c>
      <c r="O325" t="s">
        <v>733</v>
      </c>
      <c r="P325" t="s">
        <v>716</v>
      </c>
      <c r="Q325" t="s">
        <v>412</v>
      </c>
      <c r="R325" t="s">
        <v>709</v>
      </c>
      <c r="S325" t="s">
        <v>703</v>
      </c>
      <c r="T325" t="s">
        <v>615</v>
      </c>
      <c r="U325" s="1"/>
      <c r="V325" s="1"/>
      <c r="W325" s="1"/>
      <c r="X325" s="1"/>
      <c r="Y325" s="1"/>
      <c r="Z325" s="1"/>
      <c r="AA325" s="1">
        <f>[50]Henry_etal_2012_Fig3cd!B7</f>
        <v>1.81008902077151E-8</v>
      </c>
      <c r="AB325" s="1"/>
      <c r="AC325" s="3"/>
      <c r="AD325">
        <v>1460</v>
      </c>
      <c r="AE325" s="2"/>
      <c r="AF325" s="2"/>
      <c r="AJ325" t="s">
        <v>203</v>
      </c>
    </row>
    <row r="326" spans="1:36" x14ac:dyDescent="0.25">
      <c r="A326" t="s">
        <v>551</v>
      </c>
      <c r="B326" t="s">
        <v>56</v>
      </c>
      <c r="C326" t="s">
        <v>57</v>
      </c>
      <c r="D326" t="s">
        <v>18</v>
      </c>
      <c r="E326" t="s">
        <v>19</v>
      </c>
      <c r="F326" t="s">
        <v>20</v>
      </c>
      <c r="G326" t="s">
        <v>20</v>
      </c>
      <c r="H326" t="s">
        <v>712</v>
      </c>
      <c r="I326">
        <v>21</v>
      </c>
      <c r="J326" t="s">
        <v>721</v>
      </c>
      <c r="K326" t="s">
        <v>51</v>
      </c>
      <c r="L326" t="str">
        <f t="shared" si="48"/>
        <v>Stress</v>
      </c>
      <c r="M326" t="s">
        <v>429</v>
      </c>
      <c r="N326" t="s">
        <v>716</v>
      </c>
      <c r="O326" t="s">
        <v>734</v>
      </c>
      <c r="P326" t="s">
        <v>716</v>
      </c>
      <c r="Q326" t="s">
        <v>412</v>
      </c>
      <c r="R326" t="s">
        <v>709</v>
      </c>
      <c r="S326" t="s">
        <v>703</v>
      </c>
      <c r="T326" t="s">
        <v>615</v>
      </c>
      <c r="U326" s="1"/>
      <c r="V326" s="1"/>
      <c r="W326" s="1"/>
      <c r="X326" s="1"/>
      <c r="Y326" s="1"/>
      <c r="Z326" s="1"/>
      <c r="AA326" s="1">
        <f>[50]Henry_etal_2012_Fig3cd!B8</f>
        <v>1.14540059347181E-8</v>
      </c>
      <c r="AB326" s="1"/>
      <c r="AC326" s="3"/>
      <c r="AD326">
        <v>1460</v>
      </c>
      <c r="AE326" s="2"/>
      <c r="AF326" s="2"/>
      <c r="AJ326" t="s">
        <v>203</v>
      </c>
    </row>
    <row r="327" spans="1:36" x14ac:dyDescent="0.25">
      <c r="A327" t="s">
        <v>551</v>
      </c>
      <c r="B327" t="s">
        <v>56</v>
      </c>
      <c r="C327" t="s">
        <v>57</v>
      </c>
      <c r="D327" t="s">
        <v>18</v>
      </c>
      <c r="E327" t="s">
        <v>19</v>
      </c>
      <c r="F327" t="s">
        <v>20</v>
      </c>
      <c r="G327" t="s">
        <v>20</v>
      </c>
      <c r="H327" t="s">
        <v>712</v>
      </c>
      <c r="I327">
        <v>21</v>
      </c>
      <c r="J327" t="s">
        <v>721</v>
      </c>
      <c r="K327" t="s">
        <v>51</v>
      </c>
      <c r="L327" t="str">
        <f t="shared" si="48"/>
        <v>Stress</v>
      </c>
      <c r="M327" t="s">
        <v>429</v>
      </c>
      <c r="N327" t="s">
        <v>716</v>
      </c>
      <c r="O327" t="s">
        <v>735</v>
      </c>
      <c r="P327" t="s">
        <v>716</v>
      </c>
      <c r="Q327" t="s">
        <v>412</v>
      </c>
      <c r="R327" t="s">
        <v>709</v>
      </c>
      <c r="S327" t="s">
        <v>703</v>
      </c>
      <c r="T327" t="s">
        <v>615</v>
      </c>
      <c r="U327" s="1"/>
      <c r="V327" s="1"/>
      <c r="W327" s="1"/>
      <c r="X327" s="1"/>
      <c r="Y327" s="1"/>
      <c r="Z327" s="1"/>
      <c r="AA327" s="1">
        <f>[50]Henry_etal_2012_Fig3cd!B9</f>
        <v>2.0593471810088999E-8</v>
      </c>
      <c r="AB327" s="1"/>
      <c r="AC327" s="3"/>
      <c r="AD327">
        <v>1460</v>
      </c>
      <c r="AE327" s="2"/>
      <c r="AF327" s="2"/>
      <c r="AJ327" t="s">
        <v>203</v>
      </c>
    </row>
    <row r="328" spans="1:36" x14ac:dyDescent="0.25">
      <c r="A328" t="s">
        <v>551</v>
      </c>
      <c r="B328" t="s">
        <v>56</v>
      </c>
      <c r="C328" t="s">
        <v>57</v>
      </c>
      <c r="D328" t="s">
        <v>18</v>
      </c>
      <c r="E328" t="s">
        <v>19</v>
      </c>
      <c r="F328" t="s">
        <v>20</v>
      </c>
      <c r="G328" t="s">
        <v>20</v>
      </c>
      <c r="H328" t="s">
        <v>712</v>
      </c>
      <c r="I328">
        <v>21</v>
      </c>
      <c r="J328" t="s">
        <v>721</v>
      </c>
      <c r="K328" t="s">
        <v>51</v>
      </c>
      <c r="L328" t="str">
        <f t="shared" si="48"/>
        <v>Stress</v>
      </c>
      <c r="M328" t="s">
        <v>430</v>
      </c>
      <c r="N328" t="s">
        <v>716</v>
      </c>
      <c r="O328" t="s">
        <v>733</v>
      </c>
      <c r="P328" t="s">
        <v>716</v>
      </c>
      <c r="Q328" t="s">
        <v>412</v>
      </c>
      <c r="R328" t="s">
        <v>709</v>
      </c>
      <c r="S328" t="s">
        <v>703</v>
      </c>
      <c r="T328" t="s">
        <v>615</v>
      </c>
      <c r="U328" s="1"/>
      <c r="V328" s="1"/>
      <c r="W328" s="1"/>
      <c r="X328" s="1"/>
      <c r="Y328" s="1"/>
      <c r="Z328" s="1"/>
      <c r="AA328" s="1">
        <f>[50]Henry_etal_2012_Fig3cd!B10</f>
        <v>1.0741839762611199E-8</v>
      </c>
      <c r="AB328" s="1"/>
      <c r="AC328" s="3"/>
      <c r="AD328">
        <v>1387</v>
      </c>
      <c r="AE328" s="2"/>
      <c r="AF328" s="2"/>
      <c r="AJ328" t="s">
        <v>203</v>
      </c>
    </row>
    <row r="329" spans="1:36" x14ac:dyDescent="0.25">
      <c r="A329" t="s">
        <v>551</v>
      </c>
      <c r="B329" t="s">
        <v>56</v>
      </c>
      <c r="C329" t="s">
        <v>57</v>
      </c>
      <c r="D329" t="s">
        <v>18</v>
      </c>
      <c r="E329" t="s">
        <v>19</v>
      </c>
      <c r="F329" t="s">
        <v>20</v>
      </c>
      <c r="G329" t="s">
        <v>20</v>
      </c>
      <c r="H329" t="s">
        <v>712</v>
      </c>
      <c r="I329">
        <v>21</v>
      </c>
      <c r="J329" t="s">
        <v>721</v>
      </c>
      <c r="K329" t="s">
        <v>51</v>
      </c>
      <c r="L329" t="str">
        <f t="shared" si="48"/>
        <v>Stress</v>
      </c>
      <c r="M329" t="s">
        <v>430</v>
      </c>
      <c r="N329" t="s">
        <v>716</v>
      </c>
      <c r="O329" t="s">
        <v>734</v>
      </c>
      <c r="P329" t="s">
        <v>716</v>
      </c>
      <c r="Q329" t="s">
        <v>412</v>
      </c>
      <c r="R329" t="s">
        <v>709</v>
      </c>
      <c r="S329" t="s">
        <v>703</v>
      </c>
      <c r="T329" t="s">
        <v>615</v>
      </c>
      <c r="U329" s="1"/>
      <c r="V329" s="1"/>
      <c r="W329" s="1"/>
      <c r="X329" s="1"/>
      <c r="Y329" s="1"/>
      <c r="Z329" s="1"/>
      <c r="AA329" s="1">
        <f>[50]Henry_etal_2012_Fig3cd!B11</f>
        <v>2.3086053412462902E-8</v>
      </c>
      <c r="AB329" s="1"/>
      <c r="AC329" s="3"/>
      <c r="AD329">
        <v>1387</v>
      </c>
      <c r="AE329" s="2"/>
      <c r="AF329" s="2"/>
      <c r="AJ329" t="s">
        <v>203</v>
      </c>
    </row>
    <row r="330" spans="1:36" x14ac:dyDescent="0.25">
      <c r="A330" t="s">
        <v>551</v>
      </c>
      <c r="B330" t="s">
        <v>56</v>
      </c>
      <c r="C330" t="s">
        <v>57</v>
      </c>
      <c r="D330" t="s">
        <v>18</v>
      </c>
      <c r="E330" t="s">
        <v>19</v>
      </c>
      <c r="F330" t="s">
        <v>20</v>
      </c>
      <c r="G330" t="s">
        <v>20</v>
      </c>
      <c r="H330" t="s">
        <v>712</v>
      </c>
      <c r="I330">
        <v>21</v>
      </c>
      <c r="J330" t="s">
        <v>721</v>
      </c>
      <c r="K330" t="s">
        <v>51</v>
      </c>
      <c r="L330" t="str">
        <f t="shared" si="48"/>
        <v>Stress</v>
      </c>
      <c r="M330" t="s">
        <v>430</v>
      </c>
      <c r="N330" t="s">
        <v>716</v>
      </c>
      <c r="O330" t="s">
        <v>735</v>
      </c>
      <c r="P330" t="s">
        <v>716</v>
      </c>
      <c r="Q330" t="s">
        <v>412</v>
      </c>
      <c r="R330" t="s">
        <v>709</v>
      </c>
      <c r="S330" t="s">
        <v>703</v>
      </c>
      <c r="T330" t="s">
        <v>615</v>
      </c>
      <c r="U330" s="1"/>
      <c r="V330" s="1"/>
      <c r="W330" s="1"/>
      <c r="X330" s="1"/>
      <c r="Y330" s="1"/>
      <c r="Z330" s="1"/>
      <c r="AA330" s="1">
        <f>[50]Henry_etal_2012_Fig3cd!B12</f>
        <v>1.7151335311572699E-8</v>
      </c>
      <c r="AB330" s="1"/>
      <c r="AC330" s="3"/>
      <c r="AD330">
        <v>1387</v>
      </c>
      <c r="AE330" s="2"/>
      <c r="AF330" s="2"/>
      <c r="AJ330" t="s">
        <v>203</v>
      </c>
    </row>
    <row r="331" spans="1:36" x14ac:dyDescent="0.25">
      <c r="A331" t="s">
        <v>376</v>
      </c>
      <c r="B331" t="s">
        <v>267</v>
      </c>
      <c r="C331" t="s">
        <v>268</v>
      </c>
      <c r="D331" t="s">
        <v>200</v>
      </c>
      <c r="E331" t="s">
        <v>19</v>
      </c>
      <c r="F331" t="s">
        <v>269</v>
      </c>
      <c r="G331" t="s">
        <v>627</v>
      </c>
      <c r="H331" t="s">
        <v>713</v>
      </c>
      <c r="I331">
        <f>6*30+1*30+6*30</f>
        <v>390</v>
      </c>
      <c r="J331" t="s">
        <v>139</v>
      </c>
      <c r="K331" t="s">
        <v>39</v>
      </c>
      <c r="L331" t="str">
        <f t="shared" si="48"/>
        <v>Control</v>
      </c>
      <c r="Q331" t="s">
        <v>412</v>
      </c>
      <c r="R331" t="s">
        <v>709</v>
      </c>
      <c r="S331" t="s">
        <v>703</v>
      </c>
      <c r="T331" t="s">
        <v>615</v>
      </c>
      <c r="U331" s="1" t="s">
        <v>755</v>
      </c>
      <c r="V331" s="1">
        <v>1.2E-8</v>
      </c>
      <c r="W331" s="1"/>
      <c r="X331" s="1"/>
      <c r="Y331" s="1"/>
      <c r="Z331" s="1">
        <v>2.0000000000000001E-10</v>
      </c>
      <c r="AB331" s="1"/>
      <c r="AC331" s="3"/>
      <c r="AE331" s="2">
        <v>13.8</v>
      </c>
      <c r="AF331" s="2"/>
      <c r="AI331" s="3"/>
      <c r="AJ331" t="s">
        <v>47</v>
      </c>
    </row>
    <row r="332" spans="1:36" x14ac:dyDescent="0.25">
      <c r="A332" t="s">
        <v>376</v>
      </c>
      <c r="B332" t="s">
        <v>267</v>
      </c>
      <c r="C332" t="s">
        <v>268</v>
      </c>
      <c r="D332" t="s">
        <v>200</v>
      </c>
      <c r="E332" t="s">
        <v>19</v>
      </c>
      <c r="F332" t="s">
        <v>269</v>
      </c>
      <c r="G332" t="s">
        <v>627</v>
      </c>
      <c r="H332" t="s">
        <v>713</v>
      </c>
      <c r="I332">
        <f>6*30+1*30+6*30</f>
        <v>390</v>
      </c>
      <c r="J332" t="s">
        <v>139</v>
      </c>
      <c r="K332" t="s">
        <v>103</v>
      </c>
      <c r="L332" t="str">
        <f t="shared" si="48"/>
        <v>Stress</v>
      </c>
      <c r="Q332" t="s">
        <v>412</v>
      </c>
      <c r="R332" t="s">
        <v>709</v>
      </c>
      <c r="S332" t="s">
        <v>703</v>
      </c>
      <c r="T332" t="s">
        <v>615</v>
      </c>
      <c r="U332" s="1" t="s">
        <v>755</v>
      </c>
      <c r="V332" s="1">
        <v>1.2E-8</v>
      </c>
      <c r="W332" s="1"/>
      <c r="X332" s="1"/>
      <c r="Y332" s="1"/>
      <c r="Z332" s="1">
        <v>1.5999999999999999E-10</v>
      </c>
      <c r="AB332" s="1"/>
      <c r="AC332" s="3"/>
      <c r="AE332" s="2">
        <v>11.8</v>
      </c>
      <c r="AF332" s="2"/>
      <c r="AI332" s="3"/>
      <c r="AJ332" t="s">
        <v>47</v>
      </c>
    </row>
    <row r="333" spans="1:36" x14ac:dyDescent="0.25">
      <c r="A333" t="s">
        <v>570</v>
      </c>
      <c r="B333" t="s">
        <v>53</v>
      </c>
      <c r="C333" t="s">
        <v>54</v>
      </c>
      <c r="D333" t="s">
        <v>18</v>
      </c>
      <c r="E333" t="s">
        <v>31</v>
      </c>
      <c r="F333" t="s">
        <v>32</v>
      </c>
      <c r="G333" t="s">
        <v>32</v>
      </c>
      <c r="H333" t="s">
        <v>712</v>
      </c>
      <c r="I333">
        <f t="shared" ref="I333:I340" si="49">8*7</f>
        <v>56</v>
      </c>
      <c r="J333" t="s">
        <v>658</v>
      </c>
      <c r="K333" t="s">
        <v>39</v>
      </c>
      <c r="L333" t="str">
        <f t="shared" si="48"/>
        <v>Control</v>
      </c>
      <c r="M333" t="s">
        <v>214</v>
      </c>
      <c r="N333" t="s">
        <v>716</v>
      </c>
      <c r="Q333" t="s">
        <v>412</v>
      </c>
      <c r="R333" t="s">
        <v>709</v>
      </c>
      <c r="S333" t="s">
        <v>703</v>
      </c>
      <c r="T333" t="s">
        <v>615</v>
      </c>
      <c r="U333" s="1"/>
      <c r="V333" s="1"/>
      <c r="W333" s="1"/>
      <c r="X333" s="1">
        <f>[51]Barzana_etal_2012_Fig1e!C2</f>
        <v>1.5473608098336945E-9</v>
      </c>
      <c r="Y333" s="1"/>
      <c r="Z333" s="1"/>
      <c r="AB333" s="1"/>
      <c r="AC333" s="3"/>
      <c r="AE333" s="2"/>
      <c r="AF333" s="2"/>
      <c r="AI333" s="3"/>
      <c r="AJ333" t="s">
        <v>203</v>
      </c>
    </row>
    <row r="334" spans="1:36" x14ac:dyDescent="0.25">
      <c r="A334" t="s">
        <v>570</v>
      </c>
      <c r="B334" t="s">
        <v>53</v>
      </c>
      <c r="C334" t="s">
        <v>54</v>
      </c>
      <c r="D334" t="s">
        <v>18</v>
      </c>
      <c r="E334" t="s">
        <v>31</v>
      </c>
      <c r="F334" t="s">
        <v>32</v>
      </c>
      <c r="G334" t="s">
        <v>32</v>
      </c>
      <c r="H334" t="s">
        <v>712</v>
      </c>
      <c r="I334">
        <f t="shared" si="49"/>
        <v>56</v>
      </c>
      <c r="J334" t="s">
        <v>658</v>
      </c>
      <c r="K334" t="s">
        <v>39</v>
      </c>
      <c r="L334" t="str">
        <f t="shared" si="48"/>
        <v>Control</v>
      </c>
      <c r="M334" t="s">
        <v>353</v>
      </c>
      <c r="N334" t="s">
        <v>716</v>
      </c>
      <c r="Q334" t="s">
        <v>412</v>
      </c>
      <c r="R334" t="s">
        <v>709</v>
      </c>
      <c r="S334" t="s">
        <v>703</v>
      </c>
      <c r="T334" t="s">
        <v>615</v>
      </c>
      <c r="U334" s="1"/>
      <c r="V334" s="1"/>
      <c r="W334" s="1"/>
      <c r="X334" s="1">
        <f>[51]Barzana_etal_2012_Fig1e!C3</f>
        <v>1.4750542299349222E-9</v>
      </c>
      <c r="Y334" s="1"/>
      <c r="Z334" s="1"/>
      <c r="AB334" s="1"/>
      <c r="AC334" s="3"/>
      <c r="AE334" s="2"/>
      <c r="AF334" s="2"/>
      <c r="AI334" s="3"/>
      <c r="AJ334" t="s">
        <v>203</v>
      </c>
    </row>
    <row r="335" spans="1:36" x14ac:dyDescent="0.25">
      <c r="A335" t="s">
        <v>570</v>
      </c>
      <c r="B335" t="s">
        <v>53</v>
      </c>
      <c r="C335" t="s">
        <v>54</v>
      </c>
      <c r="D335" t="s">
        <v>18</v>
      </c>
      <c r="E335" t="s">
        <v>31</v>
      </c>
      <c r="F335" t="s">
        <v>32</v>
      </c>
      <c r="G335" t="s">
        <v>32</v>
      </c>
      <c r="H335" t="s">
        <v>712</v>
      </c>
      <c r="I335">
        <f t="shared" si="49"/>
        <v>56</v>
      </c>
      <c r="J335" t="s">
        <v>658</v>
      </c>
      <c r="K335" t="s">
        <v>51</v>
      </c>
      <c r="L335" t="str">
        <f t="shared" si="48"/>
        <v>Stress</v>
      </c>
      <c r="M335" t="s">
        <v>214</v>
      </c>
      <c r="N335" t="s">
        <v>716</v>
      </c>
      <c r="Q335" t="s">
        <v>412</v>
      </c>
      <c r="R335" t="s">
        <v>709</v>
      </c>
      <c r="S335" t="s">
        <v>703</v>
      </c>
      <c r="T335" t="s">
        <v>615</v>
      </c>
      <c r="U335" s="1"/>
      <c r="V335" s="1"/>
      <c r="W335" s="1"/>
      <c r="X335" s="1">
        <f>[51]Barzana_etal_2012_Fig1e!C4</f>
        <v>6.2183658712942778E-10</v>
      </c>
      <c r="Y335" s="1"/>
      <c r="Z335" s="1"/>
      <c r="AB335" s="1"/>
      <c r="AC335" s="3"/>
      <c r="AE335" s="2"/>
      <c r="AF335" s="2"/>
      <c r="AI335" s="3"/>
      <c r="AJ335" t="s">
        <v>203</v>
      </c>
    </row>
    <row r="336" spans="1:36" x14ac:dyDescent="0.25">
      <c r="A336" t="s">
        <v>570</v>
      </c>
      <c r="B336" t="s">
        <v>53</v>
      </c>
      <c r="C336" t="s">
        <v>54</v>
      </c>
      <c r="D336" t="s">
        <v>18</v>
      </c>
      <c r="E336" t="s">
        <v>31</v>
      </c>
      <c r="F336" t="s">
        <v>32</v>
      </c>
      <c r="G336" t="s">
        <v>32</v>
      </c>
      <c r="H336" t="s">
        <v>712</v>
      </c>
      <c r="I336">
        <f t="shared" si="49"/>
        <v>56</v>
      </c>
      <c r="J336" t="s">
        <v>658</v>
      </c>
      <c r="K336" t="s">
        <v>51</v>
      </c>
      <c r="L336" t="str">
        <f t="shared" si="48"/>
        <v>Stress</v>
      </c>
      <c r="M336" t="s">
        <v>353</v>
      </c>
      <c r="N336" t="s">
        <v>716</v>
      </c>
      <c r="Q336" t="s">
        <v>412</v>
      </c>
      <c r="R336" t="s">
        <v>709</v>
      </c>
      <c r="S336" t="s">
        <v>703</v>
      </c>
      <c r="T336" t="s">
        <v>615</v>
      </c>
      <c r="U336" s="1"/>
      <c r="V336" s="1"/>
      <c r="W336" s="1"/>
      <c r="X336" s="1">
        <f>[51]Barzana_etal_2012_Fig1e!C5</f>
        <v>1.050855627862136E-9</v>
      </c>
      <c r="Y336" s="1"/>
      <c r="Z336" s="1"/>
      <c r="AB336" s="1"/>
      <c r="AC336" s="3"/>
      <c r="AE336" s="2"/>
      <c r="AF336" s="2"/>
      <c r="AI336" s="3"/>
      <c r="AJ336" t="s">
        <v>203</v>
      </c>
    </row>
    <row r="337" spans="1:36" x14ac:dyDescent="0.25">
      <c r="A337" t="s">
        <v>570</v>
      </c>
      <c r="B337" t="s">
        <v>34</v>
      </c>
      <c r="C337" t="s">
        <v>35</v>
      </c>
      <c r="D337" t="s">
        <v>36</v>
      </c>
      <c r="E337" t="s">
        <v>19</v>
      </c>
      <c r="F337" t="s">
        <v>37</v>
      </c>
      <c r="G337" t="s">
        <v>622</v>
      </c>
      <c r="H337" t="s">
        <v>714</v>
      </c>
      <c r="I337">
        <f t="shared" si="49"/>
        <v>56</v>
      </c>
      <c r="J337" t="s">
        <v>658</v>
      </c>
      <c r="K337" t="s">
        <v>39</v>
      </c>
      <c r="L337" t="str">
        <f t="shared" si="48"/>
        <v>Control</v>
      </c>
      <c r="M337" t="s">
        <v>214</v>
      </c>
      <c r="N337" t="s">
        <v>716</v>
      </c>
      <c r="Q337" t="s">
        <v>412</v>
      </c>
      <c r="R337" t="s">
        <v>709</v>
      </c>
      <c r="S337" t="s">
        <v>703</v>
      </c>
      <c r="T337" t="s">
        <v>615</v>
      </c>
      <c r="U337" s="1"/>
      <c r="V337" s="1"/>
      <c r="W337" s="1"/>
      <c r="X337" s="1">
        <f>[52]Barzana_etal_2012_Fig2e!C2</f>
        <v>1.3561320754717001E-8</v>
      </c>
      <c r="Y337" s="1"/>
      <c r="Z337" s="1"/>
      <c r="AB337" s="1"/>
      <c r="AC337" s="3"/>
      <c r="AE337" s="2"/>
      <c r="AF337" s="2"/>
      <c r="AI337" s="3"/>
      <c r="AJ337" t="s">
        <v>203</v>
      </c>
    </row>
    <row r="338" spans="1:36" x14ac:dyDescent="0.25">
      <c r="A338" t="s">
        <v>570</v>
      </c>
      <c r="B338" t="s">
        <v>34</v>
      </c>
      <c r="C338" t="s">
        <v>35</v>
      </c>
      <c r="D338" t="s">
        <v>36</v>
      </c>
      <c r="E338" t="s">
        <v>19</v>
      </c>
      <c r="F338" t="s">
        <v>37</v>
      </c>
      <c r="G338" t="s">
        <v>622</v>
      </c>
      <c r="H338" t="s">
        <v>714</v>
      </c>
      <c r="I338">
        <f t="shared" si="49"/>
        <v>56</v>
      </c>
      <c r="J338" t="s">
        <v>658</v>
      </c>
      <c r="K338" t="s">
        <v>39</v>
      </c>
      <c r="L338" t="str">
        <f t="shared" si="48"/>
        <v>Control</v>
      </c>
      <c r="M338" t="s">
        <v>353</v>
      </c>
      <c r="N338" t="s">
        <v>716</v>
      </c>
      <c r="Q338" t="s">
        <v>412</v>
      </c>
      <c r="R338" t="s">
        <v>709</v>
      </c>
      <c r="S338" t="s">
        <v>703</v>
      </c>
      <c r="T338" t="s">
        <v>615</v>
      </c>
      <c r="U338" s="1"/>
      <c r="V338" s="1"/>
      <c r="W338" s="1"/>
      <c r="X338" s="1">
        <f>[52]Barzana_etal_2012_Fig2e!C3</f>
        <v>4.8480083857442502E-9</v>
      </c>
      <c r="Y338" s="1"/>
      <c r="Z338" s="1"/>
      <c r="AB338" s="1"/>
      <c r="AC338" s="3"/>
      <c r="AE338" s="2"/>
      <c r="AF338" s="2"/>
      <c r="AI338" s="3"/>
      <c r="AJ338" t="s">
        <v>203</v>
      </c>
    </row>
    <row r="339" spans="1:36" x14ac:dyDescent="0.25">
      <c r="A339" t="s">
        <v>570</v>
      </c>
      <c r="B339" t="s">
        <v>34</v>
      </c>
      <c r="C339" t="s">
        <v>35</v>
      </c>
      <c r="D339" t="s">
        <v>36</v>
      </c>
      <c r="E339" t="s">
        <v>19</v>
      </c>
      <c r="F339" t="s">
        <v>37</v>
      </c>
      <c r="G339" t="s">
        <v>622</v>
      </c>
      <c r="H339" t="s">
        <v>714</v>
      </c>
      <c r="I339">
        <f t="shared" si="49"/>
        <v>56</v>
      </c>
      <c r="J339" t="s">
        <v>658</v>
      </c>
      <c r="K339" t="s">
        <v>51</v>
      </c>
      <c r="L339" t="str">
        <f t="shared" si="48"/>
        <v>Stress</v>
      </c>
      <c r="M339" t="s">
        <v>214</v>
      </c>
      <c r="N339" t="s">
        <v>716</v>
      </c>
      <c r="Q339" t="s">
        <v>412</v>
      </c>
      <c r="R339" t="s">
        <v>709</v>
      </c>
      <c r="S339" t="s">
        <v>703</v>
      </c>
      <c r="T339" t="s">
        <v>615</v>
      </c>
      <c r="U339" s="1"/>
      <c r="V339" s="1"/>
      <c r="W339" s="1"/>
      <c r="X339" s="1">
        <f>[52]Barzana_etal_2012_Fig2e!C4</f>
        <v>5.7651991614256105E-9</v>
      </c>
      <c r="Y339" s="1"/>
      <c r="Z339" s="1"/>
      <c r="AB339" s="1"/>
      <c r="AC339" s="3"/>
      <c r="AE339" s="2"/>
      <c r="AF339" s="2"/>
      <c r="AI339" s="3"/>
      <c r="AJ339" t="s">
        <v>203</v>
      </c>
    </row>
    <row r="340" spans="1:36" x14ac:dyDescent="0.25">
      <c r="A340" t="s">
        <v>570</v>
      </c>
      <c r="B340" t="s">
        <v>34</v>
      </c>
      <c r="C340" t="s">
        <v>35</v>
      </c>
      <c r="D340" t="s">
        <v>36</v>
      </c>
      <c r="E340" t="s">
        <v>19</v>
      </c>
      <c r="F340" t="s">
        <v>37</v>
      </c>
      <c r="G340" t="s">
        <v>622</v>
      </c>
      <c r="H340" t="s">
        <v>714</v>
      </c>
      <c r="I340">
        <f t="shared" si="49"/>
        <v>56</v>
      </c>
      <c r="J340" t="s">
        <v>658</v>
      </c>
      <c r="K340" t="s">
        <v>51</v>
      </c>
      <c r="L340" t="str">
        <f t="shared" si="48"/>
        <v>Stress</v>
      </c>
      <c r="M340" t="s">
        <v>353</v>
      </c>
      <c r="N340" t="s">
        <v>716</v>
      </c>
      <c r="Q340" t="s">
        <v>412</v>
      </c>
      <c r="R340" t="s">
        <v>709</v>
      </c>
      <c r="S340" t="s">
        <v>703</v>
      </c>
      <c r="T340" t="s">
        <v>615</v>
      </c>
      <c r="U340" s="1"/>
      <c r="V340" s="1"/>
      <c r="W340" s="1"/>
      <c r="X340" s="1">
        <f>[52]Barzana_etal_2012_Fig2e!C5</f>
        <v>1.5723270440251749E-9</v>
      </c>
      <c r="Y340" s="1"/>
      <c r="Z340" s="1"/>
      <c r="AB340" s="1"/>
      <c r="AC340" s="3"/>
      <c r="AE340" s="2"/>
      <c r="AF340" s="2"/>
      <c r="AI340" s="3"/>
      <c r="AJ340" t="s">
        <v>203</v>
      </c>
    </row>
    <row r="341" spans="1:36" x14ac:dyDescent="0.25">
      <c r="A341" t="s">
        <v>250</v>
      </c>
      <c r="B341" t="s">
        <v>237</v>
      </c>
      <c r="C341" t="s">
        <v>238</v>
      </c>
      <c r="D341" t="s">
        <v>152</v>
      </c>
      <c r="E341" t="s">
        <v>19</v>
      </c>
      <c r="F341" t="s">
        <v>72</v>
      </c>
      <c r="G341" t="s">
        <v>601</v>
      </c>
      <c r="H341" t="s">
        <v>713</v>
      </c>
      <c r="I341">
        <f t="shared" ref="I341:I355" si="50">2*365</f>
        <v>730</v>
      </c>
      <c r="J341" t="s">
        <v>517</v>
      </c>
      <c r="K341" t="s">
        <v>39</v>
      </c>
      <c r="L341" t="str">
        <f t="shared" si="48"/>
        <v>Control</v>
      </c>
      <c r="M341" t="s">
        <v>657</v>
      </c>
      <c r="N341" t="s">
        <v>716</v>
      </c>
      <c r="Q341" t="s">
        <v>412</v>
      </c>
      <c r="R341" t="s">
        <v>709</v>
      </c>
      <c r="S341" t="s">
        <v>703</v>
      </c>
      <c r="T341" t="s">
        <v>615</v>
      </c>
      <c r="U341" s="1" t="s">
        <v>755</v>
      </c>
      <c r="V341" s="1">
        <v>3.7300000000000001E-9</v>
      </c>
      <c r="W341" s="1"/>
      <c r="X341" s="4"/>
      <c r="AE341" s="3">
        <f>[53]Yang_etal_2011_Fig2a!B2</f>
        <v>8.2547373299819906</v>
      </c>
      <c r="AJ341" t="s">
        <v>47</v>
      </c>
    </row>
    <row r="342" spans="1:36" x14ac:dyDescent="0.25">
      <c r="A342" t="s">
        <v>250</v>
      </c>
      <c r="B342" t="s">
        <v>237</v>
      </c>
      <c r="C342" t="s">
        <v>238</v>
      </c>
      <c r="D342" t="s">
        <v>152</v>
      </c>
      <c r="E342" t="s">
        <v>19</v>
      </c>
      <c r="F342" t="s">
        <v>72</v>
      </c>
      <c r="G342" t="s">
        <v>601</v>
      </c>
      <c r="H342" t="s">
        <v>713</v>
      </c>
      <c r="I342">
        <f t="shared" si="50"/>
        <v>730</v>
      </c>
      <c r="J342" t="s">
        <v>517</v>
      </c>
      <c r="K342" t="s">
        <v>656</v>
      </c>
      <c r="L342" t="str">
        <f t="shared" si="48"/>
        <v>Stress</v>
      </c>
      <c r="M342" t="s">
        <v>657</v>
      </c>
      <c r="N342" t="s">
        <v>716</v>
      </c>
      <c r="Q342" t="s">
        <v>412</v>
      </c>
      <c r="R342" t="s">
        <v>709</v>
      </c>
      <c r="S342" t="s">
        <v>703</v>
      </c>
      <c r="T342" t="s">
        <v>615</v>
      </c>
      <c r="U342" s="1" t="s">
        <v>755</v>
      </c>
      <c r="V342" s="1">
        <v>2.0200000000000001E-9</v>
      </c>
      <c r="W342" s="1"/>
      <c r="X342" s="4"/>
      <c r="AE342" s="3">
        <f>[53]Yang_etal_2011_Fig2a!B3</f>
        <v>5.8940931097290497</v>
      </c>
      <c r="AJ342" t="s">
        <v>47</v>
      </c>
    </row>
    <row r="343" spans="1:36" x14ac:dyDescent="0.25">
      <c r="A343" t="s">
        <v>250</v>
      </c>
      <c r="B343" t="s">
        <v>237</v>
      </c>
      <c r="C343" t="s">
        <v>238</v>
      </c>
      <c r="D343" t="s">
        <v>152</v>
      </c>
      <c r="E343" t="s">
        <v>19</v>
      </c>
      <c r="F343" t="s">
        <v>72</v>
      </c>
      <c r="G343" t="s">
        <v>601</v>
      </c>
      <c r="H343" t="s">
        <v>713</v>
      </c>
      <c r="I343">
        <f t="shared" si="50"/>
        <v>730</v>
      </c>
      <c r="J343" t="s">
        <v>517</v>
      </c>
      <c r="K343" t="s">
        <v>662</v>
      </c>
      <c r="L343" t="str">
        <f t="shared" si="48"/>
        <v>Stress</v>
      </c>
      <c r="M343" t="s">
        <v>657</v>
      </c>
      <c r="N343" t="s">
        <v>716</v>
      </c>
      <c r="Q343" t="s">
        <v>412</v>
      </c>
      <c r="R343" t="s">
        <v>709</v>
      </c>
      <c r="S343" t="s">
        <v>703</v>
      </c>
      <c r="T343" t="s">
        <v>615</v>
      </c>
      <c r="U343" s="1" t="s">
        <v>755</v>
      </c>
      <c r="V343" s="1">
        <v>3.9200000000000005E-9</v>
      </c>
      <c r="W343" s="1"/>
      <c r="X343" s="4"/>
      <c r="AE343" s="3">
        <f>[53]Yang_etal_2011_Fig2a!B4</f>
        <v>8.1144446227070901</v>
      </c>
      <c r="AJ343" t="s">
        <v>47</v>
      </c>
    </row>
    <row r="344" spans="1:36" x14ac:dyDescent="0.25">
      <c r="A344" t="s">
        <v>250</v>
      </c>
      <c r="B344" t="s">
        <v>237</v>
      </c>
      <c r="C344" t="s">
        <v>238</v>
      </c>
      <c r="D344" t="s">
        <v>152</v>
      </c>
      <c r="E344" t="s">
        <v>19</v>
      </c>
      <c r="F344" t="s">
        <v>72</v>
      </c>
      <c r="G344" t="s">
        <v>601</v>
      </c>
      <c r="H344" t="s">
        <v>713</v>
      </c>
      <c r="I344">
        <f t="shared" si="50"/>
        <v>730</v>
      </c>
      <c r="J344" t="s">
        <v>517</v>
      </c>
      <c r="K344" t="s">
        <v>39</v>
      </c>
      <c r="L344" t="str">
        <f t="shared" si="48"/>
        <v>Control</v>
      </c>
      <c r="M344" t="s">
        <v>659</v>
      </c>
      <c r="N344" t="s">
        <v>716</v>
      </c>
      <c r="Q344" t="s">
        <v>412</v>
      </c>
      <c r="R344" t="s">
        <v>709</v>
      </c>
      <c r="S344" t="s">
        <v>703</v>
      </c>
      <c r="T344" t="s">
        <v>615</v>
      </c>
      <c r="U344" s="1" t="s">
        <v>755</v>
      </c>
      <c r="V344" s="1">
        <v>4.8099999999999997E-9</v>
      </c>
      <c r="W344" s="1"/>
      <c r="X344" s="4"/>
      <c r="AE344" s="3">
        <f>[53]Yang_etal_2011_Fig2a!B5</f>
        <v>8.9488207925557504</v>
      </c>
      <c r="AJ344" t="s">
        <v>47</v>
      </c>
    </row>
    <row r="345" spans="1:36" x14ac:dyDescent="0.25">
      <c r="A345" t="s">
        <v>250</v>
      </c>
      <c r="B345" t="s">
        <v>237</v>
      </c>
      <c r="C345" t="s">
        <v>238</v>
      </c>
      <c r="D345" t="s">
        <v>152</v>
      </c>
      <c r="E345" t="s">
        <v>19</v>
      </c>
      <c r="F345" t="s">
        <v>72</v>
      </c>
      <c r="G345" t="s">
        <v>601</v>
      </c>
      <c r="H345" t="s">
        <v>713</v>
      </c>
      <c r="I345">
        <f t="shared" si="50"/>
        <v>730</v>
      </c>
      <c r="J345" t="s">
        <v>517</v>
      </c>
      <c r="K345" t="s">
        <v>656</v>
      </c>
      <c r="L345" t="str">
        <f t="shared" si="48"/>
        <v>Stress</v>
      </c>
      <c r="M345" t="s">
        <v>659</v>
      </c>
      <c r="N345" t="s">
        <v>716</v>
      </c>
      <c r="Q345" t="s">
        <v>412</v>
      </c>
      <c r="R345" t="s">
        <v>709</v>
      </c>
      <c r="S345" t="s">
        <v>703</v>
      </c>
      <c r="T345" t="s">
        <v>615</v>
      </c>
      <c r="U345" s="1" t="s">
        <v>755</v>
      </c>
      <c r="V345" s="1">
        <v>3.1899999999999999E-9</v>
      </c>
      <c r="W345" s="1"/>
      <c r="X345" s="4"/>
      <c r="AE345" s="3">
        <f>[53]Yang_etal_2011_Fig2a!B6</f>
        <v>6.9528222647955298</v>
      </c>
      <c r="AJ345" t="s">
        <v>47</v>
      </c>
    </row>
    <row r="346" spans="1:36" x14ac:dyDescent="0.25">
      <c r="A346" t="s">
        <v>250</v>
      </c>
      <c r="B346" t="s">
        <v>237</v>
      </c>
      <c r="C346" t="s">
        <v>238</v>
      </c>
      <c r="D346" t="s">
        <v>152</v>
      </c>
      <c r="E346" t="s">
        <v>19</v>
      </c>
      <c r="F346" t="s">
        <v>72</v>
      </c>
      <c r="G346" t="s">
        <v>601</v>
      </c>
      <c r="H346" t="s">
        <v>713</v>
      </c>
      <c r="I346">
        <f t="shared" si="50"/>
        <v>730</v>
      </c>
      <c r="J346" t="s">
        <v>517</v>
      </c>
      <c r="K346" t="s">
        <v>662</v>
      </c>
      <c r="L346" t="str">
        <f t="shared" si="48"/>
        <v>Stress</v>
      </c>
      <c r="M346" t="s">
        <v>659</v>
      </c>
      <c r="N346" t="s">
        <v>716</v>
      </c>
      <c r="Q346" t="s">
        <v>412</v>
      </c>
      <c r="R346" t="s">
        <v>709</v>
      </c>
      <c r="S346" t="s">
        <v>703</v>
      </c>
      <c r="T346" t="s">
        <v>615</v>
      </c>
      <c r="U346" s="1" t="s">
        <v>755</v>
      </c>
      <c r="V346" s="1">
        <v>5.04E-9</v>
      </c>
      <c r="W346" s="1"/>
      <c r="X346" s="4"/>
      <c r="AE346" s="3">
        <f>[53]Yang_etal_2011_Fig2a!B7</f>
        <v>9.8583524965684397</v>
      </c>
      <c r="AJ346" t="s">
        <v>47</v>
      </c>
    </row>
    <row r="347" spans="1:36" x14ac:dyDescent="0.25">
      <c r="A347" t="s">
        <v>250</v>
      </c>
      <c r="B347" t="s">
        <v>237</v>
      </c>
      <c r="C347" t="s">
        <v>238</v>
      </c>
      <c r="D347" t="s">
        <v>152</v>
      </c>
      <c r="E347" t="s">
        <v>19</v>
      </c>
      <c r="F347" t="s">
        <v>72</v>
      </c>
      <c r="G347" t="s">
        <v>601</v>
      </c>
      <c r="H347" t="s">
        <v>713</v>
      </c>
      <c r="I347">
        <f t="shared" si="50"/>
        <v>730</v>
      </c>
      <c r="J347" t="s">
        <v>517</v>
      </c>
      <c r="K347" t="s">
        <v>39</v>
      </c>
      <c r="L347" t="str">
        <f t="shared" si="48"/>
        <v>Control</v>
      </c>
      <c r="M347" t="s">
        <v>660</v>
      </c>
      <c r="N347" t="s">
        <v>716</v>
      </c>
      <c r="Q347" t="s">
        <v>412</v>
      </c>
      <c r="R347" t="s">
        <v>709</v>
      </c>
      <c r="S347" t="s">
        <v>703</v>
      </c>
      <c r="T347" t="s">
        <v>615</v>
      </c>
      <c r="U347" s="1" t="s">
        <v>755</v>
      </c>
      <c r="V347" s="1">
        <v>5.8800000000000004E-9</v>
      </c>
      <c r="W347" s="1"/>
      <c r="X347" s="4"/>
      <c r="AE347" s="3">
        <f>[53]Yang_etal_2011_Fig2a!B8</f>
        <v>8.42576251849475</v>
      </c>
      <c r="AJ347" t="s">
        <v>47</v>
      </c>
    </row>
    <row r="348" spans="1:36" x14ac:dyDescent="0.25">
      <c r="A348" t="s">
        <v>250</v>
      </c>
      <c r="B348" t="s">
        <v>237</v>
      </c>
      <c r="C348" t="s">
        <v>238</v>
      </c>
      <c r="D348" t="s">
        <v>152</v>
      </c>
      <c r="E348" t="s">
        <v>19</v>
      </c>
      <c r="F348" t="s">
        <v>72</v>
      </c>
      <c r="G348" t="s">
        <v>601</v>
      </c>
      <c r="H348" t="s">
        <v>713</v>
      </c>
      <c r="I348">
        <f t="shared" si="50"/>
        <v>730</v>
      </c>
      <c r="J348" t="s">
        <v>517</v>
      </c>
      <c r="K348" t="s">
        <v>656</v>
      </c>
      <c r="L348" t="str">
        <f t="shared" si="48"/>
        <v>Stress</v>
      </c>
      <c r="M348" t="s">
        <v>660</v>
      </c>
      <c r="N348" t="s">
        <v>716</v>
      </c>
      <c r="Q348" t="s">
        <v>412</v>
      </c>
      <c r="R348" t="s">
        <v>709</v>
      </c>
      <c r="S348" t="s">
        <v>703</v>
      </c>
      <c r="T348" t="s">
        <v>615</v>
      </c>
      <c r="U348" s="1" t="s">
        <v>755</v>
      </c>
      <c r="V348" s="1">
        <v>3.6900000000000003E-9</v>
      </c>
      <c r="W348" s="1"/>
      <c r="X348" s="4"/>
      <c r="AE348" s="3">
        <f>[53]Yang_etal_2011_Fig2a!B9</f>
        <v>6.0959409594095897</v>
      </c>
      <c r="AJ348" t="s">
        <v>47</v>
      </c>
    </row>
    <row r="349" spans="1:36" x14ac:dyDescent="0.25">
      <c r="A349" t="s">
        <v>250</v>
      </c>
      <c r="B349" t="s">
        <v>237</v>
      </c>
      <c r="C349" t="s">
        <v>238</v>
      </c>
      <c r="D349" t="s">
        <v>152</v>
      </c>
      <c r="E349" t="s">
        <v>19</v>
      </c>
      <c r="F349" t="s">
        <v>72</v>
      </c>
      <c r="G349" t="s">
        <v>601</v>
      </c>
      <c r="H349" t="s">
        <v>713</v>
      </c>
      <c r="I349">
        <f t="shared" si="50"/>
        <v>730</v>
      </c>
      <c r="J349" t="s">
        <v>517</v>
      </c>
      <c r="K349" t="s">
        <v>662</v>
      </c>
      <c r="L349" t="str">
        <f t="shared" si="48"/>
        <v>Stress</v>
      </c>
      <c r="M349" t="s">
        <v>660</v>
      </c>
      <c r="N349" t="s">
        <v>716</v>
      </c>
      <c r="Q349" t="s">
        <v>412</v>
      </c>
      <c r="R349" t="s">
        <v>709</v>
      </c>
      <c r="S349" t="s">
        <v>703</v>
      </c>
      <c r="T349" t="s">
        <v>615</v>
      </c>
      <c r="U349" s="1" t="s">
        <v>755</v>
      </c>
      <c r="V349" s="1">
        <v>6.5100000000000001E-9</v>
      </c>
      <c r="W349" s="1"/>
      <c r="X349" s="4"/>
      <c r="AE349" s="3">
        <f>[53]Yang_etal_2011_Fig2a!B10</f>
        <v>9.1118241617198699</v>
      </c>
      <c r="AJ349" t="s">
        <v>47</v>
      </c>
    </row>
    <row r="350" spans="1:36" x14ac:dyDescent="0.25">
      <c r="A350" t="s">
        <v>250</v>
      </c>
      <c r="B350" t="s">
        <v>237</v>
      </c>
      <c r="C350" t="s">
        <v>238</v>
      </c>
      <c r="D350" t="s">
        <v>152</v>
      </c>
      <c r="E350" t="s">
        <v>19</v>
      </c>
      <c r="F350" t="s">
        <v>72</v>
      </c>
      <c r="G350" t="s">
        <v>601</v>
      </c>
      <c r="H350" t="s">
        <v>713</v>
      </c>
      <c r="I350">
        <f t="shared" si="50"/>
        <v>730</v>
      </c>
      <c r="J350" t="s">
        <v>517</v>
      </c>
      <c r="K350" t="s">
        <v>39</v>
      </c>
      <c r="L350" t="str">
        <f t="shared" si="48"/>
        <v>Control</v>
      </c>
      <c r="M350" t="s">
        <v>660</v>
      </c>
      <c r="N350" t="s">
        <v>716</v>
      </c>
      <c r="Q350" t="s">
        <v>412</v>
      </c>
      <c r="R350" t="s">
        <v>709</v>
      </c>
      <c r="S350" t="s">
        <v>703</v>
      </c>
      <c r="T350" t="s">
        <v>615</v>
      </c>
      <c r="U350" s="1" t="s">
        <v>755</v>
      </c>
      <c r="V350" s="1">
        <v>7.8800000000000001E-9</v>
      </c>
      <c r="W350" s="1"/>
      <c r="X350" s="4"/>
      <c r="AE350" s="3">
        <f>[53]Yang_etal_2011_Fig2a!B11</f>
        <v>9.2337727038597599</v>
      </c>
      <c r="AJ350" t="s">
        <v>47</v>
      </c>
    </row>
    <row r="351" spans="1:36" x14ac:dyDescent="0.25">
      <c r="A351" t="s">
        <v>250</v>
      </c>
      <c r="B351" t="s">
        <v>237</v>
      </c>
      <c r="C351" t="s">
        <v>238</v>
      </c>
      <c r="D351" t="s">
        <v>152</v>
      </c>
      <c r="E351" t="s">
        <v>19</v>
      </c>
      <c r="F351" t="s">
        <v>72</v>
      </c>
      <c r="G351" t="s">
        <v>601</v>
      </c>
      <c r="H351" t="s">
        <v>713</v>
      </c>
      <c r="I351">
        <f t="shared" si="50"/>
        <v>730</v>
      </c>
      <c r="J351" t="s">
        <v>517</v>
      </c>
      <c r="K351" t="s">
        <v>656</v>
      </c>
      <c r="L351" t="str">
        <f t="shared" si="48"/>
        <v>Stress</v>
      </c>
      <c r="M351" t="s">
        <v>660</v>
      </c>
      <c r="N351" t="s">
        <v>716</v>
      </c>
      <c r="Q351" t="s">
        <v>412</v>
      </c>
      <c r="R351" t="s">
        <v>709</v>
      </c>
      <c r="S351" t="s">
        <v>703</v>
      </c>
      <c r="T351" t="s">
        <v>615</v>
      </c>
      <c r="U351" s="1" t="s">
        <v>755</v>
      </c>
      <c r="V351" s="1">
        <v>5.76E-9</v>
      </c>
      <c r="W351" s="1"/>
      <c r="X351" s="4"/>
      <c r="AE351" s="3">
        <f>[53]Yang_etal_2011_Fig2a!B12</f>
        <v>7.1260180632496803</v>
      </c>
      <c r="AJ351" t="s">
        <v>47</v>
      </c>
    </row>
    <row r="352" spans="1:36" x14ac:dyDescent="0.25">
      <c r="A352" t="s">
        <v>250</v>
      </c>
      <c r="B352" t="s">
        <v>237</v>
      </c>
      <c r="C352" t="s">
        <v>238</v>
      </c>
      <c r="D352" t="s">
        <v>152</v>
      </c>
      <c r="E352" t="s">
        <v>19</v>
      </c>
      <c r="F352" t="s">
        <v>72</v>
      </c>
      <c r="G352" t="s">
        <v>601</v>
      </c>
      <c r="H352" t="s">
        <v>713</v>
      </c>
      <c r="I352">
        <f t="shared" si="50"/>
        <v>730</v>
      </c>
      <c r="J352" t="s">
        <v>517</v>
      </c>
      <c r="K352" t="s">
        <v>662</v>
      </c>
      <c r="L352" t="str">
        <f t="shared" si="48"/>
        <v>Stress</v>
      </c>
      <c r="M352" t="s">
        <v>660</v>
      </c>
      <c r="N352" t="s">
        <v>716</v>
      </c>
      <c r="Q352" t="s">
        <v>412</v>
      </c>
      <c r="R352" t="s">
        <v>709</v>
      </c>
      <c r="S352" t="s">
        <v>703</v>
      </c>
      <c r="T352" t="s">
        <v>615</v>
      </c>
      <c r="U352" s="1" t="s">
        <v>755</v>
      </c>
      <c r="V352" s="1">
        <v>8.3800000000000013E-9</v>
      </c>
      <c r="W352" s="1"/>
      <c r="X352" s="4"/>
      <c r="AE352" s="3">
        <f>[53]Yang_etal_2011_Fig2a!B13</f>
        <v>10.1549815498154</v>
      </c>
      <c r="AJ352" t="s">
        <v>47</v>
      </c>
    </row>
    <row r="353" spans="1:36" x14ac:dyDescent="0.25">
      <c r="A353" t="s">
        <v>250</v>
      </c>
      <c r="B353" t="s">
        <v>237</v>
      </c>
      <c r="C353" t="s">
        <v>238</v>
      </c>
      <c r="D353" t="s">
        <v>152</v>
      </c>
      <c r="E353" t="s">
        <v>19</v>
      </c>
      <c r="F353" t="s">
        <v>72</v>
      </c>
      <c r="G353" t="s">
        <v>601</v>
      </c>
      <c r="H353" t="s">
        <v>713</v>
      </c>
      <c r="I353">
        <f t="shared" si="50"/>
        <v>730</v>
      </c>
      <c r="J353" t="s">
        <v>517</v>
      </c>
      <c r="K353" t="s">
        <v>39</v>
      </c>
      <c r="L353" t="str">
        <f t="shared" si="48"/>
        <v>Control</v>
      </c>
      <c r="M353" t="s">
        <v>661</v>
      </c>
      <c r="N353" t="s">
        <v>716</v>
      </c>
      <c r="Q353" t="s">
        <v>412</v>
      </c>
      <c r="R353" t="s">
        <v>709</v>
      </c>
      <c r="S353" t="s">
        <v>703</v>
      </c>
      <c r="T353" t="s">
        <v>615</v>
      </c>
      <c r="U353" s="1" t="s">
        <v>755</v>
      </c>
      <c r="V353" s="1">
        <v>1.3700000000000002E-9</v>
      </c>
      <c r="W353" s="1"/>
      <c r="X353" s="4"/>
      <c r="AE353" s="3">
        <f>[53]Yang_etal_2011_Fig2a!B14</f>
        <v>5.9774319482325202</v>
      </c>
      <c r="AJ353" t="s">
        <v>47</v>
      </c>
    </row>
    <row r="354" spans="1:36" x14ac:dyDescent="0.25">
      <c r="A354" t="s">
        <v>250</v>
      </c>
      <c r="B354" t="s">
        <v>237</v>
      </c>
      <c r="C354" t="s">
        <v>238</v>
      </c>
      <c r="D354" t="s">
        <v>152</v>
      </c>
      <c r="E354" t="s">
        <v>19</v>
      </c>
      <c r="F354" t="s">
        <v>72</v>
      </c>
      <c r="G354" t="s">
        <v>601</v>
      </c>
      <c r="H354" t="s">
        <v>713</v>
      </c>
      <c r="I354">
        <f t="shared" si="50"/>
        <v>730</v>
      </c>
      <c r="J354" t="s">
        <v>517</v>
      </c>
      <c r="K354" t="s">
        <v>656</v>
      </c>
      <c r="L354" t="str">
        <f t="shared" si="48"/>
        <v>Stress</v>
      </c>
      <c r="M354" t="s">
        <v>661</v>
      </c>
      <c r="N354" t="s">
        <v>716</v>
      </c>
      <c r="Q354" t="s">
        <v>412</v>
      </c>
      <c r="R354" t="s">
        <v>709</v>
      </c>
      <c r="S354" t="s">
        <v>703</v>
      </c>
      <c r="T354" t="s">
        <v>615</v>
      </c>
      <c r="U354" s="1" t="s">
        <v>755</v>
      </c>
      <c r="V354" s="1">
        <v>1.1000000000000001E-9</v>
      </c>
      <c r="W354" s="1"/>
      <c r="X354" s="4"/>
      <c r="AE354" s="3">
        <f>[53]Yang_etal_2011_Fig2a!B15</f>
        <v>5.5309406290993799</v>
      </c>
      <c r="AJ354" t="s">
        <v>47</v>
      </c>
    </row>
    <row r="355" spans="1:36" x14ac:dyDescent="0.25">
      <c r="A355" t="s">
        <v>250</v>
      </c>
      <c r="B355" t="s">
        <v>237</v>
      </c>
      <c r="C355" t="s">
        <v>238</v>
      </c>
      <c r="D355" t="s">
        <v>152</v>
      </c>
      <c r="E355" t="s">
        <v>19</v>
      </c>
      <c r="F355" t="s">
        <v>72</v>
      </c>
      <c r="G355" t="s">
        <v>601</v>
      </c>
      <c r="H355" t="s">
        <v>713</v>
      </c>
      <c r="I355">
        <f t="shared" si="50"/>
        <v>730</v>
      </c>
      <c r="J355" t="s">
        <v>517</v>
      </c>
      <c r="K355" t="s">
        <v>662</v>
      </c>
      <c r="L355" t="str">
        <f t="shared" si="48"/>
        <v>Stress</v>
      </c>
      <c r="M355" t="s">
        <v>661</v>
      </c>
      <c r="N355" t="s">
        <v>716</v>
      </c>
      <c r="Q355" t="s">
        <v>412</v>
      </c>
      <c r="R355" t="s">
        <v>709</v>
      </c>
      <c r="S355" t="s">
        <v>703</v>
      </c>
      <c r="T355" t="s">
        <v>615</v>
      </c>
      <c r="U355" s="1" t="s">
        <v>755</v>
      </c>
      <c r="V355" s="1">
        <v>1.5400000000000001E-9</v>
      </c>
      <c r="W355" s="1"/>
      <c r="X355" s="4"/>
      <c r="AE355" s="3">
        <f>[53]Yang_etal_2011_Fig2a!B16</f>
        <v>6.5450394303274102</v>
      </c>
      <c r="AJ355" t="s">
        <v>47</v>
      </c>
    </row>
    <row r="356" spans="1:36" x14ac:dyDescent="0.25">
      <c r="A356" t="s">
        <v>75</v>
      </c>
      <c r="B356" t="s">
        <v>56</v>
      </c>
      <c r="C356" t="s">
        <v>57</v>
      </c>
      <c r="D356" t="s">
        <v>18</v>
      </c>
      <c r="E356" t="s">
        <v>19</v>
      </c>
      <c r="F356" t="s">
        <v>20</v>
      </c>
      <c r="G356" t="s">
        <v>20</v>
      </c>
      <c r="H356" t="s">
        <v>712</v>
      </c>
      <c r="I356">
        <v>15</v>
      </c>
      <c r="J356" t="s">
        <v>767</v>
      </c>
      <c r="K356" t="s">
        <v>496</v>
      </c>
      <c r="L356" t="s">
        <v>716</v>
      </c>
      <c r="Q356" t="s">
        <v>411</v>
      </c>
      <c r="R356" t="s">
        <v>709</v>
      </c>
      <c r="S356" t="s">
        <v>703</v>
      </c>
      <c r="T356" t="s">
        <v>616</v>
      </c>
      <c r="U356" s="4"/>
      <c r="V356" s="4"/>
      <c r="Y356" s="3"/>
      <c r="Z356" s="3"/>
      <c r="AA356" s="1">
        <v>5.2999999999999998E-8</v>
      </c>
      <c r="AC356" s="3"/>
      <c r="AJ356" t="s">
        <v>352</v>
      </c>
    </row>
    <row r="357" spans="1:36" x14ac:dyDescent="0.25">
      <c r="A357" t="s">
        <v>75</v>
      </c>
      <c r="B357" t="s">
        <v>56</v>
      </c>
      <c r="C357" t="s">
        <v>57</v>
      </c>
      <c r="D357" t="s">
        <v>18</v>
      </c>
      <c r="E357" t="s">
        <v>19</v>
      </c>
      <c r="F357" t="s">
        <v>20</v>
      </c>
      <c r="G357" t="s">
        <v>20</v>
      </c>
      <c r="H357" t="s">
        <v>712</v>
      </c>
      <c r="I357">
        <v>15</v>
      </c>
      <c r="J357" t="s">
        <v>767</v>
      </c>
      <c r="K357" t="s">
        <v>496</v>
      </c>
      <c r="L357" t="s">
        <v>716</v>
      </c>
      <c r="Q357" t="s">
        <v>413</v>
      </c>
      <c r="R357" t="s">
        <v>709</v>
      </c>
      <c r="S357" t="s">
        <v>703</v>
      </c>
      <c r="T357" t="s">
        <v>616</v>
      </c>
      <c r="U357" s="4"/>
      <c r="V357" s="4"/>
      <c r="Y357" s="3"/>
      <c r="Z357" s="3"/>
      <c r="AA357" s="1">
        <v>8.5899999999999995E-8</v>
      </c>
      <c r="AC357" s="3"/>
      <c r="AJ357" t="s">
        <v>352</v>
      </c>
    </row>
    <row r="358" spans="1:36" x14ac:dyDescent="0.25">
      <c r="A358" t="s">
        <v>75</v>
      </c>
      <c r="B358" t="s">
        <v>56</v>
      </c>
      <c r="C358" t="s">
        <v>57</v>
      </c>
      <c r="D358" t="s">
        <v>18</v>
      </c>
      <c r="E358" t="s">
        <v>19</v>
      </c>
      <c r="F358" t="s">
        <v>20</v>
      </c>
      <c r="G358" t="s">
        <v>20</v>
      </c>
      <c r="H358" t="s">
        <v>712</v>
      </c>
      <c r="I358">
        <v>15</v>
      </c>
      <c r="J358" t="s">
        <v>767</v>
      </c>
      <c r="K358" t="s">
        <v>495</v>
      </c>
      <c r="L358" t="s">
        <v>716</v>
      </c>
      <c r="Q358" t="s">
        <v>413</v>
      </c>
      <c r="R358" t="s">
        <v>709</v>
      </c>
      <c r="S358" t="s">
        <v>703</v>
      </c>
      <c r="T358" t="s">
        <v>616</v>
      </c>
      <c r="U358" s="4"/>
      <c r="V358" s="4"/>
      <c r="Y358" s="3"/>
      <c r="Z358" s="3"/>
      <c r="AA358" s="1">
        <v>2.2600000000000001E-7</v>
      </c>
      <c r="AC358" s="3"/>
      <c r="AJ358" t="s">
        <v>352</v>
      </c>
    </row>
    <row r="359" spans="1:36" x14ac:dyDescent="0.25">
      <c r="A359" t="s">
        <v>75</v>
      </c>
      <c r="B359" t="s">
        <v>56</v>
      </c>
      <c r="C359" t="s">
        <v>57</v>
      </c>
      <c r="D359" t="s">
        <v>18</v>
      </c>
      <c r="E359" t="s">
        <v>19</v>
      </c>
      <c r="F359" t="s">
        <v>20</v>
      </c>
      <c r="G359" t="s">
        <v>20</v>
      </c>
      <c r="H359" t="s">
        <v>712</v>
      </c>
      <c r="I359">
        <v>15</v>
      </c>
      <c r="J359" t="s">
        <v>767</v>
      </c>
      <c r="K359" t="s">
        <v>495</v>
      </c>
      <c r="L359" t="s">
        <v>716</v>
      </c>
      <c r="Q359" t="s">
        <v>412</v>
      </c>
      <c r="R359" t="s">
        <v>709</v>
      </c>
      <c r="S359" t="s">
        <v>703</v>
      </c>
      <c r="T359" t="s">
        <v>616</v>
      </c>
      <c r="U359" s="4"/>
      <c r="V359" s="4"/>
      <c r="Y359" s="3"/>
      <c r="Z359" s="3"/>
      <c r="AA359" s="1">
        <v>1.3400000000000001E-7</v>
      </c>
      <c r="AJ359" t="s">
        <v>352</v>
      </c>
    </row>
    <row r="360" spans="1:36" x14ac:dyDescent="0.25">
      <c r="A360" t="s">
        <v>75</v>
      </c>
      <c r="B360" t="s">
        <v>56</v>
      </c>
      <c r="C360" t="s">
        <v>57</v>
      </c>
      <c r="D360" t="s">
        <v>18</v>
      </c>
      <c r="E360" t="s">
        <v>19</v>
      </c>
      <c r="F360" t="s">
        <v>20</v>
      </c>
      <c r="G360" t="s">
        <v>20</v>
      </c>
      <c r="H360" t="s">
        <v>712</v>
      </c>
      <c r="I360">
        <v>15</v>
      </c>
      <c r="J360" t="s">
        <v>767</v>
      </c>
      <c r="K360" t="s">
        <v>495</v>
      </c>
      <c r="L360" t="s">
        <v>716</v>
      </c>
      <c r="Q360" t="s">
        <v>411</v>
      </c>
      <c r="R360" t="s">
        <v>709</v>
      </c>
      <c r="S360" t="s">
        <v>703</v>
      </c>
      <c r="T360" t="s">
        <v>616</v>
      </c>
      <c r="U360" s="4"/>
      <c r="V360" s="4"/>
      <c r="Y360" s="3"/>
      <c r="Z360" s="3"/>
      <c r="AA360" s="1">
        <v>1.18E-7</v>
      </c>
      <c r="AJ360" t="s">
        <v>352</v>
      </c>
    </row>
    <row r="361" spans="1:36" x14ac:dyDescent="0.25">
      <c r="A361" t="s">
        <v>76</v>
      </c>
      <c r="B361" t="s">
        <v>77</v>
      </c>
      <c r="C361" t="s">
        <v>78</v>
      </c>
      <c r="D361" t="s">
        <v>18</v>
      </c>
      <c r="E361" t="s">
        <v>19</v>
      </c>
      <c r="F361" t="s">
        <v>20</v>
      </c>
      <c r="G361" t="s">
        <v>20</v>
      </c>
      <c r="H361" t="s">
        <v>712</v>
      </c>
      <c r="I361">
        <v>7</v>
      </c>
      <c r="J361" t="s">
        <v>94</v>
      </c>
      <c r="K361" t="s">
        <v>39</v>
      </c>
      <c r="L361" t="str">
        <f t="shared" ref="L361:L366" si="51">+IF(K361 = "Control", "Control", "Stress")</f>
        <v>Control</v>
      </c>
      <c r="Q361" t="s">
        <v>412</v>
      </c>
      <c r="R361" t="s">
        <v>709</v>
      </c>
      <c r="S361" t="s">
        <v>703</v>
      </c>
      <c r="T361" t="s">
        <v>616</v>
      </c>
      <c r="U361" s="1"/>
      <c r="V361" s="1"/>
      <c r="W361">
        <f>0.000000598/3600</f>
        <v>1.6611111111111112E-10</v>
      </c>
      <c r="X361" s="1"/>
      <c r="Y361" s="3"/>
      <c r="Z361" s="3"/>
      <c r="AJ361" t="s">
        <v>352</v>
      </c>
    </row>
    <row r="362" spans="1:36" x14ac:dyDescent="0.25">
      <c r="A362" t="s">
        <v>76</v>
      </c>
      <c r="B362" t="s">
        <v>77</v>
      </c>
      <c r="C362" t="s">
        <v>78</v>
      </c>
      <c r="D362" t="s">
        <v>18</v>
      </c>
      <c r="E362" t="s">
        <v>19</v>
      </c>
      <c r="F362" t="s">
        <v>20</v>
      </c>
      <c r="G362" t="s">
        <v>20</v>
      </c>
      <c r="H362" t="s">
        <v>712</v>
      </c>
      <c r="I362">
        <v>7</v>
      </c>
      <c r="J362" t="s">
        <v>94</v>
      </c>
      <c r="K362" t="s">
        <v>39</v>
      </c>
      <c r="L362" t="str">
        <f t="shared" si="51"/>
        <v>Control</v>
      </c>
      <c r="Q362" t="s">
        <v>412</v>
      </c>
      <c r="R362" t="s">
        <v>709</v>
      </c>
      <c r="S362" t="s">
        <v>703</v>
      </c>
      <c r="T362" t="s">
        <v>615</v>
      </c>
      <c r="U362" s="1"/>
      <c r="V362" s="1"/>
      <c r="W362">
        <f>0.00000085/3600</f>
        <v>2.3611111111111114E-10</v>
      </c>
      <c r="X362" s="1"/>
      <c r="Y362" s="3"/>
      <c r="Z362" s="3"/>
      <c r="AJ362" t="s">
        <v>359</v>
      </c>
    </row>
    <row r="363" spans="1:36" x14ac:dyDescent="0.25">
      <c r="A363" t="s">
        <v>76</v>
      </c>
      <c r="B363" t="s">
        <v>77</v>
      </c>
      <c r="C363" t="s">
        <v>78</v>
      </c>
      <c r="D363" t="s">
        <v>18</v>
      </c>
      <c r="E363" t="s">
        <v>19</v>
      </c>
      <c r="F363" t="s">
        <v>20</v>
      </c>
      <c r="G363" t="s">
        <v>20</v>
      </c>
      <c r="H363" t="s">
        <v>712</v>
      </c>
      <c r="I363">
        <v>7</v>
      </c>
      <c r="J363" t="s">
        <v>354</v>
      </c>
      <c r="K363" t="s">
        <v>39</v>
      </c>
      <c r="L363" t="str">
        <f t="shared" si="51"/>
        <v>Control</v>
      </c>
      <c r="Q363" t="s">
        <v>412</v>
      </c>
      <c r="R363" t="s">
        <v>709</v>
      </c>
      <c r="S363" t="s">
        <v>703</v>
      </c>
      <c r="T363" t="s">
        <v>615</v>
      </c>
      <c r="U363" s="4"/>
      <c r="V363" s="4"/>
      <c r="W363">
        <f>0.00000061/3600</f>
        <v>1.6944444444444445E-10</v>
      </c>
      <c r="Y363" s="3"/>
      <c r="Z363" s="3"/>
      <c r="AJ363" t="s">
        <v>359</v>
      </c>
    </row>
    <row r="364" spans="1:36" x14ac:dyDescent="0.25">
      <c r="A364" t="s">
        <v>76</v>
      </c>
      <c r="B364" t="s">
        <v>77</v>
      </c>
      <c r="C364" t="s">
        <v>78</v>
      </c>
      <c r="D364" t="s">
        <v>18</v>
      </c>
      <c r="E364" t="s">
        <v>19</v>
      </c>
      <c r="F364" t="s">
        <v>20</v>
      </c>
      <c r="G364" t="s">
        <v>20</v>
      </c>
      <c r="H364" t="s">
        <v>712</v>
      </c>
      <c r="I364">
        <v>7</v>
      </c>
      <c r="J364" t="s">
        <v>354</v>
      </c>
      <c r="K364" t="s">
        <v>79</v>
      </c>
      <c r="L364" t="str">
        <f t="shared" si="51"/>
        <v>Stress</v>
      </c>
      <c r="Q364" t="s">
        <v>412</v>
      </c>
      <c r="R364" t="s">
        <v>709</v>
      </c>
      <c r="S364" t="s">
        <v>703</v>
      </c>
      <c r="T364" t="s">
        <v>615</v>
      </c>
      <c r="U364" s="4"/>
      <c r="V364" s="4"/>
      <c r="W364">
        <f>0.0000018/3600</f>
        <v>4.9999999999999993E-10</v>
      </c>
      <c r="Y364" s="3"/>
      <c r="Z364" s="3"/>
      <c r="AJ364" t="s">
        <v>359</v>
      </c>
    </row>
    <row r="365" spans="1:36" x14ac:dyDescent="0.25">
      <c r="A365" t="s">
        <v>381</v>
      </c>
      <c r="B365" t="s">
        <v>16</v>
      </c>
      <c r="C365" t="s">
        <v>17</v>
      </c>
      <c r="D365" t="s">
        <v>18</v>
      </c>
      <c r="E365" t="s">
        <v>19</v>
      </c>
      <c r="F365" t="s">
        <v>20</v>
      </c>
      <c r="G365" t="s">
        <v>20</v>
      </c>
      <c r="H365" t="s">
        <v>712</v>
      </c>
      <c r="I365">
        <f>+AVERAGE(14,17)</f>
        <v>15.5</v>
      </c>
      <c r="J365" t="s">
        <v>406</v>
      </c>
      <c r="K365" t="s">
        <v>39</v>
      </c>
      <c r="L365" t="str">
        <f t="shared" si="51"/>
        <v>Control</v>
      </c>
      <c r="Q365" t="s">
        <v>412</v>
      </c>
      <c r="R365" t="s">
        <v>709</v>
      </c>
      <c r="S365" t="s">
        <v>703</v>
      </c>
      <c r="T365" t="s">
        <v>616</v>
      </c>
      <c r="U365" s="1"/>
      <c r="V365" s="1"/>
      <c r="W365" s="1"/>
      <c r="X365" s="1"/>
      <c r="Y365" s="1"/>
      <c r="Z365" s="1"/>
      <c r="AA365" s="1">
        <v>1.7700000000000001E-7</v>
      </c>
      <c r="AE365" s="2"/>
      <c r="AF365" s="2"/>
      <c r="AJ365" t="s">
        <v>352</v>
      </c>
    </row>
    <row r="366" spans="1:36" x14ac:dyDescent="0.25">
      <c r="A366" t="s">
        <v>381</v>
      </c>
      <c r="B366" t="s">
        <v>16</v>
      </c>
      <c r="C366" t="s">
        <v>17</v>
      </c>
      <c r="D366" t="s">
        <v>18</v>
      </c>
      <c r="E366" t="s">
        <v>19</v>
      </c>
      <c r="F366" t="s">
        <v>20</v>
      </c>
      <c r="G366" t="s">
        <v>20</v>
      </c>
      <c r="H366" t="s">
        <v>712</v>
      </c>
      <c r="I366">
        <f>+AVERAGE(14,17)</f>
        <v>15.5</v>
      </c>
      <c r="J366" t="s">
        <v>406</v>
      </c>
      <c r="K366" t="s">
        <v>711</v>
      </c>
      <c r="L366" t="str">
        <f t="shared" si="51"/>
        <v>Stress</v>
      </c>
      <c r="Q366" t="s">
        <v>412</v>
      </c>
      <c r="R366" t="s">
        <v>709</v>
      </c>
      <c r="S366" t="s">
        <v>703</v>
      </c>
      <c r="T366" t="s">
        <v>616</v>
      </c>
      <c r="U366" s="1"/>
      <c r="V366" s="1"/>
      <c r="W366" s="1"/>
      <c r="X366" s="1"/>
      <c r="Y366" s="1"/>
      <c r="Z366" s="1"/>
      <c r="AA366" s="1">
        <f>0.256*AA365</f>
        <v>4.5312000000000002E-8</v>
      </c>
      <c r="AE366" s="2"/>
      <c r="AF366" s="2"/>
      <c r="AJ366" t="s">
        <v>352</v>
      </c>
    </row>
    <row r="367" spans="1:36" x14ac:dyDescent="0.25">
      <c r="A367" t="s">
        <v>399</v>
      </c>
      <c r="B367" t="s">
        <v>16</v>
      </c>
      <c r="C367" t="s">
        <v>17</v>
      </c>
      <c r="D367" t="s">
        <v>18</v>
      </c>
      <c r="E367" t="s">
        <v>19</v>
      </c>
      <c r="F367" t="s">
        <v>20</v>
      </c>
      <c r="G367" t="s">
        <v>20</v>
      </c>
      <c r="H367" t="s">
        <v>712</v>
      </c>
      <c r="I367">
        <f>+AVERAGE(14,17)</f>
        <v>15.5</v>
      </c>
      <c r="J367" t="s">
        <v>778</v>
      </c>
      <c r="Q367" t="s">
        <v>412</v>
      </c>
      <c r="R367" t="s">
        <v>709</v>
      </c>
      <c r="S367" t="s">
        <v>703</v>
      </c>
      <c r="T367" t="s">
        <v>616</v>
      </c>
      <c r="U367" s="1" t="s">
        <v>755</v>
      </c>
      <c r="V367" s="1">
        <v>7.7999999999999999E-10</v>
      </c>
      <c r="W367" s="1"/>
      <c r="X367" s="1"/>
      <c r="Y367" s="1"/>
      <c r="Z367" s="1"/>
      <c r="AE367" s="2"/>
      <c r="AF367" s="2"/>
      <c r="AJ367" t="s">
        <v>352</v>
      </c>
    </row>
    <row r="368" spans="1:36" x14ac:dyDescent="0.25">
      <c r="A368" t="s">
        <v>80</v>
      </c>
      <c r="B368" t="s">
        <v>53</v>
      </c>
      <c r="C368" t="s">
        <v>54</v>
      </c>
      <c r="D368" t="s">
        <v>18</v>
      </c>
      <c r="E368" t="s">
        <v>31</v>
      </c>
      <c r="F368" t="s">
        <v>32</v>
      </c>
      <c r="G368" t="s">
        <v>32</v>
      </c>
      <c r="H368" t="s">
        <v>712</v>
      </c>
      <c r="I368">
        <f>22+5</f>
        <v>27</v>
      </c>
      <c r="J368" t="s">
        <v>468</v>
      </c>
      <c r="K368" t="s">
        <v>39</v>
      </c>
      <c r="L368" t="str">
        <f t="shared" ref="L368:L382" si="52">+IF(K368 = "Control", "Control", "Stress")</f>
        <v>Control</v>
      </c>
      <c r="Q368" t="s">
        <v>412</v>
      </c>
      <c r="R368" t="s">
        <v>709</v>
      </c>
      <c r="S368" t="s">
        <v>703</v>
      </c>
      <c r="T368" t="s">
        <v>615</v>
      </c>
      <c r="U368" s="1" t="s">
        <v>755</v>
      </c>
      <c r="V368" s="1">
        <f>[54]Hu_etal_2011_Fig4!$C$2</f>
        <v>1.2985074626865659E-9</v>
      </c>
      <c r="W368" s="1"/>
      <c r="X368" s="1"/>
      <c r="Y368" s="1"/>
      <c r="Z368" s="1"/>
      <c r="AC368" s="3">
        <f>[55]Hu_etal_2011_Fig9a!$C$3</f>
        <v>56.193939393939303</v>
      </c>
      <c r="AE368" s="2"/>
      <c r="AF368" s="2"/>
      <c r="AJ368" t="s">
        <v>203</v>
      </c>
    </row>
    <row r="369" spans="1:36" x14ac:dyDescent="0.25">
      <c r="A369" t="s">
        <v>80</v>
      </c>
      <c r="B369" t="s">
        <v>53</v>
      </c>
      <c r="C369" t="s">
        <v>54</v>
      </c>
      <c r="D369" t="s">
        <v>18</v>
      </c>
      <c r="E369" t="s">
        <v>31</v>
      </c>
      <c r="F369" t="s">
        <v>32</v>
      </c>
      <c r="G369" t="s">
        <v>32</v>
      </c>
      <c r="H369" t="s">
        <v>712</v>
      </c>
      <c r="I369">
        <f>22+5</f>
        <v>27</v>
      </c>
      <c r="J369" t="s">
        <v>468</v>
      </c>
      <c r="K369" t="s">
        <v>81</v>
      </c>
      <c r="L369" t="str">
        <f t="shared" si="52"/>
        <v>Stress</v>
      </c>
      <c r="Q369" t="s">
        <v>412</v>
      </c>
      <c r="R369" t="s">
        <v>709</v>
      </c>
      <c r="S369" t="s">
        <v>703</v>
      </c>
      <c r="T369" t="s">
        <v>615</v>
      </c>
      <c r="U369" s="1" t="s">
        <v>755</v>
      </c>
      <c r="V369" s="1">
        <f>[54]Hu_etal_2011_Fig4!$C$4</f>
        <v>1.276119402985076E-9</v>
      </c>
      <c r="W369" s="1"/>
      <c r="X369" s="1"/>
      <c r="Y369" s="1"/>
      <c r="Z369" s="1"/>
      <c r="AC369" s="3">
        <f>[55]Hu_etal_2011_Fig9a!$C$5</f>
        <v>50.860606060606003</v>
      </c>
      <c r="AE369" s="2"/>
      <c r="AF369" s="2"/>
      <c r="AJ369" t="s">
        <v>203</v>
      </c>
    </row>
    <row r="370" spans="1:36" x14ac:dyDescent="0.25">
      <c r="A370" t="s">
        <v>80</v>
      </c>
      <c r="B370" t="s">
        <v>53</v>
      </c>
      <c r="C370" t="s">
        <v>54</v>
      </c>
      <c r="D370" t="s">
        <v>18</v>
      </c>
      <c r="E370" t="s">
        <v>31</v>
      </c>
      <c r="F370" t="s">
        <v>32</v>
      </c>
      <c r="G370" t="s">
        <v>32</v>
      </c>
      <c r="H370" t="s">
        <v>712</v>
      </c>
      <c r="I370">
        <f>22+5</f>
        <v>27</v>
      </c>
      <c r="J370" t="s">
        <v>468</v>
      </c>
      <c r="K370" t="s">
        <v>82</v>
      </c>
      <c r="L370" t="str">
        <f t="shared" si="52"/>
        <v>Stress</v>
      </c>
      <c r="Q370" t="s">
        <v>412</v>
      </c>
      <c r="R370" t="s">
        <v>709</v>
      </c>
      <c r="S370" t="s">
        <v>703</v>
      </c>
      <c r="T370" t="s">
        <v>615</v>
      </c>
      <c r="U370" s="1" t="s">
        <v>755</v>
      </c>
      <c r="V370" s="1">
        <f>[54]Hu_etal_2011_Fig4!$C$6</f>
        <v>1.272388059701484E-9</v>
      </c>
      <c r="W370" s="1"/>
      <c r="X370" s="1"/>
      <c r="Y370" s="1"/>
      <c r="Z370" s="1"/>
      <c r="AC370" s="3">
        <f>[55]Hu_etal_2011_Fig9a!$C$7</f>
        <v>51.668686868686699</v>
      </c>
      <c r="AE370" s="2"/>
      <c r="AF370" s="2"/>
      <c r="AJ370" t="s">
        <v>203</v>
      </c>
    </row>
    <row r="371" spans="1:36" x14ac:dyDescent="0.25">
      <c r="A371" t="s">
        <v>80</v>
      </c>
      <c r="B371" t="s">
        <v>53</v>
      </c>
      <c r="C371" t="s">
        <v>54</v>
      </c>
      <c r="D371" t="s">
        <v>18</v>
      </c>
      <c r="E371" t="s">
        <v>31</v>
      </c>
      <c r="F371" t="s">
        <v>32</v>
      </c>
      <c r="G371" t="s">
        <v>32</v>
      </c>
      <c r="H371" t="s">
        <v>712</v>
      </c>
      <c r="I371">
        <f>22+35</f>
        <v>57</v>
      </c>
      <c r="J371" t="s">
        <v>468</v>
      </c>
      <c r="K371" t="s">
        <v>39</v>
      </c>
      <c r="L371" t="str">
        <f t="shared" si="52"/>
        <v>Control</v>
      </c>
      <c r="Q371" t="s">
        <v>412</v>
      </c>
      <c r="R371" t="s">
        <v>709</v>
      </c>
      <c r="S371" t="s">
        <v>703</v>
      </c>
      <c r="T371" t="s">
        <v>615</v>
      </c>
      <c r="U371" s="1" t="s">
        <v>755</v>
      </c>
      <c r="V371" s="1">
        <f>[54]Hu_etal_2011_Fig4!$C$7</f>
        <v>2.54477611940298E-9</v>
      </c>
      <c r="W371" s="1"/>
      <c r="X371" s="1"/>
      <c r="Y371" s="1"/>
      <c r="Z371" s="1"/>
      <c r="AC371" s="3">
        <f>[55]Hu_etal_2011_Fig9a!$C$9</f>
        <v>141.23636363636359</v>
      </c>
      <c r="AE371" s="2"/>
      <c r="AF371" s="2"/>
      <c r="AJ371" t="s">
        <v>203</v>
      </c>
    </row>
    <row r="372" spans="1:36" x14ac:dyDescent="0.25">
      <c r="A372" t="s">
        <v>80</v>
      </c>
      <c r="B372" t="s">
        <v>53</v>
      </c>
      <c r="C372" t="s">
        <v>54</v>
      </c>
      <c r="D372" t="s">
        <v>18</v>
      </c>
      <c r="E372" t="s">
        <v>31</v>
      </c>
      <c r="F372" t="s">
        <v>32</v>
      </c>
      <c r="G372" t="s">
        <v>32</v>
      </c>
      <c r="H372" t="s">
        <v>712</v>
      </c>
      <c r="I372">
        <f>22+35</f>
        <v>57</v>
      </c>
      <c r="J372" t="s">
        <v>468</v>
      </c>
      <c r="K372" t="s">
        <v>81</v>
      </c>
      <c r="L372" t="str">
        <f t="shared" si="52"/>
        <v>Stress</v>
      </c>
      <c r="Q372" t="s">
        <v>412</v>
      </c>
      <c r="R372" t="s">
        <v>709</v>
      </c>
      <c r="S372" t="s">
        <v>703</v>
      </c>
      <c r="T372" t="s">
        <v>615</v>
      </c>
      <c r="U372" s="1" t="s">
        <v>755</v>
      </c>
      <c r="V372" s="1">
        <f>[54]Hu_etal_2011_Fig4!$C$9</f>
        <v>2.4141791044776099E-9</v>
      </c>
      <c r="W372" s="1"/>
      <c r="X372" s="1"/>
      <c r="Y372" s="1"/>
      <c r="Z372" s="1"/>
      <c r="AC372" s="3">
        <f>[55]Hu_etal_2011_Fig9a!$C$11</f>
        <v>116.7999999999999</v>
      </c>
      <c r="AE372" s="2"/>
      <c r="AF372" s="2"/>
      <c r="AJ372" t="s">
        <v>203</v>
      </c>
    </row>
    <row r="373" spans="1:36" x14ac:dyDescent="0.25">
      <c r="A373" t="s">
        <v>80</v>
      </c>
      <c r="B373" t="s">
        <v>53</v>
      </c>
      <c r="C373" t="s">
        <v>54</v>
      </c>
      <c r="D373" t="s">
        <v>18</v>
      </c>
      <c r="E373" t="s">
        <v>31</v>
      </c>
      <c r="F373" t="s">
        <v>32</v>
      </c>
      <c r="G373" t="s">
        <v>32</v>
      </c>
      <c r="H373" t="s">
        <v>712</v>
      </c>
      <c r="I373">
        <f>22+35</f>
        <v>57</v>
      </c>
      <c r="J373" t="s">
        <v>468</v>
      </c>
      <c r="K373" t="s">
        <v>82</v>
      </c>
      <c r="L373" t="str">
        <f t="shared" si="52"/>
        <v>Stress</v>
      </c>
      <c r="Q373" t="s">
        <v>412</v>
      </c>
      <c r="R373" t="s">
        <v>709</v>
      </c>
      <c r="S373" t="s">
        <v>703</v>
      </c>
      <c r="T373" t="s">
        <v>615</v>
      </c>
      <c r="U373" s="1" t="s">
        <v>755</v>
      </c>
      <c r="V373" s="1">
        <f>[54]Hu_etal_2011_Fig4!$C$11</f>
        <v>2.8059701492537239E-9</v>
      </c>
      <c r="W373" s="1"/>
      <c r="X373" s="1"/>
      <c r="Y373" s="1"/>
      <c r="Z373" s="1"/>
      <c r="AC373" s="3">
        <f>[55]Hu_etal_2011_Fig9a!$C$13</f>
        <v>120.6787878787878</v>
      </c>
      <c r="AE373" s="2"/>
      <c r="AF373" s="2"/>
      <c r="AJ373" t="s">
        <v>203</v>
      </c>
    </row>
    <row r="374" spans="1:36" x14ac:dyDescent="0.25">
      <c r="A374" t="s">
        <v>83</v>
      </c>
      <c r="B374" t="s">
        <v>16</v>
      </c>
      <c r="C374" t="s">
        <v>17</v>
      </c>
      <c r="D374" t="s">
        <v>18</v>
      </c>
      <c r="E374" t="s">
        <v>19</v>
      </c>
      <c r="F374" t="s">
        <v>20</v>
      </c>
      <c r="G374" t="s">
        <v>20</v>
      </c>
      <c r="H374" t="s">
        <v>712</v>
      </c>
      <c r="I374">
        <v>4</v>
      </c>
      <c r="J374" t="s">
        <v>736</v>
      </c>
      <c r="K374" t="s">
        <v>39</v>
      </c>
      <c r="L374" t="str">
        <f t="shared" si="52"/>
        <v>Control</v>
      </c>
      <c r="Q374" t="s">
        <v>412</v>
      </c>
      <c r="R374" t="s">
        <v>709</v>
      </c>
      <c r="S374" t="s">
        <v>703</v>
      </c>
      <c r="T374" t="s">
        <v>615</v>
      </c>
      <c r="U374" s="1"/>
      <c r="V374" s="1"/>
      <c r="W374" s="1"/>
      <c r="X374" s="1"/>
      <c r="Y374" s="1"/>
      <c r="Z374" s="1"/>
      <c r="AA374" s="1">
        <f>[56]Horie_etal_2011_Fig7!B2</f>
        <v>5.1116389548693497E-7</v>
      </c>
      <c r="AE374" s="2"/>
      <c r="AF374" s="2"/>
      <c r="AJ374" t="s">
        <v>203</v>
      </c>
    </row>
    <row r="375" spans="1:36" x14ac:dyDescent="0.25">
      <c r="A375" t="s">
        <v>83</v>
      </c>
      <c r="B375" t="s">
        <v>16</v>
      </c>
      <c r="C375" t="s">
        <v>17</v>
      </c>
      <c r="D375" t="s">
        <v>18</v>
      </c>
      <c r="E375" t="s">
        <v>19</v>
      </c>
      <c r="F375" t="s">
        <v>20</v>
      </c>
      <c r="G375" t="s">
        <v>20</v>
      </c>
      <c r="H375" t="s">
        <v>712</v>
      </c>
      <c r="I375">
        <v>4</v>
      </c>
      <c r="J375" t="s">
        <v>736</v>
      </c>
      <c r="K375" t="s">
        <v>449</v>
      </c>
      <c r="L375" t="str">
        <f t="shared" si="52"/>
        <v>Stress</v>
      </c>
      <c r="M375" t="s">
        <v>737</v>
      </c>
      <c r="N375" t="s">
        <v>716</v>
      </c>
      <c r="Q375" t="s">
        <v>412</v>
      </c>
      <c r="R375" t="s">
        <v>709</v>
      </c>
      <c r="S375" t="s">
        <v>703</v>
      </c>
      <c r="T375" t="s">
        <v>615</v>
      </c>
      <c r="U375" s="1"/>
      <c r="V375" s="1"/>
      <c r="W375" s="1"/>
      <c r="X375" s="1"/>
      <c r="Y375" s="1"/>
      <c r="Z375" s="1"/>
      <c r="AA375" s="1">
        <f>[56]Horie_etal_2011_Fig7!B3</f>
        <v>3.3254156769596198E-7</v>
      </c>
      <c r="AE375" s="2"/>
      <c r="AF375" s="2"/>
      <c r="AJ375" t="s">
        <v>203</v>
      </c>
    </row>
    <row r="376" spans="1:36" x14ac:dyDescent="0.25">
      <c r="A376" t="s">
        <v>83</v>
      </c>
      <c r="B376" t="s">
        <v>16</v>
      </c>
      <c r="C376" t="s">
        <v>17</v>
      </c>
      <c r="D376" t="s">
        <v>18</v>
      </c>
      <c r="E376" t="s">
        <v>19</v>
      </c>
      <c r="F376" t="s">
        <v>20</v>
      </c>
      <c r="G376" t="s">
        <v>20</v>
      </c>
      <c r="H376" t="s">
        <v>712</v>
      </c>
      <c r="I376">
        <v>4</v>
      </c>
      <c r="J376" t="s">
        <v>736</v>
      </c>
      <c r="K376" t="s">
        <v>450</v>
      </c>
      <c r="L376" t="str">
        <f t="shared" si="52"/>
        <v>Stress</v>
      </c>
      <c r="M376" t="s">
        <v>737</v>
      </c>
      <c r="N376" t="s">
        <v>716</v>
      </c>
      <c r="Q376" t="s">
        <v>412</v>
      </c>
      <c r="R376" t="s">
        <v>709</v>
      </c>
      <c r="S376" t="s">
        <v>703</v>
      </c>
      <c r="T376" t="s">
        <v>615</v>
      </c>
      <c r="U376" s="1"/>
      <c r="V376" s="1"/>
      <c r="W376" s="1"/>
      <c r="X376" s="1"/>
      <c r="Y376" s="1"/>
      <c r="Z376" s="1"/>
      <c r="AA376" s="1">
        <f>[56]Horie_etal_2011_Fig7!B4</f>
        <v>3.0213776722090199E-7</v>
      </c>
      <c r="AE376" s="2"/>
      <c r="AF376" s="2"/>
      <c r="AJ376" t="s">
        <v>203</v>
      </c>
    </row>
    <row r="377" spans="1:36" x14ac:dyDescent="0.25">
      <c r="A377" t="s">
        <v>83</v>
      </c>
      <c r="B377" t="s">
        <v>16</v>
      </c>
      <c r="C377" t="s">
        <v>17</v>
      </c>
      <c r="D377" t="s">
        <v>18</v>
      </c>
      <c r="E377" t="s">
        <v>19</v>
      </c>
      <c r="F377" t="s">
        <v>20</v>
      </c>
      <c r="G377" t="s">
        <v>20</v>
      </c>
      <c r="H377" t="s">
        <v>712</v>
      </c>
      <c r="I377">
        <v>4</v>
      </c>
      <c r="J377" t="s">
        <v>736</v>
      </c>
      <c r="K377" t="s">
        <v>449</v>
      </c>
      <c r="L377" t="str">
        <f t="shared" si="52"/>
        <v>Stress</v>
      </c>
      <c r="M377" t="s">
        <v>738</v>
      </c>
      <c r="N377" t="s">
        <v>716</v>
      </c>
      <c r="Q377" t="s">
        <v>412</v>
      </c>
      <c r="R377" t="s">
        <v>709</v>
      </c>
      <c r="S377" t="s">
        <v>703</v>
      </c>
      <c r="T377" t="s">
        <v>615</v>
      </c>
      <c r="U377" s="1"/>
      <c r="V377" s="1"/>
      <c r="W377" s="1"/>
      <c r="X377" s="1"/>
      <c r="Y377" s="1"/>
      <c r="Z377" s="1"/>
      <c r="AA377" s="1">
        <f>[56]Horie_etal_2011_Fig7!B5</f>
        <v>2.0902612826603301E-8</v>
      </c>
      <c r="AE377" s="2"/>
      <c r="AF377" s="2"/>
      <c r="AJ377" t="s">
        <v>203</v>
      </c>
    </row>
    <row r="378" spans="1:36" x14ac:dyDescent="0.25">
      <c r="A378" t="s">
        <v>83</v>
      </c>
      <c r="B378" t="s">
        <v>16</v>
      </c>
      <c r="C378" t="s">
        <v>17</v>
      </c>
      <c r="D378" t="s">
        <v>18</v>
      </c>
      <c r="E378" t="s">
        <v>19</v>
      </c>
      <c r="F378" t="s">
        <v>20</v>
      </c>
      <c r="G378" t="s">
        <v>20</v>
      </c>
      <c r="H378" t="s">
        <v>712</v>
      </c>
      <c r="I378">
        <v>4</v>
      </c>
      <c r="J378" t="s">
        <v>736</v>
      </c>
      <c r="K378" t="s">
        <v>450</v>
      </c>
      <c r="L378" t="str">
        <f t="shared" si="52"/>
        <v>Stress</v>
      </c>
      <c r="M378" t="s">
        <v>738</v>
      </c>
      <c r="N378" t="s">
        <v>716</v>
      </c>
      <c r="Q378" t="s">
        <v>412</v>
      </c>
      <c r="R378" t="s">
        <v>709</v>
      </c>
      <c r="S378" t="s">
        <v>703</v>
      </c>
      <c r="T378" t="s">
        <v>615</v>
      </c>
      <c r="U378" s="1"/>
      <c r="V378" s="1"/>
      <c r="W378" s="1"/>
      <c r="X378" s="1"/>
      <c r="Y378" s="1"/>
      <c r="Z378" s="1"/>
      <c r="AA378" s="1">
        <f>[56]Horie_etal_2011_Fig7!B6</f>
        <v>6.8408551068883604E-8</v>
      </c>
      <c r="AE378" s="2"/>
      <c r="AF378" s="2"/>
      <c r="AJ378" t="s">
        <v>203</v>
      </c>
    </row>
    <row r="379" spans="1:36" x14ac:dyDescent="0.25">
      <c r="A379" t="s">
        <v>322</v>
      </c>
      <c r="B379" t="s">
        <v>16</v>
      </c>
      <c r="C379" t="s">
        <v>17</v>
      </c>
      <c r="D379" t="s">
        <v>18</v>
      </c>
      <c r="E379" t="s">
        <v>19</v>
      </c>
      <c r="F379" t="s">
        <v>20</v>
      </c>
      <c r="G379" t="s">
        <v>20</v>
      </c>
      <c r="H379" t="s">
        <v>712</v>
      </c>
      <c r="I379">
        <f>8+3</f>
        <v>11</v>
      </c>
      <c r="J379" t="s">
        <v>631</v>
      </c>
      <c r="K379" t="s">
        <v>39</v>
      </c>
      <c r="L379" t="str">
        <f t="shared" si="52"/>
        <v>Control</v>
      </c>
      <c r="M379" t="s">
        <v>451</v>
      </c>
      <c r="N379" t="s">
        <v>716</v>
      </c>
      <c r="Q379" t="s">
        <v>412</v>
      </c>
      <c r="R379" t="s">
        <v>709</v>
      </c>
      <c r="S379" t="s">
        <v>703</v>
      </c>
      <c r="T379" t="s">
        <v>616</v>
      </c>
      <c r="U379" s="1" t="s">
        <v>754</v>
      </c>
      <c r="V379" s="1">
        <f t="shared" ref="V379:V382" si="53">+W379*AF379</f>
        <v>2.0166666666666664E-10</v>
      </c>
      <c r="W379" s="1">
        <f>0.0000003/3600</f>
        <v>8.333333333333333E-11</v>
      </c>
      <c r="X379" s="1"/>
      <c r="Y379" s="1"/>
      <c r="Z379" s="1"/>
      <c r="AE379" s="2"/>
      <c r="AF379" s="2">
        <v>2.42</v>
      </c>
      <c r="AJ379" t="s">
        <v>352</v>
      </c>
    </row>
    <row r="380" spans="1:36" x14ac:dyDescent="0.25">
      <c r="A380" t="s">
        <v>322</v>
      </c>
      <c r="B380" t="s">
        <v>16</v>
      </c>
      <c r="C380" t="s">
        <v>17</v>
      </c>
      <c r="D380" t="s">
        <v>18</v>
      </c>
      <c r="E380" t="s">
        <v>19</v>
      </c>
      <c r="F380" t="s">
        <v>20</v>
      </c>
      <c r="G380" t="s">
        <v>20</v>
      </c>
      <c r="H380" t="s">
        <v>712</v>
      </c>
      <c r="I380">
        <f>8+3</f>
        <v>11</v>
      </c>
      <c r="J380" t="s">
        <v>631</v>
      </c>
      <c r="K380" t="s">
        <v>84</v>
      </c>
      <c r="L380" t="str">
        <f t="shared" si="52"/>
        <v>Stress</v>
      </c>
      <c r="M380" t="s">
        <v>451</v>
      </c>
      <c r="N380" t="s">
        <v>716</v>
      </c>
      <c r="Q380" t="s">
        <v>412</v>
      </c>
      <c r="R380" t="s">
        <v>709</v>
      </c>
      <c r="S380" t="s">
        <v>703</v>
      </c>
      <c r="T380" t="s">
        <v>616</v>
      </c>
      <c r="U380" s="1" t="s">
        <v>754</v>
      </c>
      <c r="V380" s="1">
        <f t="shared" si="53"/>
        <v>1.2541666666666667E-10</v>
      </c>
      <c r="W380" s="1">
        <f>0.000000215/3600</f>
        <v>5.9722222222222218E-11</v>
      </c>
      <c r="X380" s="1"/>
      <c r="Y380" s="1"/>
      <c r="Z380" s="1"/>
      <c r="AE380" s="2"/>
      <c r="AF380" s="2">
        <v>2.1</v>
      </c>
      <c r="AJ380" t="s">
        <v>352</v>
      </c>
    </row>
    <row r="381" spans="1:36" x14ac:dyDescent="0.25">
      <c r="A381" t="s">
        <v>322</v>
      </c>
      <c r="B381" t="s">
        <v>16</v>
      </c>
      <c r="C381" t="s">
        <v>17</v>
      </c>
      <c r="D381" t="s">
        <v>18</v>
      </c>
      <c r="E381" t="s">
        <v>19</v>
      </c>
      <c r="F381" t="s">
        <v>20</v>
      </c>
      <c r="G381" t="s">
        <v>20</v>
      </c>
      <c r="H381" t="s">
        <v>712</v>
      </c>
      <c r="I381">
        <f>8+3</f>
        <v>11</v>
      </c>
      <c r="J381" t="s">
        <v>631</v>
      </c>
      <c r="K381" t="s">
        <v>39</v>
      </c>
      <c r="L381" t="str">
        <f t="shared" si="52"/>
        <v>Control</v>
      </c>
      <c r="M381" t="s">
        <v>452</v>
      </c>
      <c r="N381" t="s">
        <v>716</v>
      </c>
      <c r="Q381" t="s">
        <v>412</v>
      </c>
      <c r="R381" t="s">
        <v>709</v>
      </c>
      <c r="S381" t="s">
        <v>703</v>
      </c>
      <c r="T381" t="s">
        <v>616</v>
      </c>
      <c r="U381" s="1" t="s">
        <v>754</v>
      </c>
      <c r="V381" s="1">
        <f t="shared" si="53"/>
        <v>2.4999999999999996E-10</v>
      </c>
      <c r="W381" s="1">
        <f>0.00000045/3600</f>
        <v>1.2499999999999998E-10</v>
      </c>
      <c r="X381" s="1"/>
      <c r="Y381" s="1"/>
      <c r="Z381" s="1"/>
      <c r="AE381" s="2"/>
      <c r="AF381" s="2">
        <v>2</v>
      </c>
      <c r="AJ381" t="s">
        <v>352</v>
      </c>
    </row>
    <row r="382" spans="1:36" x14ac:dyDescent="0.25">
      <c r="A382" t="s">
        <v>322</v>
      </c>
      <c r="B382" t="s">
        <v>16</v>
      </c>
      <c r="C382" t="s">
        <v>17</v>
      </c>
      <c r="D382" t="s">
        <v>18</v>
      </c>
      <c r="E382" t="s">
        <v>19</v>
      </c>
      <c r="F382" t="s">
        <v>20</v>
      </c>
      <c r="G382" t="s">
        <v>20</v>
      </c>
      <c r="H382" t="s">
        <v>712</v>
      </c>
      <c r="I382">
        <f>8+3</f>
        <v>11</v>
      </c>
      <c r="J382" t="s">
        <v>631</v>
      </c>
      <c r="K382" t="s">
        <v>84</v>
      </c>
      <c r="L382" t="str">
        <f t="shared" si="52"/>
        <v>Stress</v>
      </c>
      <c r="M382" t="s">
        <v>452</v>
      </c>
      <c r="N382" t="s">
        <v>716</v>
      </c>
      <c r="Q382" t="s">
        <v>412</v>
      </c>
      <c r="R382" t="s">
        <v>709</v>
      </c>
      <c r="S382" t="s">
        <v>703</v>
      </c>
      <c r="T382" t="s">
        <v>616</v>
      </c>
      <c r="U382" s="1" t="s">
        <v>754</v>
      </c>
      <c r="V382" s="1">
        <f t="shared" si="53"/>
        <v>1.4079999999999999E-10</v>
      </c>
      <c r="W382" s="1">
        <f>0.000000256/3600</f>
        <v>7.1111111111111115E-11</v>
      </c>
      <c r="X382" s="1"/>
      <c r="Y382" s="1"/>
      <c r="Z382" s="1"/>
      <c r="AE382" s="2"/>
      <c r="AF382" s="2">
        <v>1.98</v>
      </c>
      <c r="AJ382" t="s">
        <v>352</v>
      </c>
    </row>
    <row r="383" spans="1:36" x14ac:dyDescent="0.25">
      <c r="A383" t="s">
        <v>323</v>
      </c>
      <c r="B383" t="s">
        <v>241</v>
      </c>
      <c r="C383" t="s">
        <v>154</v>
      </c>
      <c r="D383" t="s">
        <v>155</v>
      </c>
      <c r="E383" t="s">
        <v>19</v>
      </c>
      <c r="F383" t="s">
        <v>72</v>
      </c>
      <c r="G383" t="s">
        <v>601</v>
      </c>
      <c r="H383" t="s">
        <v>713</v>
      </c>
      <c r="I383">
        <f>9*30</f>
        <v>270</v>
      </c>
      <c r="J383" t="s">
        <v>778</v>
      </c>
      <c r="Q383" t="s">
        <v>412</v>
      </c>
      <c r="R383" t="s">
        <v>709</v>
      </c>
      <c r="S383" t="s">
        <v>703</v>
      </c>
      <c r="T383" t="s">
        <v>615</v>
      </c>
      <c r="U383" s="1" t="s">
        <v>754</v>
      </c>
      <c r="V383" s="1">
        <f t="shared" ref="V383:V384" si="54">+X383*AE383</f>
        <v>2.31018E-8</v>
      </c>
      <c r="W383" s="1"/>
      <c r="X383" s="1">
        <v>2.7700000000000002E-9</v>
      </c>
      <c r="Y383" s="1"/>
      <c r="Z383" s="1"/>
      <c r="AE383" s="2">
        <v>8.34</v>
      </c>
      <c r="AF383" s="2"/>
      <c r="AJ383" t="s">
        <v>47</v>
      </c>
    </row>
    <row r="384" spans="1:36" x14ac:dyDescent="0.25">
      <c r="A384" t="s">
        <v>323</v>
      </c>
      <c r="B384" t="s">
        <v>240</v>
      </c>
      <c r="C384" t="s">
        <v>154</v>
      </c>
      <c r="D384" t="s">
        <v>155</v>
      </c>
      <c r="E384" t="s">
        <v>19</v>
      </c>
      <c r="F384" t="s">
        <v>72</v>
      </c>
      <c r="G384" t="s">
        <v>601</v>
      </c>
      <c r="H384" t="s">
        <v>713</v>
      </c>
      <c r="I384">
        <f>9*30</f>
        <v>270</v>
      </c>
      <c r="J384" t="s">
        <v>778</v>
      </c>
      <c r="Q384" t="s">
        <v>412</v>
      </c>
      <c r="R384" t="s">
        <v>709</v>
      </c>
      <c r="S384" t="s">
        <v>703</v>
      </c>
      <c r="T384" t="s">
        <v>615</v>
      </c>
      <c r="U384" s="1" t="s">
        <v>754</v>
      </c>
      <c r="V384" s="1">
        <f t="shared" si="54"/>
        <v>6.71874E-8</v>
      </c>
      <c r="W384" s="1"/>
      <c r="X384" s="1">
        <v>7.1399999999999997E-9</v>
      </c>
      <c r="Y384" s="1"/>
      <c r="Z384" s="1"/>
      <c r="AE384" s="2">
        <v>9.41</v>
      </c>
      <c r="AF384" s="2"/>
      <c r="AJ384" t="s">
        <v>47</v>
      </c>
    </row>
    <row r="385" spans="1:36" x14ac:dyDescent="0.25">
      <c r="A385" t="s">
        <v>325</v>
      </c>
      <c r="B385" t="s">
        <v>44</v>
      </c>
      <c r="C385" t="s">
        <v>45</v>
      </c>
      <c r="D385" t="s">
        <v>46</v>
      </c>
      <c r="E385" t="s">
        <v>19</v>
      </c>
      <c r="G385" t="s">
        <v>621</v>
      </c>
      <c r="H385" t="s">
        <v>714</v>
      </c>
      <c r="I385">
        <f t="shared" ref="I385:I392" si="55">3*30</f>
        <v>90</v>
      </c>
      <c r="J385" t="s">
        <v>701</v>
      </c>
      <c r="K385" t="s">
        <v>39</v>
      </c>
      <c r="L385" t="str">
        <f t="shared" ref="L385:L427" si="56">+IF(K385 = "Control", "Control", "Stress")</f>
        <v>Control</v>
      </c>
      <c r="M385" t="s">
        <v>461</v>
      </c>
      <c r="N385" t="s">
        <v>716</v>
      </c>
      <c r="O385" t="s">
        <v>491</v>
      </c>
      <c r="P385" t="s">
        <v>716</v>
      </c>
      <c r="Q385" t="s">
        <v>412</v>
      </c>
      <c r="R385" t="s">
        <v>709</v>
      </c>
      <c r="S385" t="s">
        <v>703</v>
      </c>
      <c r="T385" t="s">
        <v>615</v>
      </c>
      <c r="U385" s="1"/>
      <c r="V385" s="1"/>
      <c r="W385" s="1"/>
      <c r="X385" s="1">
        <f>[57]Vandeleur_etal_2009_Fig2!B2</f>
        <v>6.4454732510287996E-10</v>
      </c>
      <c r="AJ385" t="s">
        <v>47</v>
      </c>
    </row>
    <row r="386" spans="1:36" x14ac:dyDescent="0.25">
      <c r="A386" t="s">
        <v>325</v>
      </c>
      <c r="B386" t="s">
        <v>44</v>
      </c>
      <c r="C386" t="s">
        <v>45</v>
      </c>
      <c r="D386" t="s">
        <v>46</v>
      </c>
      <c r="E386" t="s">
        <v>19</v>
      </c>
      <c r="G386" t="s">
        <v>621</v>
      </c>
      <c r="H386" t="s">
        <v>714</v>
      </c>
      <c r="I386">
        <f t="shared" si="55"/>
        <v>90</v>
      </c>
      <c r="J386" t="s">
        <v>701</v>
      </c>
      <c r="K386" t="s">
        <v>39</v>
      </c>
      <c r="L386" t="str">
        <f t="shared" si="56"/>
        <v>Control</v>
      </c>
      <c r="M386" t="s">
        <v>461</v>
      </c>
      <c r="N386" t="s">
        <v>716</v>
      </c>
      <c r="O386" t="s">
        <v>497</v>
      </c>
      <c r="P386" t="s">
        <v>716</v>
      </c>
      <c r="Q386" t="s">
        <v>412</v>
      </c>
      <c r="R386" t="s">
        <v>709</v>
      </c>
      <c r="S386" t="s">
        <v>703</v>
      </c>
      <c r="T386" t="s">
        <v>615</v>
      </c>
      <c r="U386" s="1"/>
      <c r="V386" s="1"/>
      <c r="W386" s="1"/>
      <c r="X386" s="1">
        <f>[57]Vandeleur_etal_2009_Fig2!B3</f>
        <v>1.3143004115226301E-9</v>
      </c>
      <c r="AJ386" t="s">
        <v>47</v>
      </c>
    </row>
    <row r="387" spans="1:36" x14ac:dyDescent="0.25">
      <c r="A387" t="s">
        <v>325</v>
      </c>
      <c r="B387" t="s">
        <v>44</v>
      </c>
      <c r="C387" t="s">
        <v>45</v>
      </c>
      <c r="D387" t="s">
        <v>46</v>
      </c>
      <c r="E387" t="s">
        <v>19</v>
      </c>
      <c r="G387" t="s">
        <v>621</v>
      </c>
      <c r="H387" t="s">
        <v>714</v>
      </c>
      <c r="I387">
        <f t="shared" si="55"/>
        <v>90</v>
      </c>
      <c r="J387" t="s">
        <v>701</v>
      </c>
      <c r="K387" t="s">
        <v>39</v>
      </c>
      <c r="L387" t="str">
        <f t="shared" si="56"/>
        <v>Control</v>
      </c>
      <c r="M387" t="s">
        <v>462</v>
      </c>
      <c r="N387" t="s">
        <v>716</v>
      </c>
      <c r="O387" t="s">
        <v>491</v>
      </c>
      <c r="P387" t="s">
        <v>716</v>
      </c>
      <c r="Q387" t="s">
        <v>412</v>
      </c>
      <c r="R387" t="s">
        <v>709</v>
      </c>
      <c r="S387" t="s">
        <v>703</v>
      </c>
      <c r="T387" t="s">
        <v>615</v>
      </c>
      <c r="U387" s="1"/>
      <c r="V387" s="1"/>
      <c r="W387" s="1"/>
      <c r="X387" s="1">
        <f>[57]Vandeleur_etal_2009_Fig2!B4</f>
        <v>5.14917695473251E-10</v>
      </c>
      <c r="AJ387" t="s">
        <v>47</v>
      </c>
    </row>
    <row r="388" spans="1:36" x14ac:dyDescent="0.25">
      <c r="A388" t="s">
        <v>325</v>
      </c>
      <c r="B388" t="s">
        <v>44</v>
      </c>
      <c r="C388" t="s">
        <v>45</v>
      </c>
      <c r="D388" t="s">
        <v>46</v>
      </c>
      <c r="E388" t="s">
        <v>19</v>
      </c>
      <c r="G388" t="s">
        <v>621</v>
      </c>
      <c r="H388" t="s">
        <v>714</v>
      </c>
      <c r="I388">
        <f t="shared" si="55"/>
        <v>90</v>
      </c>
      <c r="J388" t="s">
        <v>701</v>
      </c>
      <c r="K388" t="s">
        <v>39</v>
      </c>
      <c r="L388" t="str">
        <f t="shared" si="56"/>
        <v>Control</v>
      </c>
      <c r="M388" t="s">
        <v>462</v>
      </c>
      <c r="N388" t="s">
        <v>716</v>
      </c>
      <c r="O388" t="s">
        <v>497</v>
      </c>
      <c r="P388" t="s">
        <v>716</v>
      </c>
      <c r="Q388" t="s">
        <v>412</v>
      </c>
      <c r="R388" t="s">
        <v>709</v>
      </c>
      <c r="S388" t="s">
        <v>703</v>
      </c>
      <c r="T388" t="s">
        <v>615</v>
      </c>
      <c r="U388" s="1"/>
      <c r="V388" s="1"/>
      <c r="W388" s="1"/>
      <c r="X388" s="1">
        <f>[57]Vandeleur_etal_2009_Fig2!B5</f>
        <v>1.11985596707818E-9</v>
      </c>
      <c r="AJ388" t="s">
        <v>47</v>
      </c>
    </row>
    <row r="389" spans="1:36" x14ac:dyDescent="0.25">
      <c r="A389" t="s">
        <v>325</v>
      </c>
      <c r="B389" t="s">
        <v>44</v>
      </c>
      <c r="C389" t="s">
        <v>45</v>
      </c>
      <c r="D389" t="s">
        <v>46</v>
      </c>
      <c r="E389" t="s">
        <v>19</v>
      </c>
      <c r="G389" t="s">
        <v>621</v>
      </c>
      <c r="H389" t="s">
        <v>714</v>
      </c>
      <c r="I389">
        <f t="shared" si="55"/>
        <v>90</v>
      </c>
      <c r="J389" t="s">
        <v>701</v>
      </c>
      <c r="K389" t="s">
        <v>51</v>
      </c>
      <c r="L389" t="str">
        <f t="shared" si="56"/>
        <v>Stress</v>
      </c>
      <c r="M389" t="s">
        <v>461</v>
      </c>
      <c r="N389" t="s">
        <v>716</v>
      </c>
      <c r="O389" t="s">
        <v>491</v>
      </c>
      <c r="P389" t="s">
        <v>716</v>
      </c>
      <c r="Q389" t="s">
        <v>412</v>
      </c>
      <c r="R389" t="s">
        <v>709</v>
      </c>
      <c r="S389" t="s">
        <v>703</v>
      </c>
      <c r="T389" t="s">
        <v>615</v>
      </c>
      <c r="U389" s="1"/>
      <c r="V389" s="1"/>
      <c r="W389" s="1"/>
      <c r="X389" s="1">
        <f>[57]Vandeleur_etal_2009_Fig2!B6</f>
        <v>1.26028806584362E-10</v>
      </c>
      <c r="AJ389" t="s">
        <v>47</v>
      </c>
    </row>
    <row r="390" spans="1:36" x14ac:dyDescent="0.25">
      <c r="A390" t="s">
        <v>325</v>
      </c>
      <c r="B390" t="s">
        <v>44</v>
      </c>
      <c r="C390" t="s">
        <v>45</v>
      </c>
      <c r="D390" t="s">
        <v>46</v>
      </c>
      <c r="E390" t="s">
        <v>19</v>
      </c>
      <c r="G390" t="s">
        <v>621</v>
      </c>
      <c r="H390" t="s">
        <v>714</v>
      </c>
      <c r="I390">
        <f t="shared" si="55"/>
        <v>90</v>
      </c>
      <c r="J390" t="s">
        <v>701</v>
      </c>
      <c r="K390" t="s">
        <v>51</v>
      </c>
      <c r="L390" t="str">
        <f t="shared" si="56"/>
        <v>Stress</v>
      </c>
      <c r="M390" t="s">
        <v>461</v>
      </c>
      <c r="N390" t="s">
        <v>716</v>
      </c>
      <c r="O390" t="s">
        <v>497</v>
      </c>
      <c r="P390" t="s">
        <v>716</v>
      </c>
      <c r="Q390" t="s">
        <v>412</v>
      </c>
      <c r="R390" t="s">
        <v>709</v>
      </c>
      <c r="S390" t="s">
        <v>703</v>
      </c>
      <c r="T390" t="s">
        <v>615</v>
      </c>
      <c r="U390" s="1"/>
      <c r="V390" s="1"/>
      <c r="W390" s="1"/>
      <c r="X390" s="1">
        <f>[57]Vandeleur_etal_2009_Fig2!B7</f>
        <v>7.0216049382715996E-10</v>
      </c>
      <c r="AJ390" t="s">
        <v>47</v>
      </c>
    </row>
    <row r="391" spans="1:36" x14ac:dyDescent="0.25">
      <c r="A391" t="s">
        <v>325</v>
      </c>
      <c r="B391" t="s">
        <v>44</v>
      </c>
      <c r="C391" t="s">
        <v>45</v>
      </c>
      <c r="D391" t="s">
        <v>46</v>
      </c>
      <c r="E391" t="s">
        <v>19</v>
      </c>
      <c r="G391" t="s">
        <v>621</v>
      </c>
      <c r="H391" t="s">
        <v>714</v>
      </c>
      <c r="I391">
        <f t="shared" si="55"/>
        <v>90</v>
      </c>
      <c r="J391" t="s">
        <v>701</v>
      </c>
      <c r="K391" t="s">
        <v>51</v>
      </c>
      <c r="L391" t="str">
        <f t="shared" si="56"/>
        <v>Stress</v>
      </c>
      <c r="M391" t="s">
        <v>462</v>
      </c>
      <c r="N391" t="s">
        <v>716</v>
      </c>
      <c r="O391" t="s">
        <v>491</v>
      </c>
      <c r="P391" t="s">
        <v>716</v>
      </c>
      <c r="Q391" t="s">
        <v>412</v>
      </c>
      <c r="R391" t="s">
        <v>709</v>
      </c>
      <c r="S391" t="s">
        <v>703</v>
      </c>
      <c r="T391" t="s">
        <v>615</v>
      </c>
      <c r="U391" s="1"/>
      <c r="V391" s="1"/>
      <c r="W391" s="1"/>
      <c r="X391" s="1">
        <f>[57]Vandeleur_etal_2009_Fig2!B8</f>
        <v>1.1882716049382699E-10</v>
      </c>
      <c r="AJ391" t="s">
        <v>47</v>
      </c>
    </row>
    <row r="392" spans="1:36" x14ac:dyDescent="0.25">
      <c r="A392" t="s">
        <v>325</v>
      </c>
      <c r="B392" t="s">
        <v>44</v>
      </c>
      <c r="C392" t="s">
        <v>45</v>
      </c>
      <c r="D392" t="s">
        <v>46</v>
      </c>
      <c r="E392" t="s">
        <v>19</v>
      </c>
      <c r="G392" t="s">
        <v>621</v>
      </c>
      <c r="H392" t="s">
        <v>714</v>
      </c>
      <c r="I392">
        <f t="shared" si="55"/>
        <v>90</v>
      </c>
      <c r="J392" t="s">
        <v>701</v>
      </c>
      <c r="K392" t="s">
        <v>51</v>
      </c>
      <c r="L392" t="str">
        <f t="shared" si="56"/>
        <v>Stress</v>
      </c>
      <c r="M392" t="s">
        <v>462</v>
      </c>
      <c r="N392" t="s">
        <v>716</v>
      </c>
      <c r="O392" t="s">
        <v>497</v>
      </c>
      <c r="P392" t="s">
        <v>716</v>
      </c>
      <c r="Q392" t="s">
        <v>412</v>
      </c>
      <c r="R392" t="s">
        <v>709</v>
      </c>
      <c r="S392" t="s">
        <v>703</v>
      </c>
      <c r="T392" t="s">
        <v>615</v>
      </c>
      <c r="U392" s="1"/>
      <c r="V392" s="1"/>
      <c r="W392" s="1"/>
      <c r="X392" s="1">
        <f>[57]Vandeleur_etal_2009_Fig2!B9</f>
        <v>2.5565843621399098E-10</v>
      </c>
      <c r="AJ392" t="s">
        <v>47</v>
      </c>
    </row>
    <row r="393" spans="1:36" x14ac:dyDescent="0.25">
      <c r="A393" t="s">
        <v>324</v>
      </c>
      <c r="B393" t="s">
        <v>53</v>
      </c>
      <c r="C393" t="s">
        <v>54</v>
      </c>
      <c r="D393" t="s">
        <v>18</v>
      </c>
      <c r="E393" t="s">
        <v>31</v>
      </c>
      <c r="F393" t="s">
        <v>32</v>
      </c>
      <c r="G393" t="s">
        <v>32</v>
      </c>
      <c r="H393" t="s">
        <v>712</v>
      </c>
      <c r="I393">
        <f t="shared" ref="I393:I400" si="57">+AVERAGE(53,56)</f>
        <v>54.5</v>
      </c>
      <c r="J393" t="s">
        <v>663</v>
      </c>
      <c r="K393" t="s">
        <v>39</v>
      </c>
      <c r="L393" t="str">
        <f t="shared" si="56"/>
        <v>Control</v>
      </c>
      <c r="M393" t="s">
        <v>39</v>
      </c>
      <c r="N393" t="str">
        <f t="shared" ref="N393:N412" si="58">+IF(M393="Control","Control","Stress")</f>
        <v>Control</v>
      </c>
      <c r="O393" t="s">
        <v>214</v>
      </c>
      <c r="P393" t="s">
        <v>716</v>
      </c>
      <c r="Q393" t="s">
        <v>412</v>
      </c>
      <c r="R393" t="s">
        <v>709</v>
      </c>
      <c r="S393" t="s">
        <v>703</v>
      </c>
      <c r="T393" t="s">
        <v>616</v>
      </c>
      <c r="U393" s="1" t="s">
        <v>754</v>
      </c>
      <c r="V393" s="1">
        <f t="shared" ref="V393:V400" si="59">+X393*AE393</f>
        <v>1.3752598752598725E-10</v>
      </c>
      <c r="W393" s="1"/>
      <c r="X393" s="1">
        <f>'[58]Ruiz-Lozano_etal_2009_Fig1b'!C2</f>
        <v>5.0935550935550834E-11</v>
      </c>
      <c r="AE393">
        <v>2.7</v>
      </c>
      <c r="AJ393" t="s">
        <v>352</v>
      </c>
    </row>
    <row r="394" spans="1:36" x14ac:dyDescent="0.25">
      <c r="A394" t="s">
        <v>324</v>
      </c>
      <c r="B394" t="s">
        <v>53</v>
      </c>
      <c r="C394" t="s">
        <v>54</v>
      </c>
      <c r="D394" t="s">
        <v>18</v>
      </c>
      <c r="E394" t="s">
        <v>31</v>
      </c>
      <c r="F394" t="s">
        <v>32</v>
      </c>
      <c r="G394" t="s">
        <v>32</v>
      </c>
      <c r="H394" t="s">
        <v>712</v>
      </c>
      <c r="I394">
        <f t="shared" si="57"/>
        <v>54.5</v>
      </c>
      <c r="J394" t="s">
        <v>663</v>
      </c>
      <c r="K394" t="s">
        <v>39</v>
      </c>
      <c r="L394" t="str">
        <f t="shared" si="56"/>
        <v>Control</v>
      </c>
      <c r="M394" t="s">
        <v>39</v>
      </c>
      <c r="N394" t="str">
        <f t="shared" si="58"/>
        <v>Control</v>
      </c>
      <c r="O394" t="s">
        <v>353</v>
      </c>
      <c r="P394" t="s">
        <v>716</v>
      </c>
      <c r="Q394" t="s">
        <v>412</v>
      </c>
      <c r="R394" t="s">
        <v>709</v>
      </c>
      <c r="S394" t="s">
        <v>703</v>
      </c>
      <c r="T394" t="s">
        <v>616</v>
      </c>
      <c r="U394" s="1" t="s">
        <v>754</v>
      </c>
      <c r="V394" s="1">
        <f t="shared" si="59"/>
        <v>1.0841995841995811E-10</v>
      </c>
      <c r="W394" s="1"/>
      <c r="X394" s="1">
        <f>'[58]Ruiz-Lozano_etal_2009_Fig1b'!C3</f>
        <v>3.8721413721413614E-11</v>
      </c>
      <c r="AE394">
        <v>2.8</v>
      </c>
      <c r="AJ394" t="s">
        <v>352</v>
      </c>
    </row>
    <row r="395" spans="1:36" x14ac:dyDescent="0.25">
      <c r="A395" t="s">
        <v>324</v>
      </c>
      <c r="B395" t="s">
        <v>53</v>
      </c>
      <c r="C395" t="s">
        <v>54</v>
      </c>
      <c r="D395" t="s">
        <v>18</v>
      </c>
      <c r="E395" t="s">
        <v>31</v>
      </c>
      <c r="F395" t="s">
        <v>32</v>
      </c>
      <c r="G395" t="s">
        <v>32</v>
      </c>
      <c r="H395" t="s">
        <v>712</v>
      </c>
      <c r="I395">
        <f t="shared" si="57"/>
        <v>54.5</v>
      </c>
      <c r="J395" t="s">
        <v>663</v>
      </c>
      <c r="K395" t="s">
        <v>39</v>
      </c>
      <c r="L395" t="str">
        <f t="shared" si="56"/>
        <v>Control</v>
      </c>
      <c r="M395" t="s">
        <v>79</v>
      </c>
      <c r="N395" t="str">
        <f t="shared" si="58"/>
        <v>Stress</v>
      </c>
      <c r="O395" t="s">
        <v>214</v>
      </c>
      <c r="P395" t="s">
        <v>716</v>
      </c>
      <c r="Q395" t="s">
        <v>412</v>
      </c>
      <c r="R395" t="s">
        <v>709</v>
      </c>
      <c r="S395" t="s">
        <v>703</v>
      </c>
      <c r="T395" t="s">
        <v>616</v>
      </c>
      <c r="U395" s="1" t="s">
        <v>754</v>
      </c>
      <c r="V395" s="1">
        <f t="shared" si="59"/>
        <v>3.2538981288981258E-10</v>
      </c>
      <c r="W395" s="1"/>
      <c r="X395" s="1">
        <f>'[58]Ruiz-Lozano_etal_2009_Fig1b'!C4</f>
        <v>1.7125779625779609E-10</v>
      </c>
      <c r="AE395">
        <v>1.9</v>
      </c>
      <c r="AJ395" t="s">
        <v>352</v>
      </c>
    </row>
    <row r="396" spans="1:36" x14ac:dyDescent="0.25">
      <c r="A396" t="s">
        <v>324</v>
      </c>
      <c r="B396" t="s">
        <v>53</v>
      </c>
      <c r="C396" t="s">
        <v>54</v>
      </c>
      <c r="D396" t="s">
        <v>18</v>
      </c>
      <c r="E396" t="s">
        <v>31</v>
      </c>
      <c r="F396" t="s">
        <v>32</v>
      </c>
      <c r="G396" t="s">
        <v>32</v>
      </c>
      <c r="H396" t="s">
        <v>712</v>
      </c>
      <c r="I396">
        <f t="shared" si="57"/>
        <v>54.5</v>
      </c>
      <c r="J396" t="s">
        <v>663</v>
      </c>
      <c r="K396" t="s">
        <v>39</v>
      </c>
      <c r="L396" t="str">
        <f t="shared" si="56"/>
        <v>Control</v>
      </c>
      <c r="M396" t="s">
        <v>79</v>
      </c>
      <c r="N396" t="str">
        <f t="shared" si="58"/>
        <v>Stress</v>
      </c>
      <c r="O396" t="s">
        <v>353</v>
      </c>
      <c r="P396" t="s">
        <v>716</v>
      </c>
      <c r="Q396" t="s">
        <v>412</v>
      </c>
      <c r="R396" t="s">
        <v>709</v>
      </c>
      <c r="S396" t="s">
        <v>703</v>
      </c>
      <c r="T396" t="s">
        <v>616</v>
      </c>
      <c r="U396" s="1" t="s">
        <v>754</v>
      </c>
      <c r="V396" s="1">
        <f t="shared" si="59"/>
        <v>2.0816008316008301E-10</v>
      </c>
      <c r="W396" s="1"/>
      <c r="X396" s="1">
        <f>'[58]Ruiz-Lozano_etal_2009_Fig1b'!C5</f>
        <v>1.1564449064449056E-10</v>
      </c>
      <c r="AE396">
        <v>1.8</v>
      </c>
      <c r="AJ396" t="s">
        <v>352</v>
      </c>
    </row>
    <row r="397" spans="1:36" x14ac:dyDescent="0.25">
      <c r="A397" t="s">
        <v>324</v>
      </c>
      <c r="B397" t="s">
        <v>53</v>
      </c>
      <c r="C397" t="s">
        <v>54</v>
      </c>
      <c r="D397" t="s">
        <v>18</v>
      </c>
      <c r="E397" t="s">
        <v>31</v>
      </c>
      <c r="F397" t="s">
        <v>32</v>
      </c>
      <c r="G397" t="s">
        <v>32</v>
      </c>
      <c r="H397" t="s">
        <v>712</v>
      </c>
      <c r="I397">
        <f t="shared" si="57"/>
        <v>54.5</v>
      </c>
      <c r="J397" t="s">
        <v>663</v>
      </c>
      <c r="K397" t="s">
        <v>51</v>
      </c>
      <c r="L397" t="str">
        <f t="shared" si="56"/>
        <v>Stress</v>
      </c>
      <c r="M397" t="s">
        <v>39</v>
      </c>
      <c r="N397" t="str">
        <f t="shared" si="58"/>
        <v>Control</v>
      </c>
      <c r="O397" t="s">
        <v>214</v>
      </c>
      <c r="P397" t="s">
        <v>716</v>
      </c>
      <c r="Q397" t="s">
        <v>412</v>
      </c>
      <c r="R397" t="s">
        <v>709</v>
      </c>
      <c r="S397" t="s">
        <v>703</v>
      </c>
      <c r="T397" t="s">
        <v>616</v>
      </c>
      <c r="U397" s="1" t="s">
        <v>754</v>
      </c>
      <c r="V397" s="1">
        <f t="shared" si="59"/>
        <v>6.3929313929313886E-11</v>
      </c>
      <c r="W397" s="1"/>
      <c r="X397" s="1">
        <f>'[58]Ruiz-Lozano_etal_2009_Fig1b'!C6</f>
        <v>3.1964656964656943E-11</v>
      </c>
      <c r="AE397">
        <v>2</v>
      </c>
      <c r="AJ397" t="s">
        <v>352</v>
      </c>
    </row>
    <row r="398" spans="1:36" x14ac:dyDescent="0.25">
      <c r="A398" t="s">
        <v>324</v>
      </c>
      <c r="B398" t="s">
        <v>53</v>
      </c>
      <c r="C398" t="s">
        <v>54</v>
      </c>
      <c r="D398" t="s">
        <v>18</v>
      </c>
      <c r="E398" t="s">
        <v>31</v>
      </c>
      <c r="F398" t="s">
        <v>32</v>
      </c>
      <c r="G398" t="s">
        <v>32</v>
      </c>
      <c r="H398" t="s">
        <v>712</v>
      </c>
      <c r="I398">
        <f t="shared" si="57"/>
        <v>54.5</v>
      </c>
      <c r="J398" t="s">
        <v>663</v>
      </c>
      <c r="K398" t="s">
        <v>51</v>
      </c>
      <c r="L398" t="str">
        <f t="shared" si="56"/>
        <v>Stress</v>
      </c>
      <c r="M398" t="s">
        <v>39</v>
      </c>
      <c r="N398" t="str">
        <f t="shared" si="58"/>
        <v>Control</v>
      </c>
      <c r="O398" t="s">
        <v>353</v>
      </c>
      <c r="P398" t="s">
        <v>716</v>
      </c>
      <c r="Q398" t="s">
        <v>412</v>
      </c>
      <c r="R398" t="s">
        <v>709</v>
      </c>
      <c r="S398" t="s">
        <v>703</v>
      </c>
      <c r="T398" t="s">
        <v>616</v>
      </c>
      <c r="U398" s="1" t="s">
        <v>754</v>
      </c>
      <c r="V398" s="1">
        <f t="shared" si="59"/>
        <v>1.9100831600831632E-11</v>
      </c>
      <c r="W398" s="1"/>
      <c r="X398" s="1">
        <f>'[58]Ruiz-Lozano_etal_2009_Fig1b'!C7</f>
        <v>9.0956340956341097E-12</v>
      </c>
      <c r="AE398">
        <v>2.1</v>
      </c>
      <c r="AJ398" t="s">
        <v>352</v>
      </c>
    </row>
    <row r="399" spans="1:36" x14ac:dyDescent="0.25">
      <c r="A399" t="s">
        <v>324</v>
      </c>
      <c r="B399" t="s">
        <v>53</v>
      </c>
      <c r="C399" t="s">
        <v>54</v>
      </c>
      <c r="D399" t="s">
        <v>18</v>
      </c>
      <c r="E399" t="s">
        <v>31</v>
      </c>
      <c r="F399" t="s">
        <v>32</v>
      </c>
      <c r="G399" t="s">
        <v>32</v>
      </c>
      <c r="H399" t="s">
        <v>712</v>
      </c>
      <c r="I399">
        <f t="shared" si="57"/>
        <v>54.5</v>
      </c>
      <c r="J399" t="s">
        <v>663</v>
      </c>
      <c r="K399" t="s">
        <v>51</v>
      </c>
      <c r="L399" t="str">
        <f t="shared" si="56"/>
        <v>Stress</v>
      </c>
      <c r="M399" t="s">
        <v>79</v>
      </c>
      <c r="N399" t="str">
        <f t="shared" si="58"/>
        <v>Stress</v>
      </c>
      <c r="O399" t="s">
        <v>214</v>
      </c>
      <c r="P399" t="s">
        <v>716</v>
      </c>
      <c r="Q399" t="s">
        <v>412</v>
      </c>
      <c r="R399" t="s">
        <v>709</v>
      </c>
      <c r="S399" t="s">
        <v>703</v>
      </c>
      <c r="T399" t="s">
        <v>616</v>
      </c>
      <c r="U399" s="1" t="s">
        <v>754</v>
      </c>
      <c r="V399" s="1">
        <f t="shared" si="59"/>
        <v>3.0171517671517666E-10</v>
      </c>
      <c r="W399" s="1"/>
      <c r="X399" s="1">
        <f>'[58]Ruiz-Lozano_etal_2009_Fig1b'!C8</f>
        <v>1.0057172557172555E-10</v>
      </c>
      <c r="AE399">
        <v>3</v>
      </c>
      <c r="AJ399" t="s">
        <v>352</v>
      </c>
    </row>
    <row r="400" spans="1:36" x14ac:dyDescent="0.25">
      <c r="A400" t="s">
        <v>324</v>
      </c>
      <c r="B400" t="s">
        <v>53</v>
      </c>
      <c r="C400" t="s">
        <v>54</v>
      </c>
      <c r="D400" t="s">
        <v>18</v>
      </c>
      <c r="E400" t="s">
        <v>31</v>
      </c>
      <c r="F400" t="s">
        <v>32</v>
      </c>
      <c r="G400" t="s">
        <v>32</v>
      </c>
      <c r="H400" t="s">
        <v>712</v>
      </c>
      <c r="I400">
        <f t="shared" si="57"/>
        <v>54.5</v>
      </c>
      <c r="J400" t="s">
        <v>663</v>
      </c>
      <c r="K400" t="s">
        <v>51</v>
      </c>
      <c r="L400" t="str">
        <f t="shared" si="56"/>
        <v>Stress</v>
      </c>
      <c r="M400" t="s">
        <v>79</v>
      </c>
      <c r="N400" t="str">
        <f t="shared" si="58"/>
        <v>Stress</v>
      </c>
      <c r="O400" t="s">
        <v>353</v>
      </c>
      <c r="P400" t="s">
        <v>716</v>
      </c>
      <c r="Q400" t="s">
        <v>412</v>
      </c>
      <c r="R400" t="s">
        <v>709</v>
      </c>
      <c r="S400" t="s">
        <v>703</v>
      </c>
      <c r="T400" t="s">
        <v>616</v>
      </c>
      <c r="U400" s="1" t="s">
        <v>754</v>
      </c>
      <c r="V400" s="1">
        <f t="shared" si="59"/>
        <v>1.1177234927234929E-10</v>
      </c>
      <c r="W400" s="1"/>
      <c r="X400" s="1">
        <f>'[58]Ruiz-Lozano_etal_2009_Fig1b'!C9</f>
        <v>4.8596673596673607E-11</v>
      </c>
      <c r="AE400">
        <v>2.2999999999999998</v>
      </c>
      <c r="AJ400" t="s">
        <v>352</v>
      </c>
    </row>
    <row r="401" spans="1:36" x14ac:dyDescent="0.25">
      <c r="A401" t="s">
        <v>382</v>
      </c>
      <c r="B401" t="s">
        <v>53</v>
      </c>
      <c r="C401" t="s">
        <v>54</v>
      </c>
      <c r="D401" t="s">
        <v>18</v>
      </c>
      <c r="E401" t="s">
        <v>31</v>
      </c>
      <c r="F401" t="s">
        <v>32</v>
      </c>
      <c r="G401" t="s">
        <v>32</v>
      </c>
      <c r="H401" t="s">
        <v>712</v>
      </c>
      <c r="I401">
        <f t="shared" ref="I401:I412" si="60">+AVERAGE(3,4)*7</f>
        <v>24.5</v>
      </c>
      <c r="J401" t="s">
        <v>463</v>
      </c>
      <c r="K401" t="s">
        <v>39</v>
      </c>
      <c r="L401" t="str">
        <f t="shared" si="56"/>
        <v>Control</v>
      </c>
      <c r="M401" t="s">
        <v>464</v>
      </c>
      <c r="N401" t="str">
        <f t="shared" si="58"/>
        <v>Stress</v>
      </c>
      <c r="Q401" t="s">
        <v>412</v>
      </c>
      <c r="R401" t="s">
        <v>709</v>
      </c>
      <c r="S401" t="s">
        <v>703</v>
      </c>
      <c r="T401" t="s">
        <v>616</v>
      </c>
      <c r="U401" s="1" t="s">
        <v>754</v>
      </c>
      <c r="V401" s="1">
        <f t="shared" ref="V401:V412" si="61">+AA401*AC401/10000</f>
        <v>1.10152284263959E-9</v>
      </c>
      <c r="W401" s="1"/>
      <c r="AA401" s="1">
        <f>[59]Parent_etal_2009_Fig5b!B2</f>
        <v>3.1472081218274E-8</v>
      </c>
      <c r="AC401" s="9">
        <v>350</v>
      </c>
      <c r="AJ401" t="s">
        <v>352</v>
      </c>
    </row>
    <row r="402" spans="1:36" x14ac:dyDescent="0.25">
      <c r="A402" t="s">
        <v>382</v>
      </c>
      <c r="B402" t="s">
        <v>53</v>
      </c>
      <c r="C402" t="s">
        <v>54</v>
      </c>
      <c r="D402" t="s">
        <v>18</v>
      </c>
      <c r="E402" t="s">
        <v>31</v>
      </c>
      <c r="F402" t="s">
        <v>32</v>
      </c>
      <c r="G402" t="s">
        <v>32</v>
      </c>
      <c r="H402" t="s">
        <v>712</v>
      </c>
      <c r="I402">
        <f t="shared" si="60"/>
        <v>24.5</v>
      </c>
      <c r="J402" t="s">
        <v>463</v>
      </c>
      <c r="K402" t="s">
        <v>39</v>
      </c>
      <c r="L402" t="str">
        <f t="shared" si="56"/>
        <v>Control</v>
      </c>
      <c r="M402" t="s">
        <v>39</v>
      </c>
      <c r="N402" t="str">
        <f t="shared" si="58"/>
        <v>Control</v>
      </c>
      <c r="Q402" t="s">
        <v>412</v>
      </c>
      <c r="R402" t="s">
        <v>709</v>
      </c>
      <c r="S402" t="s">
        <v>703</v>
      </c>
      <c r="T402" t="s">
        <v>616</v>
      </c>
      <c r="U402" s="1" t="s">
        <v>754</v>
      </c>
      <c r="V402" s="1">
        <f t="shared" si="61"/>
        <v>2.0964467005076109E-9</v>
      </c>
      <c r="W402" s="1"/>
      <c r="AA402" s="1">
        <f>[59]Parent_etal_2009_Fig5b!B3</f>
        <v>5.9898477157360307E-8</v>
      </c>
      <c r="AC402" s="9">
        <v>350</v>
      </c>
      <c r="AJ402" t="s">
        <v>352</v>
      </c>
    </row>
    <row r="403" spans="1:36" x14ac:dyDescent="0.25">
      <c r="A403" t="s">
        <v>382</v>
      </c>
      <c r="B403" t="s">
        <v>53</v>
      </c>
      <c r="C403" t="s">
        <v>54</v>
      </c>
      <c r="D403" t="s">
        <v>18</v>
      </c>
      <c r="E403" t="s">
        <v>31</v>
      </c>
      <c r="F403" t="s">
        <v>32</v>
      </c>
      <c r="G403" t="s">
        <v>32</v>
      </c>
      <c r="H403" t="s">
        <v>712</v>
      </c>
      <c r="I403">
        <f t="shared" si="60"/>
        <v>24.5</v>
      </c>
      <c r="J403" t="s">
        <v>463</v>
      </c>
      <c r="K403" t="s">
        <v>39</v>
      </c>
      <c r="L403" t="str">
        <f t="shared" si="56"/>
        <v>Control</v>
      </c>
      <c r="M403" t="s">
        <v>465</v>
      </c>
      <c r="N403" t="str">
        <f t="shared" si="58"/>
        <v>Stress</v>
      </c>
      <c r="Q403" t="s">
        <v>412</v>
      </c>
      <c r="R403" t="s">
        <v>709</v>
      </c>
      <c r="S403" t="s">
        <v>703</v>
      </c>
      <c r="T403" t="s">
        <v>616</v>
      </c>
      <c r="U403" s="1" t="s">
        <v>754</v>
      </c>
      <c r="V403" s="1">
        <f t="shared" si="61"/>
        <v>3.7309644670050747E-9</v>
      </c>
      <c r="W403" s="1"/>
      <c r="AA403" s="1">
        <f>[59]Parent_etal_2009_Fig5b!B4</f>
        <v>2.4873096446700498E-7</v>
      </c>
      <c r="AC403" s="9">
        <v>150</v>
      </c>
      <c r="AJ403" t="s">
        <v>352</v>
      </c>
    </row>
    <row r="404" spans="1:36" x14ac:dyDescent="0.25">
      <c r="A404" t="s">
        <v>382</v>
      </c>
      <c r="B404" t="s">
        <v>53</v>
      </c>
      <c r="C404" t="s">
        <v>54</v>
      </c>
      <c r="D404" t="s">
        <v>18</v>
      </c>
      <c r="E404" t="s">
        <v>31</v>
      </c>
      <c r="F404" t="s">
        <v>32</v>
      </c>
      <c r="G404" t="s">
        <v>32</v>
      </c>
      <c r="H404" t="s">
        <v>712</v>
      </c>
      <c r="I404">
        <f t="shared" si="60"/>
        <v>24.5</v>
      </c>
      <c r="J404" t="s">
        <v>463</v>
      </c>
      <c r="K404" t="s">
        <v>711</v>
      </c>
      <c r="L404" t="str">
        <f t="shared" si="56"/>
        <v>Stress</v>
      </c>
      <c r="M404" t="s">
        <v>464</v>
      </c>
      <c r="N404" t="str">
        <f t="shared" si="58"/>
        <v>Stress</v>
      </c>
      <c r="Q404" t="s">
        <v>412</v>
      </c>
      <c r="R404" t="s">
        <v>709</v>
      </c>
      <c r="S404" t="s">
        <v>703</v>
      </c>
      <c r="T404" t="s">
        <v>616</v>
      </c>
      <c r="U404" s="1" t="s">
        <v>754</v>
      </c>
      <c r="V404" s="1">
        <f t="shared" si="61"/>
        <v>4.2639593908629552E-10</v>
      </c>
      <c r="W404" s="1"/>
      <c r="AA404" s="1">
        <f>[59]Parent_etal_2009_Fig5b!B5</f>
        <v>1.21827411167513E-8</v>
      </c>
      <c r="AC404" s="9">
        <v>350</v>
      </c>
      <c r="AJ404" t="s">
        <v>352</v>
      </c>
    </row>
    <row r="405" spans="1:36" x14ac:dyDescent="0.25">
      <c r="A405" t="s">
        <v>382</v>
      </c>
      <c r="B405" t="s">
        <v>53</v>
      </c>
      <c r="C405" t="s">
        <v>54</v>
      </c>
      <c r="D405" t="s">
        <v>18</v>
      </c>
      <c r="E405" t="s">
        <v>31</v>
      </c>
      <c r="F405" t="s">
        <v>32</v>
      </c>
      <c r="G405" t="s">
        <v>32</v>
      </c>
      <c r="H405" t="s">
        <v>712</v>
      </c>
      <c r="I405">
        <f t="shared" si="60"/>
        <v>24.5</v>
      </c>
      <c r="J405" t="s">
        <v>463</v>
      </c>
      <c r="K405" t="s">
        <v>711</v>
      </c>
      <c r="L405" t="str">
        <f t="shared" si="56"/>
        <v>Stress</v>
      </c>
      <c r="M405" t="s">
        <v>39</v>
      </c>
      <c r="N405" t="str">
        <f t="shared" si="58"/>
        <v>Control</v>
      </c>
      <c r="Q405" t="s">
        <v>412</v>
      </c>
      <c r="R405" t="s">
        <v>709</v>
      </c>
      <c r="S405" t="s">
        <v>703</v>
      </c>
      <c r="T405" t="s">
        <v>616</v>
      </c>
      <c r="U405" s="1" t="s">
        <v>754</v>
      </c>
      <c r="V405" s="1">
        <f t="shared" si="61"/>
        <v>5.6852791878172843E-10</v>
      </c>
      <c r="W405" s="1"/>
      <c r="AA405" s="1">
        <f>[59]Parent_etal_2009_Fig5b!B6</f>
        <v>1.62436548223351E-8</v>
      </c>
      <c r="AC405" s="9">
        <v>350</v>
      </c>
      <c r="AJ405" t="s">
        <v>352</v>
      </c>
    </row>
    <row r="406" spans="1:36" x14ac:dyDescent="0.25">
      <c r="A406" t="s">
        <v>382</v>
      </c>
      <c r="B406" t="s">
        <v>53</v>
      </c>
      <c r="C406" t="s">
        <v>54</v>
      </c>
      <c r="D406" t="s">
        <v>18</v>
      </c>
      <c r="E406" t="s">
        <v>31</v>
      </c>
      <c r="F406" t="s">
        <v>32</v>
      </c>
      <c r="G406" t="s">
        <v>32</v>
      </c>
      <c r="H406" t="s">
        <v>712</v>
      </c>
      <c r="I406">
        <f t="shared" si="60"/>
        <v>24.5</v>
      </c>
      <c r="J406" t="s">
        <v>463</v>
      </c>
      <c r="K406" t="s">
        <v>711</v>
      </c>
      <c r="L406" t="str">
        <f t="shared" si="56"/>
        <v>Stress</v>
      </c>
      <c r="M406" t="s">
        <v>465</v>
      </c>
      <c r="N406" t="str">
        <f t="shared" si="58"/>
        <v>Stress</v>
      </c>
      <c r="Q406" t="s">
        <v>412</v>
      </c>
      <c r="R406" t="s">
        <v>709</v>
      </c>
      <c r="S406" t="s">
        <v>703</v>
      </c>
      <c r="T406" t="s">
        <v>616</v>
      </c>
      <c r="U406" s="1" t="s">
        <v>754</v>
      </c>
      <c r="V406" s="1">
        <f t="shared" si="61"/>
        <v>7.1573604060913352E-10</v>
      </c>
      <c r="W406" s="1"/>
      <c r="AA406" s="1">
        <f>[59]Parent_etal_2009_Fig5b!B7</f>
        <v>4.7715736040608901E-8</v>
      </c>
      <c r="AC406" s="9">
        <v>150</v>
      </c>
      <c r="AJ406" t="s">
        <v>352</v>
      </c>
    </row>
    <row r="407" spans="1:36" x14ac:dyDescent="0.25">
      <c r="A407" t="s">
        <v>382</v>
      </c>
      <c r="B407" t="s">
        <v>53</v>
      </c>
      <c r="C407" t="s">
        <v>54</v>
      </c>
      <c r="D407" t="s">
        <v>18</v>
      </c>
      <c r="E407" t="s">
        <v>31</v>
      </c>
      <c r="F407" t="s">
        <v>32</v>
      </c>
      <c r="G407" t="s">
        <v>32</v>
      </c>
      <c r="H407" t="s">
        <v>712</v>
      </c>
      <c r="I407">
        <f t="shared" si="60"/>
        <v>24.5</v>
      </c>
      <c r="J407" t="s">
        <v>463</v>
      </c>
      <c r="K407" t="s">
        <v>39</v>
      </c>
      <c r="L407" t="str">
        <f t="shared" si="56"/>
        <v>Control</v>
      </c>
      <c r="M407" t="s">
        <v>464</v>
      </c>
      <c r="N407" t="str">
        <f t="shared" si="58"/>
        <v>Stress</v>
      </c>
      <c r="Q407" t="s">
        <v>412</v>
      </c>
      <c r="R407" t="s">
        <v>709</v>
      </c>
      <c r="S407" t="s">
        <v>703</v>
      </c>
      <c r="T407" t="s">
        <v>615</v>
      </c>
      <c r="U407" s="1" t="s">
        <v>754</v>
      </c>
      <c r="V407" s="1">
        <f t="shared" si="61"/>
        <v>1.4735000000000001E-9</v>
      </c>
      <c r="W407" s="1"/>
      <c r="AA407" s="1">
        <f>[60]Parent_etal_2009_Fig5c!B2</f>
        <v>4.21E-8</v>
      </c>
      <c r="AC407" s="9">
        <v>350</v>
      </c>
      <c r="AJ407" t="s">
        <v>359</v>
      </c>
    </row>
    <row r="408" spans="1:36" x14ac:dyDescent="0.25">
      <c r="A408" t="s">
        <v>382</v>
      </c>
      <c r="B408" t="s">
        <v>53</v>
      </c>
      <c r="C408" t="s">
        <v>54</v>
      </c>
      <c r="D408" t="s">
        <v>18</v>
      </c>
      <c r="E408" t="s">
        <v>31</v>
      </c>
      <c r="F408" t="s">
        <v>32</v>
      </c>
      <c r="G408" t="s">
        <v>32</v>
      </c>
      <c r="H408" t="s">
        <v>712</v>
      </c>
      <c r="I408">
        <f t="shared" si="60"/>
        <v>24.5</v>
      </c>
      <c r="J408" t="s">
        <v>463</v>
      </c>
      <c r="K408" t="s">
        <v>39</v>
      </c>
      <c r="L408" t="str">
        <f t="shared" si="56"/>
        <v>Control</v>
      </c>
      <c r="M408" t="s">
        <v>39</v>
      </c>
      <c r="N408" t="str">
        <f t="shared" si="58"/>
        <v>Control</v>
      </c>
      <c r="Q408" t="s">
        <v>412</v>
      </c>
      <c r="R408" t="s">
        <v>709</v>
      </c>
      <c r="S408" t="s">
        <v>703</v>
      </c>
      <c r="T408" t="s">
        <v>615</v>
      </c>
      <c r="U408" s="1" t="s">
        <v>754</v>
      </c>
      <c r="V408" s="1">
        <f t="shared" si="61"/>
        <v>3.3985000000000002E-9</v>
      </c>
      <c r="W408" s="1"/>
      <c r="AA408" s="1">
        <f>[60]Parent_etal_2009_Fig5c!B3</f>
        <v>9.7100000000000003E-8</v>
      </c>
      <c r="AC408" s="9">
        <v>350</v>
      </c>
      <c r="AJ408" t="s">
        <v>359</v>
      </c>
    </row>
    <row r="409" spans="1:36" x14ac:dyDescent="0.25">
      <c r="A409" t="s">
        <v>382</v>
      </c>
      <c r="B409" t="s">
        <v>53</v>
      </c>
      <c r="C409" t="s">
        <v>54</v>
      </c>
      <c r="D409" t="s">
        <v>18</v>
      </c>
      <c r="E409" t="s">
        <v>31</v>
      </c>
      <c r="F409" t="s">
        <v>32</v>
      </c>
      <c r="G409" t="s">
        <v>32</v>
      </c>
      <c r="H409" t="s">
        <v>712</v>
      </c>
      <c r="I409">
        <f t="shared" si="60"/>
        <v>24.5</v>
      </c>
      <c r="J409" t="s">
        <v>463</v>
      </c>
      <c r="K409" t="s">
        <v>39</v>
      </c>
      <c r="L409" t="str">
        <f t="shared" si="56"/>
        <v>Control</v>
      </c>
      <c r="M409" t="s">
        <v>465</v>
      </c>
      <c r="N409" t="str">
        <f t="shared" si="58"/>
        <v>Stress</v>
      </c>
      <c r="Q409" t="s">
        <v>412</v>
      </c>
      <c r="R409" t="s">
        <v>709</v>
      </c>
      <c r="S409" t="s">
        <v>703</v>
      </c>
      <c r="T409" t="s">
        <v>615</v>
      </c>
      <c r="U409" s="1" t="s">
        <v>754</v>
      </c>
      <c r="V409" s="1">
        <f t="shared" si="61"/>
        <v>4.3800000000000002E-9</v>
      </c>
      <c r="W409" s="1"/>
      <c r="AA409" s="1">
        <f>[60]Parent_etal_2009_Fig5c!B4</f>
        <v>2.9200000000000002E-7</v>
      </c>
      <c r="AC409" s="9">
        <v>150</v>
      </c>
      <c r="AJ409" t="s">
        <v>359</v>
      </c>
    </row>
    <row r="410" spans="1:36" x14ac:dyDescent="0.25">
      <c r="A410" t="s">
        <v>382</v>
      </c>
      <c r="B410" t="s">
        <v>53</v>
      </c>
      <c r="C410" t="s">
        <v>54</v>
      </c>
      <c r="D410" t="s">
        <v>18</v>
      </c>
      <c r="E410" t="s">
        <v>31</v>
      </c>
      <c r="F410" t="s">
        <v>32</v>
      </c>
      <c r="G410" t="s">
        <v>32</v>
      </c>
      <c r="H410" t="s">
        <v>712</v>
      </c>
      <c r="I410">
        <f t="shared" si="60"/>
        <v>24.5</v>
      </c>
      <c r="J410" t="s">
        <v>463</v>
      </c>
      <c r="K410" t="s">
        <v>711</v>
      </c>
      <c r="L410" t="str">
        <f t="shared" si="56"/>
        <v>Stress</v>
      </c>
      <c r="M410" t="s">
        <v>464</v>
      </c>
      <c r="N410" t="str">
        <f t="shared" si="58"/>
        <v>Stress</v>
      </c>
      <c r="Q410" t="s">
        <v>412</v>
      </c>
      <c r="R410" t="s">
        <v>709</v>
      </c>
      <c r="S410" t="s">
        <v>703</v>
      </c>
      <c r="T410" t="s">
        <v>615</v>
      </c>
      <c r="U410" s="1" t="s">
        <v>754</v>
      </c>
      <c r="V410" s="1">
        <f t="shared" si="61"/>
        <v>4.7336065573770751E-10</v>
      </c>
      <c r="W410" s="1"/>
      <c r="AA410" s="1">
        <f>[60]Parent_etal_2009_Fig5c!B5</f>
        <v>1.3524590163934501E-8</v>
      </c>
      <c r="AC410" s="9">
        <v>350</v>
      </c>
      <c r="AJ410" t="s">
        <v>359</v>
      </c>
    </row>
    <row r="411" spans="1:36" x14ac:dyDescent="0.25">
      <c r="A411" t="s">
        <v>382</v>
      </c>
      <c r="B411" t="s">
        <v>53</v>
      </c>
      <c r="C411" t="s">
        <v>54</v>
      </c>
      <c r="D411" t="s">
        <v>18</v>
      </c>
      <c r="E411" t="s">
        <v>31</v>
      </c>
      <c r="F411" t="s">
        <v>32</v>
      </c>
      <c r="G411" t="s">
        <v>32</v>
      </c>
      <c r="H411" t="s">
        <v>712</v>
      </c>
      <c r="I411">
        <f t="shared" si="60"/>
        <v>24.5</v>
      </c>
      <c r="J411" t="s">
        <v>463</v>
      </c>
      <c r="K411" t="s">
        <v>711</v>
      </c>
      <c r="L411" t="str">
        <f t="shared" si="56"/>
        <v>Stress</v>
      </c>
      <c r="M411" t="s">
        <v>39</v>
      </c>
      <c r="N411" t="str">
        <f t="shared" si="58"/>
        <v>Control</v>
      </c>
      <c r="Q411" t="s">
        <v>412</v>
      </c>
      <c r="R411" t="s">
        <v>709</v>
      </c>
      <c r="S411" t="s">
        <v>703</v>
      </c>
      <c r="T411" t="s">
        <v>615</v>
      </c>
      <c r="U411" s="1" t="s">
        <v>754</v>
      </c>
      <c r="V411" s="1">
        <f t="shared" si="61"/>
        <v>9.0368852459015895E-10</v>
      </c>
      <c r="W411" s="1"/>
      <c r="AA411" s="1">
        <f>[60]Parent_etal_2009_Fig5c!B6</f>
        <v>2.5819672131147399E-8</v>
      </c>
      <c r="AC411" s="9">
        <v>350</v>
      </c>
      <c r="AJ411" t="s">
        <v>359</v>
      </c>
    </row>
    <row r="412" spans="1:36" x14ac:dyDescent="0.25">
      <c r="A412" t="s">
        <v>382</v>
      </c>
      <c r="B412" t="s">
        <v>53</v>
      </c>
      <c r="C412" t="s">
        <v>54</v>
      </c>
      <c r="D412" t="s">
        <v>18</v>
      </c>
      <c r="E412" t="s">
        <v>31</v>
      </c>
      <c r="F412" t="s">
        <v>32</v>
      </c>
      <c r="G412" t="s">
        <v>32</v>
      </c>
      <c r="H412" t="s">
        <v>712</v>
      </c>
      <c r="I412">
        <f t="shared" si="60"/>
        <v>24.5</v>
      </c>
      <c r="J412" t="s">
        <v>463</v>
      </c>
      <c r="K412" t="s">
        <v>711</v>
      </c>
      <c r="L412" t="str">
        <f t="shared" si="56"/>
        <v>Stress</v>
      </c>
      <c r="M412" t="s">
        <v>465</v>
      </c>
      <c r="N412" t="str">
        <f t="shared" si="58"/>
        <v>Stress</v>
      </c>
      <c r="Q412" t="s">
        <v>412</v>
      </c>
      <c r="R412" t="s">
        <v>709</v>
      </c>
      <c r="S412" t="s">
        <v>703</v>
      </c>
      <c r="T412" t="s">
        <v>615</v>
      </c>
      <c r="U412" s="1" t="s">
        <v>754</v>
      </c>
      <c r="V412" s="1">
        <f t="shared" si="61"/>
        <v>1.4569672131147525E-9</v>
      </c>
      <c r="W412" s="1"/>
      <c r="AA412" s="1">
        <f>[60]Parent_etal_2009_Fig5c!B7</f>
        <v>9.7131147540983494E-8</v>
      </c>
      <c r="AC412" s="9">
        <v>150</v>
      </c>
      <c r="AJ412" t="s">
        <v>359</v>
      </c>
    </row>
    <row r="413" spans="1:36" x14ac:dyDescent="0.25">
      <c r="A413" t="s">
        <v>85</v>
      </c>
      <c r="B413" t="s">
        <v>86</v>
      </c>
      <c r="C413" t="s">
        <v>87</v>
      </c>
      <c r="D413" t="s">
        <v>18</v>
      </c>
      <c r="E413" t="s">
        <v>19</v>
      </c>
      <c r="F413" t="s">
        <v>20</v>
      </c>
      <c r="G413" t="s">
        <v>20</v>
      </c>
      <c r="H413" t="s">
        <v>712</v>
      </c>
      <c r="I413">
        <v>50</v>
      </c>
      <c r="J413" t="s">
        <v>84</v>
      </c>
      <c r="K413" t="s">
        <v>39</v>
      </c>
      <c r="L413" t="str">
        <f t="shared" si="56"/>
        <v>Control</v>
      </c>
      <c r="Q413" t="s">
        <v>412</v>
      </c>
      <c r="R413" t="s">
        <v>709</v>
      </c>
      <c r="S413" t="s">
        <v>703</v>
      </c>
      <c r="T413" t="s">
        <v>615</v>
      </c>
      <c r="U413" s="1" t="s">
        <v>754</v>
      </c>
      <c r="V413" s="1">
        <f t="shared" ref="V413:V416" si="62">+W413*AF413</f>
        <v>4.2917509525000002E-10</v>
      </c>
      <c r="W413" s="1">
        <f>0.00000250723/3600</f>
        <v>6.9645277777777772E-10</v>
      </c>
      <c r="X413" s="1"/>
      <c r="Y413" s="1"/>
      <c r="Z413" s="1"/>
      <c r="AE413" s="2">
        <v>8.838E-2</v>
      </c>
      <c r="AF413" s="2">
        <v>0.61623000000000006</v>
      </c>
      <c r="AJ413" t="s">
        <v>203</v>
      </c>
    </row>
    <row r="414" spans="1:36" x14ac:dyDescent="0.25">
      <c r="A414" t="s">
        <v>85</v>
      </c>
      <c r="B414" t="s">
        <v>86</v>
      </c>
      <c r="C414" t="s">
        <v>87</v>
      </c>
      <c r="D414" t="s">
        <v>18</v>
      </c>
      <c r="E414" t="s">
        <v>19</v>
      </c>
      <c r="F414" t="s">
        <v>20</v>
      </c>
      <c r="G414" t="s">
        <v>20</v>
      </c>
      <c r="H414" t="s">
        <v>712</v>
      </c>
      <c r="I414">
        <v>50</v>
      </c>
      <c r="J414" t="s">
        <v>84</v>
      </c>
      <c r="K414" t="s">
        <v>555</v>
      </c>
      <c r="L414" t="str">
        <f t="shared" si="56"/>
        <v>Stress</v>
      </c>
      <c r="Q414" t="s">
        <v>412</v>
      </c>
      <c r="R414" t="s">
        <v>709</v>
      </c>
      <c r="S414" t="s">
        <v>703</v>
      </c>
      <c r="T414" t="s">
        <v>615</v>
      </c>
      <c r="U414" s="1" t="s">
        <v>754</v>
      </c>
      <c r="V414" s="1">
        <f t="shared" si="62"/>
        <v>2.8112851107499996E-10</v>
      </c>
      <c r="W414" s="1">
        <f>0.000001891317/3600</f>
        <v>5.253658333333333E-10</v>
      </c>
      <c r="X414" s="1"/>
      <c r="Y414" s="1"/>
      <c r="Z414" s="1"/>
      <c r="AE414" s="2">
        <v>7.5429999999999997E-2</v>
      </c>
      <c r="AF414" s="2">
        <v>0.53510999999999997</v>
      </c>
      <c r="AJ414" t="s">
        <v>203</v>
      </c>
    </row>
    <row r="415" spans="1:36" x14ac:dyDescent="0.25">
      <c r="A415" t="s">
        <v>85</v>
      </c>
      <c r="B415" t="s">
        <v>86</v>
      </c>
      <c r="C415" t="s">
        <v>87</v>
      </c>
      <c r="D415" t="s">
        <v>18</v>
      </c>
      <c r="E415" t="s">
        <v>19</v>
      </c>
      <c r="F415" t="s">
        <v>20</v>
      </c>
      <c r="G415" t="s">
        <v>20</v>
      </c>
      <c r="H415" t="s">
        <v>712</v>
      </c>
      <c r="I415">
        <v>50</v>
      </c>
      <c r="J415" t="s">
        <v>84</v>
      </c>
      <c r="K415" t="s">
        <v>556</v>
      </c>
      <c r="L415" t="str">
        <f t="shared" si="56"/>
        <v>Stress</v>
      </c>
      <c r="Q415" t="s">
        <v>412</v>
      </c>
      <c r="R415" t="s">
        <v>709</v>
      </c>
      <c r="S415" t="s">
        <v>703</v>
      </c>
      <c r="T415" t="s">
        <v>615</v>
      </c>
      <c r="U415" s="1" t="s">
        <v>754</v>
      </c>
      <c r="V415" s="1">
        <f t="shared" si="62"/>
        <v>6.7328233194444438E-11</v>
      </c>
      <c r="W415" s="1">
        <f>0.00000057035/3600</f>
        <v>1.5843055555555555E-10</v>
      </c>
      <c r="X415" s="1"/>
      <c r="Y415" s="1"/>
      <c r="Z415" s="1"/>
      <c r="AE415" s="2">
        <v>6.9550000000000001E-2</v>
      </c>
      <c r="AF415" s="2">
        <v>0.42497000000000001</v>
      </c>
      <c r="AJ415" t="s">
        <v>203</v>
      </c>
    </row>
    <row r="416" spans="1:36" x14ac:dyDescent="0.25">
      <c r="A416" t="s">
        <v>85</v>
      </c>
      <c r="B416" t="s">
        <v>86</v>
      </c>
      <c r="C416" t="s">
        <v>87</v>
      </c>
      <c r="D416" t="s">
        <v>18</v>
      </c>
      <c r="E416" t="s">
        <v>19</v>
      </c>
      <c r="F416" t="s">
        <v>20</v>
      </c>
      <c r="G416" t="s">
        <v>20</v>
      </c>
      <c r="H416" t="s">
        <v>712</v>
      </c>
      <c r="I416">
        <v>50</v>
      </c>
      <c r="J416" t="s">
        <v>84</v>
      </c>
      <c r="K416" t="s">
        <v>557</v>
      </c>
      <c r="L416" t="str">
        <f t="shared" si="56"/>
        <v>Stress</v>
      </c>
      <c r="Q416" t="s">
        <v>412</v>
      </c>
      <c r="R416" t="s">
        <v>709</v>
      </c>
      <c r="S416" t="s">
        <v>703</v>
      </c>
      <c r="T416" t="s">
        <v>615</v>
      </c>
      <c r="U416" s="1" t="s">
        <v>754</v>
      </c>
      <c r="V416" s="1">
        <f t="shared" si="62"/>
        <v>5.0486268999999997E-11</v>
      </c>
      <c r="W416" s="1">
        <f>0.00000051022/3600</f>
        <v>1.4172777777777778E-10</v>
      </c>
      <c r="X416" s="1"/>
      <c r="Y416" s="1"/>
      <c r="Z416" s="1"/>
      <c r="AE416" s="2">
        <v>6.3460000000000003E-2</v>
      </c>
      <c r="AF416" s="2">
        <v>0.35621999999999998</v>
      </c>
      <c r="AJ416" t="s">
        <v>203</v>
      </c>
    </row>
    <row r="417" spans="1:36" x14ac:dyDescent="0.25">
      <c r="A417" t="s">
        <v>88</v>
      </c>
      <c r="B417" t="s">
        <v>56</v>
      </c>
      <c r="C417" t="s">
        <v>57</v>
      </c>
      <c r="D417" t="s">
        <v>18</v>
      </c>
      <c r="E417" t="s">
        <v>19</v>
      </c>
      <c r="F417" t="s">
        <v>20</v>
      </c>
      <c r="G417" t="s">
        <v>20</v>
      </c>
      <c r="H417" t="s">
        <v>712</v>
      </c>
      <c r="I417">
        <v>74</v>
      </c>
      <c r="J417" t="s">
        <v>664</v>
      </c>
      <c r="K417" t="s">
        <v>39</v>
      </c>
      <c r="L417" t="str">
        <f t="shared" si="56"/>
        <v>Control</v>
      </c>
      <c r="M417" t="s">
        <v>466</v>
      </c>
      <c r="N417" t="s">
        <v>716</v>
      </c>
      <c r="O417" t="s">
        <v>453</v>
      </c>
      <c r="P417" t="s">
        <v>716</v>
      </c>
      <c r="Q417" t="s">
        <v>412</v>
      </c>
      <c r="R417" t="s">
        <v>709</v>
      </c>
      <c r="S417" t="s">
        <v>703</v>
      </c>
      <c r="T417" t="s">
        <v>615</v>
      </c>
      <c r="U417" s="1"/>
      <c r="V417" s="1"/>
      <c r="W417" s="1">
        <v>2.6400000000000002E-10</v>
      </c>
      <c r="X417" s="1"/>
      <c r="Y417" s="1"/>
      <c r="Z417" s="1"/>
      <c r="AE417" s="2">
        <v>0.65</v>
      </c>
      <c r="AJ417" t="s">
        <v>203</v>
      </c>
    </row>
    <row r="418" spans="1:36" x14ac:dyDescent="0.25">
      <c r="A418" t="s">
        <v>88</v>
      </c>
      <c r="B418" t="s">
        <v>56</v>
      </c>
      <c r="C418" t="s">
        <v>57</v>
      </c>
      <c r="D418" t="s">
        <v>18</v>
      </c>
      <c r="E418" t="s">
        <v>19</v>
      </c>
      <c r="F418" t="s">
        <v>20</v>
      </c>
      <c r="G418" t="s">
        <v>20</v>
      </c>
      <c r="H418" t="s">
        <v>712</v>
      </c>
      <c r="I418">
        <v>74</v>
      </c>
      <c r="J418" t="s">
        <v>664</v>
      </c>
      <c r="K418" t="s">
        <v>39</v>
      </c>
      <c r="L418" t="str">
        <f t="shared" si="56"/>
        <v>Control</v>
      </c>
      <c r="M418" t="s">
        <v>466</v>
      </c>
      <c r="N418" t="s">
        <v>716</v>
      </c>
      <c r="O418" t="s">
        <v>454</v>
      </c>
      <c r="P418" t="s">
        <v>716</v>
      </c>
      <c r="Q418" t="s">
        <v>412</v>
      </c>
      <c r="R418" t="s">
        <v>709</v>
      </c>
      <c r="S418" t="s">
        <v>703</v>
      </c>
      <c r="T418" t="s">
        <v>615</v>
      </c>
      <c r="U418" s="1"/>
      <c r="V418" s="1"/>
      <c r="W418" s="1">
        <v>2.11E-10</v>
      </c>
      <c r="X418" s="1"/>
      <c r="Y418" s="1"/>
      <c r="Z418" s="1"/>
      <c r="AE418" s="2">
        <v>0.85</v>
      </c>
      <c r="AJ418" t="s">
        <v>203</v>
      </c>
    </row>
    <row r="419" spans="1:36" x14ac:dyDescent="0.25">
      <c r="A419" t="s">
        <v>88</v>
      </c>
      <c r="B419" t="s">
        <v>56</v>
      </c>
      <c r="C419" t="s">
        <v>57</v>
      </c>
      <c r="D419" t="s">
        <v>18</v>
      </c>
      <c r="E419" t="s">
        <v>19</v>
      </c>
      <c r="F419" t="s">
        <v>20</v>
      </c>
      <c r="G419" t="s">
        <v>20</v>
      </c>
      <c r="H419" t="s">
        <v>712</v>
      </c>
      <c r="I419">
        <v>74</v>
      </c>
      <c r="J419" t="s">
        <v>664</v>
      </c>
      <c r="K419" t="s">
        <v>39</v>
      </c>
      <c r="L419" t="str">
        <f t="shared" si="56"/>
        <v>Control</v>
      </c>
      <c r="M419" t="s">
        <v>466</v>
      </c>
      <c r="N419" t="s">
        <v>716</v>
      </c>
      <c r="O419" t="s">
        <v>455</v>
      </c>
      <c r="P419" t="s">
        <v>716</v>
      </c>
      <c r="Q419" t="s">
        <v>412</v>
      </c>
      <c r="R419" t="s">
        <v>709</v>
      </c>
      <c r="S419" t="s">
        <v>703</v>
      </c>
      <c r="T419" t="s">
        <v>615</v>
      </c>
      <c r="U419" s="1"/>
      <c r="V419" s="1"/>
      <c r="W419" s="1">
        <v>4.4400000000000002E-10</v>
      </c>
      <c r="X419" s="1"/>
      <c r="Y419" s="1"/>
      <c r="Z419" s="1"/>
      <c r="AE419" s="2">
        <v>0.4</v>
      </c>
      <c r="AJ419" t="s">
        <v>203</v>
      </c>
    </row>
    <row r="420" spans="1:36" x14ac:dyDescent="0.25">
      <c r="A420" t="s">
        <v>88</v>
      </c>
      <c r="B420" t="s">
        <v>56</v>
      </c>
      <c r="C420" t="s">
        <v>57</v>
      </c>
      <c r="D420" t="s">
        <v>18</v>
      </c>
      <c r="E420" t="s">
        <v>19</v>
      </c>
      <c r="F420" t="s">
        <v>20</v>
      </c>
      <c r="G420" t="s">
        <v>20</v>
      </c>
      <c r="H420" t="s">
        <v>712</v>
      </c>
      <c r="I420">
        <v>89</v>
      </c>
      <c r="J420" t="s">
        <v>664</v>
      </c>
      <c r="K420" t="s">
        <v>39</v>
      </c>
      <c r="L420" t="str">
        <f t="shared" si="56"/>
        <v>Control</v>
      </c>
      <c r="M420" t="s">
        <v>467</v>
      </c>
      <c r="N420" t="s">
        <v>716</v>
      </c>
      <c r="O420" t="s">
        <v>453</v>
      </c>
      <c r="P420" t="s">
        <v>716</v>
      </c>
      <c r="Q420" t="s">
        <v>412</v>
      </c>
      <c r="R420" t="s">
        <v>709</v>
      </c>
      <c r="S420" t="s">
        <v>703</v>
      </c>
      <c r="T420" t="s">
        <v>615</v>
      </c>
      <c r="U420" s="1"/>
      <c r="V420" s="1"/>
      <c r="W420" s="1">
        <v>2.2800000000000001E-11</v>
      </c>
      <c r="X420" s="1"/>
      <c r="Y420" s="1"/>
      <c r="Z420" s="1"/>
      <c r="AE420" s="2">
        <v>2.62</v>
      </c>
      <c r="AJ420" t="s">
        <v>203</v>
      </c>
    </row>
    <row r="421" spans="1:36" x14ac:dyDescent="0.25">
      <c r="A421" t="s">
        <v>88</v>
      </c>
      <c r="B421" t="s">
        <v>56</v>
      </c>
      <c r="C421" t="s">
        <v>57</v>
      </c>
      <c r="D421" t="s">
        <v>18</v>
      </c>
      <c r="E421" t="s">
        <v>19</v>
      </c>
      <c r="F421" t="s">
        <v>20</v>
      </c>
      <c r="G421" t="s">
        <v>20</v>
      </c>
      <c r="H421" t="s">
        <v>712</v>
      </c>
      <c r="I421">
        <v>89</v>
      </c>
      <c r="J421" t="s">
        <v>664</v>
      </c>
      <c r="K421" t="s">
        <v>39</v>
      </c>
      <c r="L421" t="str">
        <f t="shared" si="56"/>
        <v>Control</v>
      </c>
      <c r="M421" t="s">
        <v>467</v>
      </c>
      <c r="N421" t="s">
        <v>716</v>
      </c>
      <c r="O421" t="s">
        <v>454</v>
      </c>
      <c r="P421" t="s">
        <v>716</v>
      </c>
      <c r="Q421" t="s">
        <v>412</v>
      </c>
      <c r="R421" t="s">
        <v>709</v>
      </c>
      <c r="S421" t="s">
        <v>703</v>
      </c>
      <c r="T421" t="s">
        <v>615</v>
      </c>
      <c r="U421" s="1"/>
      <c r="V421" s="1"/>
      <c r="W421" s="1">
        <v>1.7799999999999999E-11</v>
      </c>
      <c r="X421" s="1"/>
      <c r="Y421" s="1"/>
      <c r="Z421" s="1"/>
      <c r="AE421" s="2">
        <v>3.45</v>
      </c>
      <c r="AJ421" t="s">
        <v>203</v>
      </c>
    </row>
    <row r="422" spans="1:36" x14ac:dyDescent="0.25">
      <c r="A422" t="s">
        <v>88</v>
      </c>
      <c r="B422" t="s">
        <v>56</v>
      </c>
      <c r="C422" t="s">
        <v>57</v>
      </c>
      <c r="D422" t="s">
        <v>18</v>
      </c>
      <c r="E422" t="s">
        <v>19</v>
      </c>
      <c r="F422" t="s">
        <v>20</v>
      </c>
      <c r="G422" t="s">
        <v>20</v>
      </c>
      <c r="H422" t="s">
        <v>712</v>
      </c>
      <c r="I422">
        <v>89</v>
      </c>
      <c r="J422" t="s">
        <v>664</v>
      </c>
      <c r="K422" t="s">
        <v>39</v>
      </c>
      <c r="L422" t="str">
        <f t="shared" si="56"/>
        <v>Control</v>
      </c>
      <c r="M422" t="s">
        <v>467</v>
      </c>
      <c r="N422" t="s">
        <v>716</v>
      </c>
      <c r="O422" t="s">
        <v>455</v>
      </c>
      <c r="P422" t="s">
        <v>716</v>
      </c>
      <c r="Q422" t="s">
        <v>412</v>
      </c>
      <c r="R422" t="s">
        <v>709</v>
      </c>
      <c r="S422" t="s">
        <v>703</v>
      </c>
      <c r="T422" t="s">
        <v>615</v>
      </c>
      <c r="U422" s="1"/>
      <c r="V422" s="1"/>
      <c r="W422" s="1">
        <v>1.38E-11</v>
      </c>
      <c r="X422" s="1"/>
      <c r="Y422" s="1"/>
      <c r="Z422" s="1"/>
      <c r="AE422" s="2">
        <v>2.63</v>
      </c>
      <c r="AJ422" t="s">
        <v>203</v>
      </c>
    </row>
    <row r="423" spans="1:36" x14ac:dyDescent="0.25">
      <c r="A423" t="s">
        <v>88</v>
      </c>
      <c r="B423" t="s">
        <v>56</v>
      </c>
      <c r="C423" t="s">
        <v>57</v>
      </c>
      <c r="D423" t="s">
        <v>18</v>
      </c>
      <c r="E423" t="s">
        <v>19</v>
      </c>
      <c r="F423" t="s">
        <v>20</v>
      </c>
      <c r="G423" t="s">
        <v>20</v>
      </c>
      <c r="H423" t="s">
        <v>712</v>
      </c>
      <c r="I423">
        <v>89</v>
      </c>
      <c r="J423" t="s">
        <v>664</v>
      </c>
      <c r="K423" t="s">
        <v>469</v>
      </c>
      <c r="L423" t="str">
        <f t="shared" si="56"/>
        <v>Stress</v>
      </c>
      <c r="M423" t="s">
        <v>467</v>
      </c>
      <c r="N423" t="s">
        <v>716</v>
      </c>
      <c r="O423" t="s">
        <v>453</v>
      </c>
      <c r="P423" t="s">
        <v>716</v>
      </c>
      <c r="Q423" t="s">
        <v>412</v>
      </c>
      <c r="R423" t="s">
        <v>709</v>
      </c>
      <c r="S423" t="s">
        <v>703</v>
      </c>
      <c r="T423" t="s">
        <v>615</v>
      </c>
      <c r="U423" s="1"/>
      <c r="V423" s="1"/>
      <c r="W423" s="1">
        <v>3.1100000000000001E-11</v>
      </c>
      <c r="X423" s="1"/>
      <c r="Y423" s="1"/>
      <c r="Z423" s="1"/>
      <c r="AE423" s="2">
        <v>1.68</v>
      </c>
      <c r="AJ423" t="s">
        <v>203</v>
      </c>
    </row>
    <row r="424" spans="1:36" x14ac:dyDescent="0.25">
      <c r="A424" t="s">
        <v>88</v>
      </c>
      <c r="B424" t="s">
        <v>56</v>
      </c>
      <c r="C424" t="s">
        <v>57</v>
      </c>
      <c r="D424" t="s">
        <v>18</v>
      </c>
      <c r="E424" t="s">
        <v>19</v>
      </c>
      <c r="F424" t="s">
        <v>20</v>
      </c>
      <c r="G424" t="s">
        <v>20</v>
      </c>
      <c r="H424" t="s">
        <v>712</v>
      </c>
      <c r="I424">
        <v>89</v>
      </c>
      <c r="J424" t="s">
        <v>664</v>
      </c>
      <c r="K424" t="s">
        <v>469</v>
      </c>
      <c r="L424" t="str">
        <f t="shared" si="56"/>
        <v>Stress</v>
      </c>
      <c r="M424" t="s">
        <v>467</v>
      </c>
      <c r="N424" t="s">
        <v>716</v>
      </c>
      <c r="O424" t="s">
        <v>454</v>
      </c>
      <c r="P424" t="s">
        <v>716</v>
      </c>
      <c r="Q424" t="s">
        <v>412</v>
      </c>
      <c r="R424" t="s">
        <v>709</v>
      </c>
      <c r="S424" t="s">
        <v>703</v>
      </c>
      <c r="T424" t="s">
        <v>615</v>
      </c>
      <c r="U424" s="1"/>
      <c r="V424" s="1"/>
      <c r="W424" s="1">
        <v>1.2100000000000001E-11</v>
      </c>
      <c r="X424" s="1"/>
      <c r="Y424" s="1"/>
      <c r="Z424" s="1"/>
      <c r="AE424" s="2">
        <v>1.6</v>
      </c>
      <c r="AJ424" t="s">
        <v>203</v>
      </c>
    </row>
    <row r="425" spans="1:36" x14ac:dyDescent="0.25">
      <c r="A425" t="s">
        <v>88</v>
      </c>
      <c r="B425" t="s">
        <v>56</v>
      </c>
      <c r="C425" t="s">
        <v>57</v>
      </c>
      <c r="D425" t="s">
        <v>18</v>
      </c>
      <c r="E425" t="s">
        <v>19</v>
      </c>
      <c r="F425" t="s">
        <v>20</v>
      </c>
      <c r="G425" t="s">
        <v>20</v>
      </c>
      <c r="H425" t="s">
        <v>712</v>
      </c>
      <c r="I425">
        <v>89</v>
      </c>
      <c r="J425" t="s">
        <v>664</v>
      </c>
      <c r="K425" t="s">
        <v>469</v>
      </c>
      <c r="L425" t="str">
        <f t="shared" si="56"/>
        <v>Stress</v>
      </c>
      <c r="M425" t="s">
        <v>467</v>
      </c>
      <c r="N425" t="s">
        <v>716</v>
      </c>
      <c r="O425" t="s">
        <v>455</v>
      </c>
      <c r="P425" t="s">
        <v>716</v>
      </c>
      <c r="Q425" t="s">
        <v>412</v>
      </c>
      <c r="R425" t="s">
        <v>709</v>
      </c>
      <c r="S425" t="s">
        <v>703</v>
      </c>
      <c r="T425" t="s">
        <v>615</v>
      </c>
      <c r="U425" s="1"/>
      <c r="V425" s="1"/>
      <c r="W425" s="1">
        <v>4.7999999999999997E-12</v>
      </c>
      <c r="X425" s="1"/>
      <c r="Y425" s="1"/>
      <c r="Z425" s="1"/>
      <c r="AE425" s="2">
        <v>0.78</v>
      </c>
      <c r="AJ425" t="s">
        <v>203</v>
      </c>
    </row>
    <row r="426" spans="1:36" x14ac:dyDescent="0.25">
      <c r="A426" t="s">
        <v>89</v>
      </c>
      <c r="B426" t="s">
        <v>90</v>
      </c>
      <c r="C426" t="s">
        <v>91</v>
      </c>
      <c r="D426" t="s">
        <v>92</v>
      </c>
      <c r="E426" t="s">
        <v>19</v>
      </c>
      <c r="F426" t="s">
        <v>37</v>
      </c>
      <c r="G426" t="s">
        <v>626</v>
      </c>
      <c r="H426" t="s">
        <v>714</v>
      </c>
      <c r="I426">
        <f>3*7+2</f>
        <v>23</v>
      </c>
      <c r="J426" t="s">
        <v>594</v>
      </c>
      <c r="K426" t="s">
        <v>39</v>
      </c>
      <c r="L426" t="str">
        <f t="shared" si="56"/>
        <v>Control</v>
      </c>
      <c r="Q426" t="s">
        <v>412</v>
      </c>
      <c r="R426" t="s">
        <v>709</v>
      </c>
      <c r="S426" t="s">
        <v>703</v>
      </c>
      <c r="T426" t="s">
        <v>615</v>
      </c>
      <c r="U426" s="1"/>
      <c r="V426" s="1"/>
      <c r="W426" s="1"/>
      <c r="X426" s="1"/>
      <c r="Y426" s="1"/>
      <c r="Z426" s="1"/>
      <c r="AA426" s="1">
        <v>2.0599999999999999E-8</v>
      </c>
      <c r="AE426" s="2"/>
      <c r="AF426" s="2"/>
      <c r="AJ426" t="s">
        <v>203</v>
      </c>
    </row>
    <row r="427" spans="1:36" x14ac:dyDescent="0.25">
      <c r="A427" t="s">
        <v>89</v>
      </c>
      <c r="B427" t="s">
        <v>90</v>
      </c>
      <c r="C427" t="s">
        <v>91</v>
      </c>
      <c r="D427" t="s">
        <v>92</v>
      </c>
      <c r="E427" t="s">
        <v>19</v>
      </c>
      <c r="F427" t="s">
        <v>37</v>
      </c>
      <c r="G427" t="s">
        <v>626</v>
      </c>
      <c r="H427" t="s">
        <v>714</v>
      </c>
      <c r="I427">
        <f>3*7+2</f>
        <v>23</v>
      </c>
      <c r="J427" t="s">
        <v>594</v>
      </c>
      <c r="K427" t="s">
        <v>384</v>
      </c>
      <c r="L427" t="str">
        <f t="shared" si="56"/>
        <v>Stress</v>
      </c>
      <c r="Q427" t="s">
        <v>412</v>
      </c>
      <c r="R427" t="s">
        <v>709</v>
      </c>
      <c r="S427" t="s">
        <v>703</v>
      </c>
      <c r="T427" t="s">
        <v>615</v>
      </c>
      <c r="U427" s="1"/>
      <c r="V427" s="1"/>
      <c r="W427" s="1"/>
      <c r="X427" s="1"/>
      <c r="Y427" s="1"/>
      <c r="Z427" s="1"/>
      <c r="AA427" s="1">
        <v>1.46E-8</v>
      </c>
      <c r="AE427" s="2"/>
      <c r="AF427" s="2"/>
      <c r="AJ427" t="s">
        <v>203</v>
      </c>
    </row>
    <row r="428" spans="1:36" x14ac:dyDescent="0.25">
      <c r="A428" t="s">
        <v>395</v>
      </c>
      <c r="B428" t="s">
        <v>105</v>
      </c>
      <c r="C428" t="s">
        <v>78</v>
      </c>
      <c r="D428" t="s">
        <v>18</v>
      </c>
      <c r="E428" t="s">
        <v>19</v>
      </c>
      <c r="F428" t="s">
        <v>20</v>
      </c>
      <c r="G428" t="s">
        <v>20</v>
      </c>
      <c r="H428" t="s">
        <v>712</v>
      </c>
      <c r="I428">
        <v>14</v>
      </c>
      <c r="J428" t="s">
        <v>778</v>
      </c>
      <c r="Q428" t="s">
        <v>412</v>
      </c>
      <c r="R428" t="s">
        <v>709</v>
      </c>
      <c r="S428" t="s">
        <v>703</v>
      </c>
      <c r="T428" t="s">
        <v>615</v>
      </c>
      <c r="U428" s="1" t="s">
        <v>755</v>
      </c>
      <c r="V428" s="1">
        <v>3.9600000000000003E-10</v>
      </c>
      <c r="W428" s="1"/>
      <c r="X428" s="1"/>
      <c r="Y428" s="1"/>
      <c r="Z428" s="1"/>
      <c r="AA428" s="1">
        <v>5.7399999999999998E-8</v>
      </c>
      <c r="AC428">
        <v>70</v>
      </c>
      <c r="AD428">
        <v>520</v>
      </c>
      <c r="AE428" s="2"/>
      <c r="AF428" s="2"/>
      <c r="AI428" s="3"/>
      <c r="AJ428" t="s">
        <v>203</v>
      </c>
    </row>
    <row r="429" spans="1:36" x14ac:dyDescent="0.25">
      <c r="A429" t="s">
        <v>395</v>
      </c>
      <c r="B429" t="s">
        <v>396</v>
      </c>
      <c r="C429" t="s">
        <v>195</v>
      </c>
      <c r="D429" t="s">
        <v>92</v>
      </c>
      <c r="E429" t="s">
        <v>19</v>
      </c>
      <c r="F429" t="s">
        <v>37</v>
      </c>
      <c r="G429" t="s">
        <v>626</v>
      </c>
      <c r="H429" t="s">
        <v>714</v>
      </c>
      <c r="I429">
        <v>14</v>
      </c>
      <c r="J429" t="s">
        <v>778</v>
      </c>
      <c r="Q429" t="s">
        <v>412</v>
      </c>
      <c r="R429" t="s">
        <v>709</v>
      </c>
      <c r="S429" t="s">
        <v>703</v>
      </c>
      <c r="T429" t="s">
        <v>615</v>
      </c>
      <c r="U429" s="1" t="s">
        <v>755</v>
      </c>
      <c r="V429" s="1">
        <v>8.2400000000000005E-10</v>
      </c>
      <c r="W429" s="1"/>
      <c r="X429" s="1"/>
      <c r="Y429" s="1"/>
      <c r="Z429" s="1"/>
      <c r="AA429" s="1">
        <v>1.166E-7</v>
      </c>
      <c r="AC429">
        <v>71</v>
      </c>
      <c r="AD429">
        <v>190</v>
      </c>
      <c r="AE429" s="2"/>
      <c r="AF429" s="2"/>
      <c r="AI429" s="3"/>
      <c r="AJ429" t="s">
        <v>203</v>
      </c>
    </row>
    <row r="430" spans="1:36" x14ac:dyDescent="0.25">
      <c r="A430" t="s">
        <v>395</v>
      </c>
      <c r="B430" t="s">
        <v>194</v>
      </c>
      <c r="C430" t="s">
        <v>195</v>
      </c>
      <c r="D430" t="s">
        <v>92</v>
      </c>
      <c r="E430" t="s">
        <v>19</v>
      </c>
      <c r="F430" t="s">
        <v>37</v>
      </c>
      <c r="G430" t="s">
        <v>626</v>
      </c>
      <c r="H430" t="s">
        <v>714</v>
      </c>
      <c r="I430">
        <v>14</v>
      </c>
      <c r="J430" t="s">
        <v>778</v>
      </c>
      <c r="Q430" t="s">
        <v>412</v>
      </c>
      <c r="R430" t="s">
        <v>709</v>
      </c>
      <c r="S430" t="s">
        <v>703</v>
      </c>
      <c r="T430" t="s">
        <v>615</v>
      </c>
      <c r="U430" s="1" t="s">
        <v>755</v>
      </c>
      <c r="V430" s="1">
        <v>1.061E-9</v>
      </c>
      <c r="W430" s="1"/>
      <c r="X430" s="1"/>
      <c r="Y430" s="1"/>
      <c r="Z430" s="1"/>
      <c r="AA430" s="1">
        <v>1.3120000000000001E-7</v>
      </c>
      <c r="AC430">
        <v>82</v>
      </c>
      <c r="AD430">
        <v>230</v>
      </c>
      <c r="AE430" s="2"/>
      <c r="AF430" s="2"/>
      <c r="AI430" s="3"/>
      <c r="AJ430" t="s">
        <v>203</v>
      </c>
    </row>
    <row r="431" spans="1:36" x14ac:dyDescent="0.25">
      <c r="A431" t="s">
        <v>251</v>
      </c>
      <c r="B431" t="s">
        <v>128</v>
      </c>
      <c r="C431" t="s">
        <v>70</v>
      </c>
      <c r="D431" t="s">
        <v>71</v>
      </c>
      <c r="E431" t="s">
        <v>19</v>
      </c>
      <c r="F431" t="s">
        <v>129</v>
      </c>
      <c r="G431" t="s">
        <v>624</v>
      </c>
      <c r="H431" t="s">
        <v>713</v>
      </c>
      <c r="I431">
        <f t="shared" ref="I431:I442" si="63">+(1+2+4)*7</f>
        <v>49</v>
      </c>
      <c r="J431" t="s">
        <v>665</v>
      </c>
      <c r="K431" t="s">
        <v>39</v>
      </c>
      <c r="L431" t="str">
        <f t="shared" ref="L431:L442" si="64">+IF(K431 = "Control", "Control", "Stress")</f>
        <v>Control</v>
      </c>
      <c r="M431" t="s">
        <v>214</v>
      </c>
      <c r="N431" t="s">
        <v>716</v>
      </c>
      <c r="Q431" t="s">
        <v>412</v>
      </c>
      <c r="R431" t="s">
        <v>709</v>
      </c>
      <c r="S431" t="s">
        <v>703</v>
      </c>
      <c r="T431" t="s">
        <v>615</v>
      </c>
      <c r="U431" s="1" t="s">
        <v>755</v>
      </c>
      <c r="V431" s="1">
        <f>[61]Yi_etal_2010_Fig2c!C2</f>
        <v>6.2663285665003397E-11</v>
      </c>
      <c r="W431" s="1"/>
      <c r="X431" s="1"/>
      <c r="AB431" s="1"/>
      <c r="AE431" s="3">
        <f>[62]Yi_etal_2010_Fig1a!B2</f>
        <v>0.53125</v>
      </c>
      <c r="AH431" s="5">
        <f>[63]Yi_etal_2010_Fig1e!C2</f>
        <v>2.6521769974284001E-2</v>
      </c>
      <c r="AJ431" t="s">
        <v>47</v>
      </c>
    </row>
    <row r="432" spans="1:36" x14ac:dyDescent="0.25">
      <c r="A432" t="s">
        <v>251</v>
      </c>
      <c r="B432" t="s">
        <v>128</v>
      </c>
      <c r="C432" t="s">
        <v>70</v>
      </c>
      <c r="D432" t="s">
        <v>71</v>
      </c>
      <c r="E432" t="s">
        <v>19</v>
      </c>
      <c r="F432" t="s">
        <v>129</v>
      </c>
      <c r="G432" t="s">
        <v>624</v>
      </c>
      <c r="H432" t="s">
        <v>713</v>
      </c>
      <c r="I432">
        <f t="shared" si="63"/>
        <v>49</v>
      </c>
      <c r="J432" t="s">
        <v>665</v>
      </c>
      <c r="K432" t="s">
        <v>39</v>
      </c>
      <c r="L432" t="str">
        <f t="shared" si="64"/>
        <v>Control</v>
      </c>
      <c r="M432" t="s">
        <v>458</v>
      </c>
      <c r="N432" t="s">
        <v>716</v>
      </c>
      <c r="Q432" t="s">
        <v>412</v>
      </c>
      <c r="R432" t="s">
        <v>709</v>
      </c>
      <c r="S432" t="s">
        <v>703</v>
      </c>
      <c r="T432" t="s">
        <v>615</v>
      </c>
      <c r="U432" s="1" t="s">
        <v>755</v>
      </c>
      <c r="V432" s="1">
        <f>[61]Yi_etal_2010_Fig2c!C3</f>
        <v>7.4608183916489293E-11</v>
      </c>
      <c r="W432" s="1"/>
      <c r="X432" s="1"/>
      <c r="AB432" s="1"/>
      <c r="AE432" s="3">
        <f>[62]Yi_etal_2010_Fig1a!B3</f>
        <v>0.70833333333333104</v>
      </c>
      <c r="AH432" s="5">
        <f>[63]Yi_etal_2010_Fig1e!C3</f>
        <v>2.7793901620238301E-2</v>
      </c>
      <c r="AJ432" t="s">
        <v>47</v>
      </c>
    </row>
    <row r="433" spans="1:36" x14ac:dyDescent="0.25">
      <c r="A433" t="s">
        <v>251</v>
      </c>
      <c r="B433" t="s">
        <v>128</v>
      </c>
      <c r="C433" t="s">
        <v>70</v>
      </c>
      <c r="D433" t="s">
        <v>71</v>
      </c>
      <c r="E433" t="s">
        <v>19</v>
      </c>
      <c r="F433" t="s">
        <v>129</v>
      </c>
      <c r="G433" t="s">
        <v>624</v>
      </c>
      <c r="H433" t="s">
        <v>713</v>
      </c>
      <c r="I433">
        <f t="shared" si="63"/>
        <v>49</v>
      </c>
      <c r="J433" t="s">
        <v>665</v>
      </c>
      <c r="K433" t="s">
        <v>39</v>
      </c>
      <c r="L433" t="str">
        <f t="shared" si="64"/>
        <v>Control</v>
      </c>
      <c r="M433" t="s">
        <v>470</v>
      </c>
      <c r="N433" t="s">
        <v>716</v>
      </c>
      <c r="Q433" t="s">
        <v>412</v>
      </c>
      <c r="R433" t="s">
        <v>709</v>
      </c>
      <c r="S433" t="s">
        <v>703</v>
      </c>
      <c r="T433" t="s">
        <v>615</v>
      </c>
      <c r="U433" s="1" t="s">
        <v>755</v>
      </c>
      <c r="V433" s="1">
        <f>[61]Yi_etal_2010_Fig2c!C4</f>
        <v>6.4768706055573098E-11</v>
      </c>
      <c r="W433" s="1"/>
      <c r="X433" s="1"/>
      <c r="AB433" s="1"/>
      <c r="AE433" s="3">
        <f>[62]Yi_etal_2010_Fig1a!B4</f>
        <v>0.70833333333333104</v>
      </c>
      <c r="AH433" s="5">
        <f>[63]Yi_etal_2010_Fig1e!C4</f>
        <v>2.36614347787533E-2</v>
      </c>
      <c r="AJ433" t="s">
        <v>47</v>
      </c>
    </row>
    <row r="434" spans="1:36" x14ac:dyDescent="0.25">
      <c r="A434" t="s">
        <v>251</v>
      </c>
      <c r="B434" t="s">
        <v>128</v>
      </c>
      <c r="C434" t="s">
        <v>70</v>
      </c>
      <c r="D434" t="s">
        <v>71</v>
      </c>
      <c r="E434" t="s">
        <v>19</v>
      </c>
      <c r="F434" t="s">
        <v>129</v>
      </c>
      <c r="G434" t="s">
        <v>624</v>
      </c>
      <c r="H434" t="s">
        <v>713</v>
      </c>
      <c r="I434">
        <f t="shared" si="63"/>
        <v>49</v>
      </c>
      <c r="J434" t="s">
        <v>665</v>
      </c>
      <c r="K434" t="s">
        <v>84</v>
      </c>
      <c r="L434" t="str">
        <f t="shared" si="64"/>
        <v>Stress</v>
      </c>
      <c r="M434" t="s">
        <v>214</v>
      </c>
      <c r="N434" t="s">
        <v>716</v>
      </c>
      <c r="Q434" t="s">
        <v>412</v>
      </c>
      <c r="R434" t="s">
        <v>709</v>
      </c>
      <c r="S434" t="s">
        <v>703</v>
      </c>
      <c r="T434" t="s">
        <v>615</v>
      </c>
      <c r="U434" s="1" t="s">
        <v>755</v>
      </c>
      <c r="V434" s="1">
        <f>[61]Yi_etal_2010_Fig2c!C5</f>
        <v>5.4767959200366997E-11</v>
      </c>
      <c r="W434" s="1"/>
      <c r="X434" s="1"/>
      <c r="AB434" s="1"/>
      <c r="AE434" s="3">
        <f>[62]Yi_etal_2010_Fig1a!B5</f>
        <v>0.437499999999998</v>
      </c>
      <c r="AH434" s="5">
        <f>[63]Yi_etal_2010_Fig1e!C5</f>
        <v>2.3247216204917698E-2</v>
      </c>
      <c r="AJ434" t="s">
        <v>47</v>
      </c>
    </row>
    <row r="435" spans="1:36" x14ac:dyDescent="0.25">
      <c r="A435" t="s">
        <v>251</v>
      </c>
      <c r="B435" t="s">
        <v>128</v>
      </c>
      <c r="C435" t="s">
        <v>70</v>
      </c>
      <c r="D435" t="s">
        <v>71</v>
      </c>
      <c r="E435" t="s">
        <v>19</v>
      </c>
      <c r="F435" t="s">
        <v>129</v>
      </c>
      <c r="G435" t="s">
        <v>624</v>
      </c>
      <c r="H435" t="s">
        <v>713</v>
      </c>
      <c r="I435">
        <f t="shared" si="63"/>
        <v>49</v>
      </c>
      <c r="J435" t="s">
        <v>665</v>
      </c>
      <c r="K435" t="s">
        <v>84</v>
      </c>
      <c r="L435" t="str">
        <f t="shared" si="64"/>
        <v>Stress</v>
      </c>
      <c r="M435" t="s">
        <v>458</v>
      </c>
      <c r="N435" t="s">
        <v>716</v>
      </c>
      <c r="Q435" t="s">
        <v>412</v>
      </c>
      <c r="R435" t="s">
        <v>709</v>
      </c>
      <c r="S435" t="s">
        <v>703</v>
      </c>
      <c r="T435" t="s">
        <v>615</v>
      </c>
      <c r="U435" s="1" t="s">
        <v>755</v>
      </c>
      <c r="V435" s="1">
        <f>[61]Yi_etal_2010_Fig2c!C6</f>
        <v>6.9330450235140793E-11</v>
      </c>
      <c r="W435" s="1"/>
      <c r="X435" s="1"/>
      <c r="AB435" s="1"/>
      <c r="AE435" s="3">
        <f>[62]Yi_etal_2010_Fig1a!B6</f>
        <v>0.70833333333333204</v>
      </c>
      <c r="AH435" s="5">
        <f>[63]Yi_etal_2010_Fig1e!C6</f>
        <v>2.9551628472618104E-2</v>
      </c>
      <c r="AJ435" t="s">
        <v>47</v>
      </c>
    </row>
    <row r="436" spans="1:36" x14ac:dyDescent="0.25">
      <c r="A436" t="s">
        <v>251</v>
      </c>
      <c r="B436" t="s">
        <v>128</v>
      </c>
      <c r="C436" t="s">
        <v>70</v>
      </c>
      <c r="D436" t="s">
        <v>71</v>
      </c>
      <c r="E436" t="s">
        <v>19</v>
      </c>
      <c r="F436" t="s">
        <v>129</v>
      </c>
      <c r="G436" t="s">
        <v>624</v>
      </c>
      <c r="H436" t="s">
        <v>713</v>
      </c>
      <c r="I436">
        <f t="shared" si="63"/>
        <v>49</v>
      </c>
      <c r="J436" t="s">
        <v>665</v>
      </c>
      <c r="K436" t="s">
        <v>84</v>
      </c>
      <c r="L436" t="str">
        <f t="shared" si="64"/>
        <v>Stress</v>
      </c>
      <c r="M436" t="s">
        <v>470</v>
      </c>
      <c r="N436" t="s">
        <v>716</v>
      </c>
      <c r="Q436" t="s">
        <v>412</v>
      </c>
      <c r="R436" t="s">
        <v>709</v>
      </c>
      <c r="S436" t="s">
        <v>703</v>
      </c>
      <c r="T436" t="s">
        <v>615</v>
      </c>
      <c r="U436" s="1" t="s">
        <v>755</v>
      </c>
      <c r="V436" s="1">
        <f>[61]Yi_etal_2010_Fig2c!C7</f>
        <v>7.9506648789561093E-11</v>
      </c>
      <c r="W436" s="1"/>
      <c r="X436" s="1"/>
      <c r="AB436" s="1"/>
      <c r="AE436" s="3">
        <f>[62]Yi_etal_2010_Fig1a!B7</f>
        <v>0.593749999999999</v>
      </c>
      <c r="AH436" s="5">
        <f>[63]Yi_etal_2010_Fig1e!C7</f>
        <v>2.8951038143376597E-2</v>
      </c>
      <c r="AJ436" t="s">
        <v>47</v>
      </c>
    </row>
    <row r="437" spans="1:36" x14ac:dyDescent="0.25">
      <c r="A437" t="s">
        <v>251</v>
      </c>
      <c r="B437" t="s">
        <v>252</v>
      </c>
      <c r="C437" t="s">
        <v>367</v>
      </c>
      <c r="D437" t="s">
        <v>253</v>
      </c>
      <c r="E437" t="s">
        <v>19</v>
      </c>
      <c r="F437" t="s">
        <v>129</v>
      </c>
      <c r="G437" t="s">
        <v>624</v>
      </c>
      <c r="H437" t="s">
        <v>713</v>
      </c>
      <c r="I437">
        <f t="shared" si="63"/>
        <v>49</v>
      </c>
      <c r="J437" t="s">
        <v>665</v>
      </c>
      <c r="K437" t="s">
        <v>39</v>
      </c>
      <c r="L437" t="str">
        <f t="shared" si="64"/>
        <v>Control</v>
      </c>
      <c r="M437" t="s">
        <v>214</v>
      </c>
      <c r="N437" t="s">
        <v>716</v>
      </c>
      <c r="Q437" t="s">
        <v>412</v>
      </c>
      <c r="R437" t="s">
        <v>709</v>
      </c>
      <c r="S437" t="s">
        <v>703</v>
      </c>
      <c r="T437" t="s">
        <v>615</v>
      </c>
      <c r="U437" s="1" t="s">
        <v>755</v>
      </c>
      <c r="V437" s="1">
        <f>[61]Yi_etal_2010_Fig2c!C8</f>
        <v>7.2664032520209505E-11</v>
      </c>
      <c r="W437" s="1"/>
      <c r="X437" s="1"/>
      <c r="AB437" s="1"/>
      <c r="AE437" s="3">
        <f>[62]Yi_etal_2010_Fig1a!B8</f>
        <v>0.749999999999999</v>
      </c>
      <c r="AH437" s="5">
        <f>[63]Yi_etal_2010_Fig1e!C8</f>
        <v>1.96948552910245E-2</v>
      </c>
      <c r="AJ437" t="s">
        <v>47</v>
      </c>
    </row>
    <row r="438" spans="1:36" x14ac:dyDescent="0.25">
      <c r="A438" t="s">
        <v>251</v>
      </c>
      <c r="B438" t="s">
        <v>252</v>
      </c>
      <c r="C438" t="s">
        <v>367</v>
      </c>
      <c r="D438" t="s">
        <v>253</v>
      </c>
      <c r="E438" t="s">
        <v>19</v>
      </c>
      <c r="F438" t="s">
        <v>129</v>
      </c>
      <c r="G438" t="s">
        <v>624</v>
      </c>
      <c r="H438" t="s">
        <v>713</v>
      </c>
      <c r="I438">
        <f t="shared" si="63"/>
        <v>49</v>
      </c>
      <c r="J438" t="s">
        <v>665</v>
      </c>
      <c r="K438" t="s">
        <v>39</v>
      </c>
      <c r="L438" t="str">
        <f t="shared" si="64"/>
        <v>Control</v>
      </c>
      <c r="M438" t="s">
        <v>458</v>
      </c>
      <c r="N438" t="s">
        <v>716</v>
      </c>
      <c r="Q438" t="s">
        <v>412</v>
      </c>
      <c r="R438" t="s">
        <v>709</v>
      </c>
      <c r="S438" t="s">
        <v>703</v>
      </c>
      <c r="T438" t="s">
        <v>615</v>
      </c>
      <c r="U438" s="1" t="s">
        <v>755</v>
      </c>
      <c r="V438" s="1">
        <f>[61]Yi_etal_2010_Fig2c!C9</f>
        <v>7.5797098577604897E-11</v>
      </c>
      <c r="W438" s="1"/>
      <c r="X438" s="1"/>
      <c r="AB438" s="1"/>
      <c r="AE438" s="3">
        <f>[62]Yi_etal_2010_Fig1a!B9</f>
        <v>0.79166666666666696</v>
      </c>
      <c r="AH438" s="5">
        <f>[63]Yi_etal_2010_Fig1e!C9</f>
        <v>2.10677105106475E-2</v>
      </c>
      <c r="AJ438" t="s">
        <v>47</v>
      </c>
    </row>
    <row r="439" spans="1:36" x14ac:dyDescent="0.25">
      <c r="A439" t="s">
        <v>251</v>
      </c>
      <c r="B439" t="s">
        <v>252</v>
      </c>
      <c r="C439" t="s">
        <v>367</v>
      </c>
      <c r="D439" t="s">
        <v>253</v>
      </c>
      <c r="E439" t="s">
        <v>19</v>
      </c>
      <c r="F439" t="s">
        <v>129</v>
      </c>
      <c r="G439" t="s">
        <v>624</v>
      </c>
      <c r="H439" t="s">
        <v>713</v>
      </c>
      <c r="I439">
        <f t="shared" si="63"/>
        <v>49</v>
      </c>
      <c r="J439" t="s">
        <v>665</v>
      </c>
      <c r="K439" t="s">
        <v>39</v>
      </c>
      <c r="L439" t="str">
        <f t="shared" si="64"/>
        <v>Control</v>
      </c>
      <c r="M439" t="s">
        <v>470</v>
      </c>
      <c r="N439" t="s">
        <v>716</v>
      </c>
      <c r="Q439" t="s">
        <v>412</v>
      </c>
      <c r="R439" t="s">
        <v>709</v>
      </c>
      <c r="S439" t="s">
        <v>703</v>
      </c>
      <c r="T439" t="s">
        <v>615</v>
      </c>
      <c r="U439" s="1" t="s">
        <v>755</v>
      </c>
      <c r="V439" s="1">
        <f>[61]Yi_etal_2010_Fig2c!C10</f>
        <v>7.2664032520209505E-11</v>
      </c>
      <c r="W439" s="1"/>
      <c r="X439" s="1"/>
      <c r="AB439" s="1"/>
      <c r="AE439" s="3">
        <f>[62]Yi_etal_2010_Fig1a!B10</f>
        <v>0.91666666666666596</v>
      </c>
      <c r="AH439" s="5">
        <f>[63]Yi_etal_2010_Fig1e!C10</f>
        <v>1.7930011247859E-2</v>
      </c>
      <c r="AJ439" t="s">
        <v>47</v>
      </c>
    </row>
    <row r="440" spans="1:36" x14ac:dyDescent="0.25">
      <c r="A440" t="s">
        <v>251</v>
      </c>
      <c r="B440" t="s">
        <v>252</v>
      </c>
      <c r="C440" t="s">
        <v>367</v>
      </c>
      <c r="D440" t="s">
        <v>253</v>
      </c>
      <c r="E440" t="s">
        <v>19</v>
      </c>
      <c r="F440" t="s">
        <v>129</v>
      </c>
      <c r="G440" t="s">
        <v>624</v>
      </c>
      <c r="H440" t="s">
        <v>713</v>
      </c>
      <c r="I440">
        <f t="shared" si="63"/>
        <v>49</v>
      </c>
      <c r="J440" t="s">
        <v>665</v>
      </c>
      <c r="K440" t="s">
        <v>84</v>
      </c>
      <c r="L440" t="str">
        <f t="shared" si="64"/>
        <v>Stress</v>
      </c>
      <c r="M440" t="s">
        <v>214</v>
      </c>
      <c r="N440" t="s">
        <v>716</v>
      </c>
      <c r="Q440" t="s">
        <v>412</v>
      </c>
      <c r="R440" t="s">
        <v>709</v>
      </c>
      <c r="S440" t="s">
        <v>703</v>
      </c>
      <c r="T440" t="s">
        <v>615</v>
      </c>
      <c r="U440" s="1" t="s">
        <v>755</v>
      </c>
      <c r="V440" s="1">
        <f>[61]Yi_etal_2010_Fig2c!C11</f>
        <v>6.7387193340767394E-11</v>
      </c>
      <c r="W440" s="1"/>
      <c r="X440" s="1"/>
      <c r="AB440" s="1"/>
      <c r="AE440" s="3">
        <f>[62]Yi_etal_2010_Fig1a!B11</f>
        <v>0.55208333333333204</v>
      </c>
      <c r="AH440" s="5">
        <f>[63]Yi_etal_2010_Fig1e!C11</f>
        <v>2.11264292681691E-2</v>
      </c>
      <c r="AJ440" t="s">
        <v>47</v>
      </c>
    </row>
    <row r="441" spans="1:36" x14ac:dyDescent="0.25">
      <c r="A441" t="s">
        <v>251</v>
      </c>
      <c r="B441" t="s">
        <v>252</v>
      </c>
      <c r="C441" t="s">
        <v>367</v>
      </c>
      <c r="D441" t="s">
        <v>253</v>
      </c>
      <c r="E441" t="s">
        <v>19</v>
      </c>
      <c r="F441" t="s">
        <v>129</v>
      </c>
      <c r="G441" t="s">
        <v>624</v>
      </c>
      <c r="H441" t="s">
        <v>713</v>
      </c>
      <c r="I441">
        <f t="shared" si="63"/>
        <v>49</v>
      </c>
      <c r="J441" t="s">
        <v>665</v>
      </c>
      <c r="K441" t="s">
        <v>84</v>
      </c>
      <c r="L441" t="str">
        <f t="shared" si="64"/>
        <v>Stress</v>
      </c>
      <c r="M441" t="s">
        <v>458</v>
      </c>
      <c r="N441" t="s">
        <v>716</v>
      </c>
      <c r="Q441" t="s">
        <v>412</v>
      </c>
      <c r="R441" t="s">
        <v>709</v>
      </c>
      <c r="S441" t="s">
        <v>703</v>
      </c>
      <c r="T441" t="s">
        <v>615</v>
      </c>
      <c r="U441" s="1" t="s">
        <v>755</v>
      </c>
      <c r="V441" s="1">
        <f>[61]Yi_etal_2010_Fig2c!C12</f>
        <v>6.7295921814929196E-11</v>
      </c>
      <c r="W441" s="1"/>
      <c r="X441" s="1"/>
      <c r="AB441" s="1"/>
      <c r="AE441" s="3">
        <f>[62]Yi_etal_2010_Fig1a!B12</f>
        <v>0.64583333333333304</v>
      </c>
      <c r="AH441" s="5">
        <f>[63]Yi_etal_2010_Fig1e!C12</f>
        <v>2.2264274946477702E-2</v>
      </c>
      <c r="AJ441" t="s">
        <v>47</v>
      </c>
    </row>
    <row r="442" spans="1:36" x14ac:dyDescent="0.25">
      <c r="A442" t="s">
        <v>251</v>
      </c>
      <c r="B442" t="s">
        <v>252</v>
      </c>
      <c r="C442" t="s">
        <v>367</v>
      </c>
      <c r="D442" t="s">
        <v>253</v>
      </c>
      <c r="E442" t="s">
        <v>19</v>
      </c>
      <c r="F442" t="s">
        <v>129</v>
      </c>
      <c r="G442" t="s">
        <v>624</v>
      </c>
      <c r="H442" t="s">
        <v>713</v>
      </c>
      <c r="I442">
        <f t="shared" si="63"/>
        <v>49</v>
      </c>
      <c r="J442" t="s">
        <v>665</v>
      </c>
      <c r="K442" t="s">
        <v>84</v>
      </c>
      <c r="L442" t="str">
        <f t="shared" si="64"/>
        <v>Stress</v>
      </c>
      <c r="M442" t="s">
        <v>470</v>
      </c>
      <c r="N442" t="s">
        <v>716</v>
      </c>
      <c r="Q442" t="s">
        <v>412</v>
      </c>
      <c r="R442" t="s">
        <v>709</v>
      </c>
      <c r="S442" t="s">
        <v>703</v>
      </c>
      <c r="T442" t="s">
        <v>615</v>
      </c>
      <c r="U442" s="1" t="s">
        <v>755</v>
      </c>
      <c r="V442" s="1">
        <f>[61]Yi_etal_2010_Fig2c!C13</f>
        <v>6.5615141955835899E-11</v>
      </c>
      <c r="W442" s="1"/>
      <c r="X442" s="1"/>
      <c r="AB442" s="1"/>
      <c r="AE442" s="3">
        <f>[62]Yi_etal_2010_Fig1a!B13</f>
        <v>0.72916666666666596</v>
      </c>
      <c r="AH442" s="5">
        <f>[63]Yi_etal_2010_Fig1e!C13</f>
        <v>2.24591646714551E-2</v>
      </c>
      <c r="AJ442" t="s">
        <v>47</v>
      </c>
    </row>
    <row r="443" spans="1:36" x14ac:dyDescent="0.25">
      <c r="A443" t="s">
        <v>397</v>
      </c>
      <c r="B443" t="s">
        <v>398</v>
      </c>
      <c r="C443" t="s">
        <v>70</v>
      </c>
      <c r="D443" t="s">
        <v>71</v>
      </c>
      <c r="E443" t="s">
        <v>19</v>
      </c>
      <c r="F443" t="s">
        <v>129</v>
      </c>
      <c r="G443" t="s">
        <v>624</v>
      </c>
      <c r="H443" t="s">
        <v>713</v>
      </c>
      <c r="I443">
        <f>+(4+12)*7</f>
        <v>112</v>
      </c>
      <c r="J443" t="s">
        <v>213</v>
      </c>
      <c r="K443" t="s">
        <v>214</v>
      </c>
      <c r="L443" t="s">
        <v>716</v>
      </c>
      <c r="Q443" t="s">
        <v>412</v>
      </c>
      <c r="R443" t="s">
        <v>709</v>
      </c>
      <c r="S443" t="s">
        <v>703</v>
      </c>
      <c r="T443" t="s">
        <v>615</v>
      </c>
      <c r="U443" s="1" t="s">
        <v>754</v>
      </c>
      <c r="V443" s="1">
        <f>+Z443*AI443</f>
        <v>1.0915887850467282E-10</v>
      </c>
      <c r="W443" s="1"/>
      <c r="X443" s="1"/>
      <c r="Z443" s="1">
        <f>'[64]Siemens&amp;Zwiazek_2008_Fig3c'!C2</f>
        <v>2.0000000000000002E-11</v>
      </c>
      <c r="AB443" s="1"/>
      <c r="AE443" s="3"/>
      <c r="AI443" s="5">
        <f>'[65]Siemens&amp;Zwiazek_2008_Fig3b'!B2</f>
        <v>5.4579439252336401</v>
      </c>
      <c r="AJ443" t="s">
        <v>203</v>
      </c>
    </row>
    <row r="444" spans="1:36" x14ac:dyDescent="0.25">
      <c r="A444" t="s">
        <v>397</v>
      </c>
      <c r="B444" t="s">
        <v>398</v>
      </c>
      <c r="C444" t="s">
        <v>70</v>
      </c>
      <c r="D444" t="s">
        <v>71</v>
      </c>
      <c r="E444" t="s">
        <v>19</v>
      </c>
      <c r="F444" t="s">
        <v>129</v>
      </c>
      <c r="G444" t="s">
        <v>624</v>
      </c>
      <c r="H444" t="s">
        <v>713</v>
      </c>
      <c r="I444">
        <f>+(4+12)*7</f>
        <v>112</v>
      </c>
      <c r="J444" t="s">
        <v>213</v>
      </c>
      <c r="K444" t="s">
        <v>419</v>
      </c>
      <c r="L444" t="s">
        <v>716</v>
      </c>
      <c r="Q444" t="s">
        <v>412</v>
      </c>
      <c r="R444" t="s">
        <v>709</v>
      </c>
      <c r="S444" t="s">
        <v>703</v>
      </c>
      <c r="T444" t="s">
        <v>615</v>
      </c>
      <c r="U444" s="1" t="s">
        <v>754</v>
      </c>
      <c r="V444" s="1">
        <f t="shared" ref="V444:V445" si="65">+Z444*AI444</f>
        <v>1.6099065420560756E-10</v>
      </c>
      <c r="W444" s="1"/>
      <c r="X444" s="1"/>
      <c r="Z444" s="1">
        <f>'[64]Siemens&amp;Zwiazek_2008_Fig3c'!C3</f>
        <v>3.1900000000000001E-11</v>
      </c>
      <c r="AB444" s="1"/>
      <c r="AE444" s="3"/>
      <c r="AI444" s="5">
        <f>'[65]Siemens&amp;Zwiazek_2008_Fig3b'!B3</f>
        <v>5.0467289719626196</v>
      </c>
      <c r="AJ444" t="s">
        <v>203</v>
      </c>
    </row>
    <row r="445" spans="1:36" x14ac:dyDescent="0.25">
      <c r="A445" t="s">
        <v>397</v>
      </c>
      <c r="B445" t="s">
        <v>398</v>
      </c>
      <c r="C445" t="s">
        <v>70</v>
      </c>
      <c r="D445" t="s">
        <v>71</v>
      </c>
      <c r="E445" t="s">
        <v>19</v>
      </c>
      <c r="F445" t="s">
        <v>129</v>
      </c>
      <c r="G445" t="s">
        <v>624</v>
      </c>
      <c r="H445" t="s">
        <v>713</v>
      </c>
      <c r="I445">
        <f>+(4+12)*7</f>
        <v>112</v>
      </c>
      <c r="J445" t="s">
        <v>213</v>
      </c>
      <c r="K445" t="s">
        <v>471</v>
      </c>
      <c r="L445" t="s">
        <v>716</v>
      </c>
      <c r="Q445" t="s">
        <v>412</v>
      </c>
      <c r="R445" t="s">
        <v>709</v>
      </c>
      <c r="S445" t="s">
        <v>703</v>
      </c>
      <c r="T445" t="s">
        <v>615</v>
      </c>
      <c r="U445" s="1" t="s">
        <v>754</v>
      </c>
      <c r="V445" s="1">
        <f t="shared" si="65"/>
        <v>1.7507865559876902E-10</v>
      </c>
      <c r="W445" s="1"/>
      <c r="X445" s="1"/>
      <c r="Z445" s="1">
        <f>'[64]Siemens&amp;Zwiazek_2008_Fig3c'!C4</f>
        <v>2.1987577639751499E-11</v>
      </c>
      <c r="AB445" s="1"/>
      <c r="AE445" s="3"/>
      <c r="AI445" s="5">
        <f>'[65]Siemens&amp;Zwiazek_2008_Fig3b'!B4</f>
        <v>7.9626168224299096</v>
      </c>
      <c r="AJ445" t="s">
        <v>203</v>
      </c>
    </row>
    <row r="446" spans="1:36" x14ac:dyDescent="0.25">
      <c r="A446" t="s">
        <v>93</v>
      </c>
      <c r="B446" t="s">
        <v>56</v>
      </c>
      <c r="C446" t="s">
        <v>57</v>
      </c>
      <c r="D446" t="s">
        <v>18</v>
      </c>
      <c r="E446" t="s">
        <v>19</v>
      </c>
      <c r="F446" t="s">
        <v>20</v>
      </c>
      <c r="G446" t="s">
        <v>20</v>
      </c>
      <c r="H446" t="s">
        <v>712</v>
      </c>
      <c r="I446">
        <f>+AVERAGE(18,22)</f>
        <v>20</v>
      </c>
      <c r="J446" t="s">
        <v>94</v>
      </c>
      <c r="K446" t="s">
        <v>39</v>
      </c>
      <c r="L446" t="str">
        <f t="shared" ref="L446:L477" si="66">+IF(K446 = "Control", "Control", "Stress")</f>
        <v>Control</v>
      </c>
      <c r="Q446" t="s">
        <v>412</v>
      </c>
      <c r="R446" t="s">
        <v>709</v>
      </c>
      <c r="S446" t="s">
        <v>703</v>
      </c>
      <c r="T446" t="s">
        <v>615</v>
      </c>
      <c r="U446" s="1"/>
      <c r="V446" s="1"/>
      <c r="W446" s="1"/>
      <c r="X446" s="1"/>
      <c r="Y446" s="1"/>
      <c r="Z446" s="1"/>
      <c r="AA446" s="1">
        <v>2.0599999999999999E-7</v>
      </c>
      <c r="AE446" s="2"/>
      <c r="AF446" s="2"/>
      <c r="AJ446" t="s">
        <v>203</v>
      </c>
    </row>
    <row r="447" spans="1:36" x14ac:dyDescent="0.25">
      <c r="A447" t="s">
        <v>326</v>
      </c>
      <c r="B447" t="s">
        <v>294</v>
      </c>
      <c r="C447" t="s">
        <v>295</v>
      </c>
      <c r="D447" t="s">
        <v>36</v>
      </c>
      <c r="E447" t="s">
        <v>19</v>
      </c>
      <c r="F447" t="s">
        <v>37</v>
      </c>
      <c r="G447" t="s">
        <v>622</v>
      </c>
      <c r="H447" t="s">
        <v>714</v>
      </c>
      <c r="I447">
        <f>5*7</f>
        <v>35</v>
      </c>
      <c r="J447" t="s">
        <v>51</v>
      </c>
      <c r="K447" t="s">
        <v>39</v>
      </c>
      <c r="L447" t="str">
        <f t="shared" si="66"/>
        <v>Control</v>
      </c>
      <c r="Q447" t="s">
        <v>412</v>
      </c>
      <c r="R447" t="s">
        <v>709</v>
      </c>
      <c r="S447" t="s">
        <v>703</v>
      </c>
      <c r="T447" t="s">
        <v>616</v>
      </c>
      <c r="U447" s="1"/>
      <c r="V447" s="1"/>
      <c r="W447" s="1"/>
      <c r="X447" s="1">
        <f>[66]Mahdieh_etal_2008_Fig2b!C2</f>
        <v>2.13252E-9</v>
      </c>
      <c r="Y447" s="1"/>
      <c r="Z447" s="1"/>
      <c r="AE447" s="2"/>
      <c r="AF447" s="2"/>
      <c r="AJ447" s="1" t="s">
        <v>352</v>
      </c>
    </row>
    <row r="448" spans="1:36" x14ac:dyDescent="0.25">
      <c r="A448" t="s">
        <v>326</v>
      </c>
      <c r="B448" t="s">
        <v>294</v>
      </c>
      <c r="C448" t="s">
        <v>295</v>
      </c>
      <c r="D448" t="s">
        <v>36</v>
      </c>
      <c r="E448" t="s">
        <v>19</v>
      </c>
      <c r="F448" t="s">
        <v>37</v>
      </c>
      <c r="G448" t="s">
        <v>622</v>
      </c>
      <c r="H448" t="s">
        <v>714</v>
      </c>
      <c r="I448">
        <f>5*7</f>
        <v>35</v>
      </c>
      <c r="J448" t="s">
        <v>51</v>
      </c>
      <c r="K448" t="s">
        <v>39</v>
      </c>
      <c r="L448" t="str">
        <f t="shared" si="66"/>
        <v>Control</v>
      </c>
      <c r="Q448" t="s">
        <v>412</v>
      </c>
      <c r="R448" t="s">
        <v>709</v>
      </c>
      <c r="S448" t="s">
        <v>703</v>
      </c>
      <c r="T448" t="s">
        <v>616</v>
      </c>
      <c r="U448" s="1"/>
      <c r="V448" s="1"/>
      <c r="W448" s="1"/>
      <c r="X448" s="1">
        <f>[66]Mahdieh_etal_2008_Fig2b!C3</f>
        <v>2.0991099999999998E-9</v>
      </c>
      <c r="Y448" s="1"/>
      <c r="Z448" s="1"/>
      <c r="AE448" s="2"/>
      <c r="AF448" s="2"/>
      <c r="AJ448" s="1" t="s">
        <v>352</v>
      </c>
    </row>
    <row r="449" spans="1:36" x14ac:dyDescent="0.25">
      <c r="A449" t="s">
        <v>326</v>
      </c>
      <c r="B449" t="s">
        <v>294</v>
      </c>
      <c r="C449" t="s">
        <v>295</v>
      </c>
      <c r="D449" t="s">
        <v>36</v>
      </c>
      <c r="E449" t="s">
        <v>19</v>
      </c>
      <c r="F449" t="s">
        <v>37</v>
      </c>
      <c r="G449" t="s">
        <v>622</v>
      </c>
      <c r="H449" t="s">
        <v>714</v>
      </c>
      <c r="I449">
        <f>5*7</f>
        <v>35</v>
      </c>
      <c r="J449" t="s">
        <v>51</v>
      </c>
      <c r="K449" t="s">
        <v>39</v>
      </c>
      <c r="L449" t="str">
        <f t="shared" si="66"/>
        <v>Control</v>
      </c>
      <c r="Q449" t="s">
        <v>412</v>
      </c>
      <c r="R449" t="s">
        <v>709</v>
      </c>
      <c r="S449" t="s">
        <v>703</v>
      </c>
      <c r="T449" t="s">
        <v>616</v>
      </c>
      <c r="U449" s="1"/>
      <c r="V449" s="1"/>
      <c r="W449" s="1"/>
      <c r="X449" s="1">
        <f>[66]Mahdieh_etal_2008_Fig2b!C4</f>
        <v>2.0991099999999998E-9</v>
      </c>
      <c r="Y449" s="1"/>
      <c r="Z449" s="1"/>
      <c r="AE449" s="2"/>
      <c r="AF449" s="2"/>
      <c r="AJ449" s="1" t="s">
        <v>352</v>
      </c>
    </row>
    <row r="450" spans="1:36" x14ac:dyDescent="0.25">
      <c r="A450" t="s">
        <v>326</v>
      </c>
      <c r="B450" t="s">
        <v>294</v>
      </c>
      <c r="C450" t="s">
        <v>295</v>
      </c>
      <c r="D450" t="s">
        <v>36</v>
      </c>
      <c r="E450" t="s">
        <v>19</v>
      </c>
      <c r="F450" t="s">
        <v>37</v>
      </c>
      <c r="G450" t="s">
        <v>622</v>
      </c>
      <c r="H450" t="s">
        <v>714</v>
      </c>
      <c r="I450">
        <f>5*7+1</f>
        <v>36</v>
      </c>
      <c r="J450" t="s">
        <v>51</v>
      </c>
      <c r="K450" t="s">
        <v>39</v>
      </c>
      <c r="L450" t="str">
        <f t="shared" si="66"/>
        <v>Control</v>
      </c>
      <c r="Q450" t="s">
        <v>412</v>
      </c>
      <c r="R450" t="s">
        <v>709</v>
      </c>
      <c r="S450" t="s">
        <v>703</v>
      </c>
      <c r="T450" t="s">
        <v>616</v>
      </c>
      <c r="U450" s="1"/>
      <c r="V450" s="1"/>
      <c r="W450" s="1"/>
      <c r="X450" s="1">
        <f>[66]Mahdieh_etal_2008_Fig2b!C5</f>
        <v>2.0783300000000002E-9</v>
      </c>
      <c r="Y450" s="1"/>
      <c r="Z450" s="1"/>
      <c r="AE450" s="2"/>
      <c r="AF450" s="2"/>
      <c r="AJ450" s="1" t="s">
        <v>352</v>
      </c>
    </row>
    <row r="451" spans="1:36" x14ac:dyDescent="0.25">
      <c r="A451" t="s">
        <v>326</v>
      </c>
      <c r="B451" t="s">
        <v>294</v>
      </c>
      <c r="C451" t="s">
        <v>295</v>
      </c>
      <c r="D451" t="s">
        <v>36</v>
      </c>
      <c r="E451" t="s">
        <v>19</v>
      </c>
      <c r="F451" t="s">
        <v>37</v>
      </c>
      <c r="G451" t="s">
        <v>622</v>
      </c>
      <c r="H451" t="s">
        <v>714</v>
      </c>
      <c r="I451">
        <f>5*7+1</f>
        <v>36</v>
      </c>
      <c r="J451" t="s">
        <v>51</v>
      </c>
      <c r="K451" t="s">
        <v>51</v>
      </c>
      <c r="L451" t="str">
        <f t="shared" si="66"/>
        <v>Stress</v>
      </c>
      <c r="Q451" t="s">
        <v>412</v>
      </c>
      <c r="R451" t="s">
        <v>709</v>
      </c>
      <c r="S451" t="s">
        <v>703</v>
      </c>
      <c r="T451" t="s">
        <v>616</v>
      </c>
      <c r="U451" s="1"/>
      <c r="V451" s="1"/>
      <c r="W451" s="1"/>
      <c r="X451" s="1">
        <f>[66]Mahdieh_etal_2008_Fig2b!C6</f>
        <v>1.3680600000000001E-10</v>
      </c>
      <c r="Y451" s="1"/>
      <c r="Z451" s="1"/>
      <c r="AE451" s="2"/>
      <c r="AF451" s="2"/>
      <c r="AJ451" s="1" t="s">
        <v>352</v>
      </c>
    </row>
    <row r="452" spans="1:36" x14ac:dyDescent="0.25">
      <c r="A452" t="s">
        <v>254</v>
      </c>
      <c r="B452" t="s">
        <v>255</v>
      </c>
      <c r="C452" t="s">
        <v>256</v>
      </c>
      <c r="D452" t="s">
        <v>257</v>
      </c>
      <c r="E452" t="s">
        <v>19</v>
      </c>
      <c r="F452" t="s">
        <v>72</v>
      </c>
      <c r="G452" t="s">
        <v>624</v>
      </c>
      <c r="H452" t="s">
        <v>713</v>
      </c>
      <c r="I452">
        <f t="shared" ref="I452:I467" si="67">1*365</f>
        <v>365</v>
      </c>
      <c r="J452" t="s">
        <v>666</v>
      </c>
      <c r="K452" t="s">
        <v>39</v>
      </c>
      <c r="L452" t="str">
        <f t="shared" si="66"/>
        <v>Control</v>
      </c>
      <c r="M452" t="s">
        <v>39</v>
      </c>
      <c r="N452" t="str">
        <f t="shared" ref="N452:N467" si="68">+IF(M452="Control","Control","Stress")</f>
        <v>Control</v>
      </c>
      <c r="O452" t="s">
        <v>214</v>
      </c>
      <c r="P452" t="s">
        <v>716</v>
      </c>
      <c r="Q452" t="s">
        <v>412</v>
      </c>
      <c r="R452" t="s">
        <v>709</v>
      </c>
      <c r="S452" t="s">
        <v>703</v>
      </c>
      <c r="T452" t="s">
        <v>615</v>
      </c>
      <c r="U452" s="1" t="s">
        <v>755</v>
      </c>
      <c r="V452" s="1">
        <f>'[67]Calvo-Polanco_etal_2008_Fig4'!C2</f>
        <v>1.31171171171171E-9</v>
      </c>
      <c r="W452" s="1"/>
      <c r="X452" s="1"/>
      <c r="AE452" s="2">
        <f>'[68]Calvo-Polanco_etal_2008_Fig1ab'!C2</f>
        <v>3.3980015262806518</v>
      </c>
      <c r="AJ452" t="s">
        <v>47</v>
      </c>
    </row>
    <row r="453" spans="1:36" x14ac:dyDescent="0.25">
      <c r="A453" t="s">
        <v>254</v>
      </c>
      <c r="B453" t="s">
        <v>255</v>
      </c>
      <c r="C453" t="s">
        <v>256</v>
      </c>
      <c r="D453" t="s">
        <v>257</v>
      </c>
      <c r="E453" t="s">
        <v>19</v>
      </c>
      <c r="F453" t="s">
        <v>72</v>
      </c>
      <c r="G453" t="s">
        <v>624</v>
      </c>
      <c r="H453" t="s">
        <v>713</v>
      </c>
      <c r="I453">
        <f t="shared" si="67"/>
        <v>365</v>
      </c>
      <c r="J453" t="s">
        <v>666</v>
      </c>
      <c r="K453" t="s">
        <v>39</v>
      </c>
      <c r="L453" t="str">
        <f t="shared" si="66"/>
        <v>Control</v>
      </c>
      <c r="M453" t="s">
        <v>39</v>
      </c>
      <c r="N453" t="str">
        <f t="shared" si="68"/>
        <v>Control</v>
      </c>
      <c r="O453" t="s">
        <v>470</v>
      </c>
      <c r="P453" t="s">
        <v>716</v>
      </c>
      <c r="Q453" t="s">
        <v>412</v>
      </c>
      <c r="R453" t="s">
        <v>709</v>
      </c>
      <c r="S453" t="s">
        <v>703</v>
      </c>
      <c r="T453" t="s">
        <v>615</v>
      </c>
      <c r="U453" s="1" t="s">
        <v>755</v>
      </c>
      <c r="V453" s="1">
        <f>'[67]Calvo-Polanco_etal_2008_Fig4'!C3</f>
        <v>5.0930930930930905E-10</v>
      </c>
      <c r="W453" s="1"/>
      <c r="X453" s="1"/>
      <c r="AE453" s="2">
        <f>'[68]Calvo-Polanco_etal_2008_Fig1ab'!C3</f>
        <v>2.4088016967126218</v>
      </c>
      <c r="AJ453" t="s">
        <v>47</v>
      </c>
    </row>
    <row r="454" spans="1:36" x14ac:dyDescent="0.25">
      <c r="A454" t="s">
        <v>254</v>
      </c>
      <c r="B454" t="s">
        <v>255</v>
      </c>
      <c r="C454" t="s">
        <v>256</v>
      </c>
      <c r="D454" t="s">
        <v>257</v>
      </c>
      <c r="E454" t="s">
        <v>19</v>
      </c>
      <c r="F454" t="s">
        <v>72</v>
      </c>
      <c r="G454" t="s">
        <v>624</v>
      </c>
      <c r="H454" t="s">
        <v>713</v>
      </c>
      <c r="I454">
        <f t="shared" si="67"/>
        <v>365</v>
      </c>
      <c r="J454" t="s">
        <v>666</v>
      </c>
      <c r="K454" t="s">
        <v>39</v>
      </c>
      <c r="L454" t="str">
        <f t="shared" si="66"/>
        <v>Control</v>
      </c>
      <c r="M454" t="s">
        <v>39</v>
      </c>
      <c r="N454" t="str">
        <f t="shared" si="68"/>
        <v>Control</v>
      </c>
      <c r="O454" t="s">
        <v>458</v>
      </c>
      <c r="P454" t="s">
        <v>716</v>
      </c>
      <c r="Q454" t="s">
        <v>412</v>
      </c>
      <c r="R454" t="s">
        <v>709</v>
      </c>
      <c r="S454" t="s">
        <v>703</v>
      </c>
      <c r="T454" t="s">
        <v>615</v>
      </c>
      <c r="U454" s="1" t="s">
        <v>755</v>
      </c>
      <c r="V454" s="1">
        <f>'[67]Calvo-Polanco_etal_2008_Fig4'!C4</f>
        <v>6.1501501501501502E-10</v>
      </c>
      <c r="W454" s="1"/>
      <c r="X454" s="1"/>
      <c r="AE454" s="2">
        <f>'[68]Calvo-Polanco_etal_2008_Fig1ab'!C4</f>
        <v>2.6691081430417984</v>
      </c>
      <c r="AJ454" t="s">
        <v>47</v>
      </c>
    </row>
    <row r="455" spans="1:36" x14ac:dyDescent="0.25">
      <c r="A455" t="s">
        <v>254</v>
      </c>
      <c r="B455" t="s">
        <v>255</v>
      </c>
      <c r="C455" t="s">
        <v>256</v>
      </c>
      <c r="D455" t="s">
        <v>257</v>
      </c>
      <c r="E455" t="s">
        <v>19</v>
      </c>
      <c r="F455" t="s">
        <v>72</v>
      </c>
      <c r="G455" t="s">
        <v>624</v>
      </c>
      <c r="H455" t="s">
        <v>713</v>
      </c>
      <c r="I455">
        <f t="shared" si="67"/>
        <v>365</v>
      </c>
      <c r="J455" t="s">
        <v>666</v>
      </c>
      <c r="K455" t="s">
        <v>39</v>
      </c>
      <c r="L455" t="str">
        <f t="shared" si="66"/>
        <v>Control</v>
      </c>
      <c r="M455" t="s">
        <v>39</v>
      </c>
      <c r="N455" t="str">
        <f t="shared" si="68"/>
        <v>Control</v>
      </c>
      <c r="O455" t="s">
        <v>472</v>
      </c>
      <c r="P455" t="s">
        <v>716</v>
      </c>
      <c r="Q455" t="s">
        <v>412</v>
      </c>
      <c r="R455" t="s">
        <v>709</v>
      </c>
      <c r="S455" t="s">
        <v>703</v>
      </c>
      <c r="T455" t="s">
        <v>615</v>
      </c>
      <c r="U455" s="1" t="s">
        <v>755</v>
      </c>
      <c r="V455" s="1">
        <f>'[67]Calvo-Polanco_etal_2008_Fig4'!C5</f>
        <v>7.0630630630630606E-10</v>
      </c>
      <c r="W455" s="1"/>
      <c r="X455" s="1"/>
      <c r="AE455" s="2">
        <f>'[68]Calvo-Polanco_etal_2008_Fig1ab'!C5</f>
        <v>2.623853811894159</v>
      </c>
      <c r="AJ455" t="s">
        <v>47</v>
      </c>
    </row>
    <row r="456" spans="1:36" x14ac:dyDescent="0.25">
      <c r="A456" t="s">
        <v>254</v>
      </c>
      <c r="B456" t="s">
        <v>255</v>
      </c>
      <c r="C456" t="s">
        <v>256</v>
      </c>
      <c r="D456" t="s">
        <v>257</v>
      </c>
      <c r="E456" t="s">
        <v>19</v>
      </c>
      <c r="F456" t="s">
        <v>72</v>
      </c>
      <c r="G456" t="s">
        <v>624</v>
      </c>
      <c r="H456" t="s">
        <v>713</v>
      </c>
      <c r="I456">
        <f t="shared" si="67"/>
        <v>365</v>
      </c>
      <c r="J456" t="s">
        <v>666</v>
      </c>
      <c r="K456" t="s">
        <v>84</v>
      </c>
      <c r="L456" t="str">
        <f t="shared" si="66"/>
        <v>Stress</v>
      </c>
      <c r="M456" t="s">
        <v>39</v>
      </c>
      <c r="N456" t="str">
        <f t="shared" si="68"/>
        <v>Control</v>
      </c>
      <c r="O456" t="s">
        <v>214</v>
      </c>
      <c r="P456" t="s">
        <v>716</v>
      </c>
      <c r="Q456" t="s">
        <v>412</v>
      </c>
      <c r="R456" t="s">
        <v>709</v>
      </c>
      <c r="S456" t="s">
        <v>703</v>
      </c>
      <c r="T456" t="s">
        <v>615</v>
      </c>
      <c r="U456" s="1" t="s">
        <v>755</v>
      </c>
      <c r="V456" s="1">
        <f>'[67]Calvo-Polanco_etal_2008_Fig4'!C6</f>
        <v>5.9099099099099102E-10</v>
      </c>
      <c r="W456" s="1"/>
      <c r="X456" s="1"/>
      <c r="AE456" s="2">
        <f>'[68]Calvo-Polanco_etal_2008_Fig1ab'!C6</f>
        <v>2.6859440559440637</v>
      </c>
      <c r="AJ456" t="s">
        <v>47</v>
      </c>
    </row>
    <row r="457" spans="1:36" x14ac:dyDescent="0.25">
      <c r="A457" t="s">
        <v>254</v>
      </c>
      <c r="B457" t="s">
        <v>255</v>
      </c>
      <c r="C457" t="s">
        <v>256</v>
      </c>
      <c r="D457" t="s">
        <v>257</v>
      </c>
      <c r="E457" t="s">
        <v>19</v>
      </c>
      <c r="F457" t="s">
        <v>72</v>
      </c>
      <c r="G457" t="s">
        <v>624</v>
      </c>
      <c r="H457" t="s">
        <v>713</v>
      </c>
      <c r="I457">
        <f t="shared" si="67"/>
        <v>365</v>
      </c>
      <c r="J457" t="s">
        <v>666</v>
      </c>
      <c r="K457" t="s">
        <v>84</v>
      </c>
      <c r="L457" t="str">
        <f t="shared" si="66"/>
        <v>Stress</v>
      </c>
      <c r="M457" t="s">
        <v>39</v>
      </c>
      <c r="N457" t="str">
        <f t="shared" si="68"/>
        <v>Control</v>
      </c>
      <c r="O457" t="s">
        <v>470</v>
      </c>
      <c r="P457" t="s">
        <v>716</v>
      </c>
      <c r="Q457" t="s">
        <v>412</v>
      </c>
      <c r="R457" t="s">
        <v>709</v>
      </c>
      <c r="S457" t="s">
        <v>703</v>
      </c>
      <c r="T457" t="s">
        <v>615</v>
      </c>
      <c r="U457" s="1" t="s">
        <v>755</v>
      </c>
      <c r="V457" s="1">
        <f>'[67]Calvo-Polanco_etal_2008_Fig4'!C7</f>
        <v>2.4744744744744706E-10</v>
      </c>
      <c r="W457" s="1"/>
      <c r="X457" s="1"/>
      <c r="AE457" s="2">
        <f>'[68]Calvo-Polanco_etal_2008_Fig1ab'!C7</f>
        <v>2.2062386721358433</v>
      </c>
      <c r="AJ457" t="s">
        <v>47</v>
      </c>
    </row>
    <row r="458" spans="1:36" x14ac:dyDescent="0.25">
      <c r="A458" t="s">
        <v>254</v>
      </c>
      <c r="B458" t="s">
        <v>255</v>
      </c>
      <c r="C458" t="s">
        <v>256</v>
      </c>
      <c r="D458" t="s">
        <v>257</v>
      </c>
      <c r="E458" t="s">
        <v>19</v>
      </c>
      <c r="F458" t="s">
        <v>72</v>
      </c>
      <c r="G458" t="s">
        <v>624</v>
      </c>
      <c r="H458" t="s">
        <v>713</v>
      </c>
      <c r="I458">
        <f t="shared" si="67"/>
        <v>365</v>
      </c>
      <c r="J458" t="s">
        <v>666</v>
      </c>
      <c r="K458" t="s">
        <v>84</v>
      </c>
      <c r="L458" t="str">
        <f t="shared" si="66"/>
        <v>Stress</v>
      </c>
      <c r="M458" t="s">
        <v>39</v>
      </c>
      <c r="N458" t="str">
        <f t="shared" si="68"/>
        <v>Control</v>
      </c>
      <c r="O458" t="s">
        <v>458</v>
      </c>
      <c r="P458" t="s">
        <v>716</v>
      </c>
      <c r="Q458" t="s">
        <v>412</v>
      </c>
      <c r="R458" t="s">
        <v>709</v>
      </c>
      <c r="S458" t="s">
        <v>703</v>
      </c>
      <c r="T458" t="s">
        <v>615</v>
      </c>
      <c r="U458" s="1" t="s">
        <v>755</v>
      </c>
      <c r="V458" s="1">
        <f>'[67]Calvo-Polanco_etal_2008_Fig4'!C8</f>
        <v>4.5165165165165101E-10</v>
      </c>
      <c r="W458" s="1"/>
      <c r="X458" s="1"/>
      <c r="AE458" s="2">
        <f>'[68]Calvo-Polanco_etal_2008_Fig1ab'!C8</f>
        <v>2.4552059888443156</v>
      </c>
      <c r="AJ458" t="s">
        <v>47</v>
      </c>
    </row>
    <row r="459" spans="1:36" x14ac:dyDescent="0.25">
      <c r="A459" t="s">
        <v>254</v>
      </c>
      <c r="B459" t="s">
        <v>255</v>
      </c>
      <c r="C459" t="s">
        <v>256</v>
      </c>
      <c r="D459" t="s">
        <v>257</v>
      </c>
      <c r="E459" t="s">
        <v>19</v>
      </c>
      <c r="F459" t="s">
        <v>72</v>
      </c>
      <c r="G459" t="s">
        <v>624</v>
      </c>
      <c r="H459" t="s">
        <v>713</v>
      </c>
      <c r="I459">
        <f t="shared" si="67"/>
        <v>365</v>
      </c>
      <c r="J459" t="s">
        <v>666</v>
      </c>
      <c r="K459" t="s">
        <v>84</v>
      </c>
      <c r="L459" t="str">
        <f t="shared" si="66"/>
        <v>Stress</v>
      </c>
      <c r="M459" t="s">
        <v>39</v>
      </c>
      <c r="N459" t="str">
        <f t="shared" si="68"/>
        <v>Control</v>
      </c>
      <c r="O459" t="s">
        <v>472</v>
      </c>
      <c r="P459" t="s">
        <v>716</v>
      </c>
      <c r="Q459" t="s">
        <v>412</v>
      </c>
      <c r="R459" t="s">
        <v>709</v>
      </c>
      <c r="S459" t="s">
        <v>703</v>
      </c>
      <c r="T459" t="s">
        <v>615</v>
      </c>
      <c r="U459" s="1" t="s">
        <v>755</v>
      </c>
      <c r="V459" s="1">
        <f>'[67]Calvo-Polanco_etal_2008_Fig4'!C9</f>
        <v>4.6126126126126101E-10</v>
      </c>
      <c r="W459" s="1"/>
      <c r="X459" s="1"/>
      <c r="AE459" s="2">
        <f>'[68]Calvo-Polanco_etal_2008_Fig1ab'!C9</f>
        <v>2.254982254982258</v>
      </c>
      <c r="AJ459" t="s">
        <v>47</v>
      </c>
    </row>
    <row r="460" spans="1:36" x14ac:dyDescent="0.25">
      <c r="A460" t="s">
        <v>254</v>
      </c>
      <c r="B460" t="s">
        <v>255</v>
      </c>
      <c r="C460" t="s">
        <v>256</v>
      </c>
      <c r="D460" t="s">
        <v>257</v>
      </c>
      <c r="E460" t="s">
        <v>19</v>
      </c>
      <c r="F460" t="s">
        <v>72</v>
      </c>
      <c r="G460" t="s">
        <v>624</v>
      </c>
      <c r="H460" t="s">
        <v>713</v>
      </c>
      <c r="I460">
        <f t="shared" si="67"/>
        <v>365</v>
      </c>
      <c r="J460" t="s">
        <v>666</v>
      </c>
      <c r="K460" t="s">
        <v>39</v>
      </c>
      <c r="L460" t="str">
        <f t="shared" si="66"/>
        <v>Control</v>
      </c>
      <c r="M460" t="s">
        <v>473</v>
      </c>
      <c r="N460" t="str">
        <f t="shared" si="68"/>
        <v>Stress</v>
      </c>
      <c r="O460" t="s">
        <v>214</v>
      </c>
      <c r="P460" t="s">
        <v>716</v>
      </c>
      <c r="Q460" t="s">
        <v>412</v>
      </c>
      <c r="R460" t="s">
        <v>709</v>
      </c>
      <c r="S460" t="s">
        <v>703</v>
      </c>
      <c r="T460" t="s">
        <v>615</v>
      </c>
      <c r="U460" s="1" t="s">
        <v>755</v>
      </c>
      <c r="V460" s="1">
        <f>'[67]Calvo-Polanco_etal_2008_Fig4'!C10</f>
        <v>5.6696696696696703E-10</v>
      </c>
      <c r="W460" s="1"/>
      <c r="X460" s="1"/>
      <c r="AE460" s="2">
        <f>'[68]Calvo-Polanco_etal_2008_Fig1ab'!C10</f>
        <v>3.0077223260415558</v>
      </c>
      <c r="AJ460" t="s">
        <v>47</v>
      </c>
    </row>
    <row r="461" spans="1:36" x14ac:dyDescent="0.25">
      <c r="A461" t="s">
        <v>254</v>
      </c>
      <c r="B461" t="s">
        <v>255</v>
      </c>
      <c r="C461" t="s">
        <v>256</v>
      </c>
      <c r="D461" t="s">
        <v>257</v>
      </c>
      <c r="E461" t="s">
        <v>19</v>
      </c>
      <c r="F461" t="s">
        <v>72</v>
      </c>
      <c r="G461" t="s">
        <v>624</v>
      </c>
      <c r="H461" t="s">
        <v>713</v>
      </c>
      <c r="I461">
        <f t="shared" si="67"/>
        <v>365</v>
      </c>
      <c r="J461" t="s">
        <v>666</v>
      </c>
      <c r="K461" t="s">
        <v>39</v>
      </c>
      <c r="L461" t="str">
        <f t="shared" si="66"/>
        <v>Control</v>
      </c>
      <c r="M461" t="s">
        <v>473</v>
      </c>
      <c r="N461" t="str">
        <f t="shared" si="68"/>
        <v>Stress</v>
      </c>
      <c r="O461" t="s">
        <v>470</v>
      </c>
      <c r="P461" t="s">
        <v>716</v>
      </c>
      <c r="Q461" t="s">
        <v>412</v>
      </c>
      <c r="R461" t="s">
        <v>709</v>
      </c>
      <c r="S461" t="s">
        <v>703</v>
      </c>
      <c r="T461" t="s">
        <v>615</v>
      </c>
      <c r="U461" s="1" t="s">
        <v>755</v>
      </c>
      <c r="V461" s="1">
        <f>'[67]Calvo-Polanco_etal_2008_Fig4'!C11</f>
        <v>6.4864864864864797E-10</v>
      </c>
      <c r="W461" s="1"/>
      <c r="X461" s="1"/>
      <c r="AE461" s="2">
        <f>'[68]Calvo-Polanco_etal_2008_Fig1ab'!C11</f>
        <v>2.5267379679144448</v>
      </c>
      <c r="AJ461" t="s">
        <v>47</v>
      </c>
    </row>
    <row r="462" spans="1:36" x14ac:dyDescent="0.25">
      <c r="A462" t="s">
        <v>254</v>
      </c>
      <c r="B462" t="s">
        <v>255</v>
      </c>
      <c r="C462" t="s">
        <v>256</v>
      </c>
      <c r="D462" t="s">
        <v>257</v>
      </c>
      <c r="E462" t="s">
        <v>19</v>
      </c>
      <c r="F462" t="s">
        <v>72</v>
      </c>
      <c r="G462" t="s">
        <v>624</v>
      </c>
      <c r="H462" t="s">
        <v>713</v>
      </c>
      <c r="I462">
        <f t="shared" si="67"/>
        <v>365</v>
      </c>
      <c r="J462" t="s">
        <v>666</v>
      </c>
      <c r="K462" t="s">
        <v>39</v>
      </c>
      <c r="L462" t="str">
        <f t="shared" si="66"/>
        <v>Control</v>
      </c>
      <c r="M462" t="s">
        <v>473</v>
      </c>
      <c r="N462" t="str">
        <f t="shared" si="68"/>
        <v>Stress</v>
      </c>
      <c r="O462" t="s">
        <v>458</v>
      </c>
      <c r="P462" t="s">
        <v>716</v>
      </c>
      <c r="Q462" t="s">
        <v>412</v>
      </c>
      <c r="R462" t="s">
        <v>709</v>
      </c>
      <c r="S462" t="s">
        <v>703</v>
      </c>
      <c r="T462" t="s">
        <v>615</v>
      </c>
      <c r="U462" s="1" t="s">
        <v>755</v>
      </c>
      <c r="V462" s="1">
        <f>'[67]Calvo-Polanco_etal_2008_Fig4'!C12</f>
        <v>1.0138138138138099E-9</v>
      </c>
      <c r="W462" s="1"/>
      <c r="X462" s="1"/>
      <c r="AE462" s="2">
        <f>'[68]Calvo-Polanco_etal_2008_Fig1ab'!C12</f>
        <v>3.3622795115332536</v>
      </c>
      <c r="AJ462" t="s">
        <v>47</v>
      </c>
    </row>
    <row r="463" spans="1:36" x14ac:dyDescent="0.25">
      <c r="A463" t="s">
        <v>254</v>
      </c>
      <c r="B463" t="s">
        <v>255</v>
      </c>
      <c r="C463" t="s">
        <v>256</v>
      </c>
      <c r="D463" t="s">
        <v>257</v>
      </c>
      <c r="E463" t="s">
        <v>19</v>
      </c>
      <c r="F463" t="s">
        <v>72</v>
      </c>
      <c r="G463" t="s">
        <v>624</v>
      </c>
      <c r="H463" t="s">
        <v>713</v>
      </c>
      <c r="I463">
        <f t="shared" si="67"/>
        <v>365</v>
      </c>
      <c r="J463" t="s">
        <v>666</v>
      </c>
      <c r="K463" t="s">
        <v>39</v>
      </c>
      <c r="L463" t="str">
        <f t="shared" si="66"/>
        <v>Control</v>
      </c>
      <c r="M463" t="s">
        <v>473</v>
      </c>
      <c r="N463" t="str">
        <f t="shared" si="68"/>
        <v>Stress</v>
      </c>
      <c r="O463" t="s">
        <v>472</v>
      </c>
      <c r="P463" t="s">
        <v>716</v>
      </c>
      <c r="Q463" t="s">
        <v>412</v>
      </c>
      <c r="R463" t="s">
        <v>709</v>
      </c>
      <c r="S463" t="s">
        <v>703</v>
      </c>
      <c r="T463" t="s">
        <v>615</v>
      </c>
      <c r="U463" s="1" t="s">
        <v>755</v>
      </c>
      <c r="V463" s="1">
        <f>'[67]Calvo-Polanco_etal_2008_Fig4'!C13</f>
        <v>7.9279279279279204E-10</v>
      </c>
      <c r="W463" s="1"/>
      <c r="X463" s="1"/>
      <c r="AE463" s="2">
        <f>'[68]Calvo-Polanco_etal_2008_Fig1ab'!C13</f>
        <v>2.8943835751653451</v>
      </c>
      <c r="AJ463" t="s">
        <v>47</v>
      </c>
    </row>
    <row r="464" spans="1:36" x14ac:dyDescent="0.25">
      <c r="A464" t="s">
        <v>254</v>
      </c>
      <c r="B464" t="s">
        <v>255</v>
      </c>
      <c r="C464" t="s">
        <v>256</v>
      </c>
      <c r="D464" t="s">
        <v>257</v>
      </c>
      <c r="E464" t="s">
        <v>19</v>
      </c>
      <c r="F464" t="s">
        <v>72</v>
      </c>
      <c r="G464" t="s">
        <v>624</v>
      </c>
      <c r="H464" t="s">
        <v>713</v>
      </c>
      <c r="I464">
        <f t="shared" si="67"/>
        <v>365</v>
      </c>
      <c r="J464" t="s">
        <v>666</v>
      </c>
      <c r="K464" t="s">
        <v>84</v>
      </c>
      <c r="L464" t="str">
        <f t="shared" si="66"/>
        <v>Stress</v>
      </c>
      <c r="M464" t="s">
        <v>473</v>
      </c>
      <c r="N464" t="str">
        <f t="shared" si="68"/>
        <v>Stress</v>
      </c>
      <c r="O464" t="s">
        <v>214</v>
      </c>
      <c r="P464" t="s">
        <v>716</v>
      </c>
      <c r="Q464" t="s">
        <v>412</v>
      </c>
      <c r="R464" t="s">
        <v>709</v>
      </c>
      <c r="S464" t="s">
        <v>703</v>
      </c>
      <c r="T464" t="s">
        <v>615</v>
      </c>
      <c r="U464" s="1" t="s">
        <v>755</v>
      </c>
      <c r="V464" s="1">
        <f>'[67]Calvo-Polanco_etal_2008_Fig4'!C14</f>
        <v>3.3873873873873799E-10</v>
      </c>
      <c r="W464" s="1"/>
      <c r="X464" s="1"/>
      <c r="AE464" s="2">
        <f>'[68]Calvo-Polanco_etal_2008_Fig1ab'!C14</f>
        <v>2.6103444643421581</v>
      </c>
      <c r="AJ464" t="s">
        <v>47</v>
      </c>
    </row>
    <row r="465" spans="1:36" x14ac:dyDescent="0.25">
      <c r="A465" t="s">
        <v>254</v>
      </c>
      <c r="B465" t="s">
        <v>255</v>
      </c>
      <c r="C465" t="s">
        <v>256</v>
      </c>
      <c r="D465" t="s">
        <v>257</v>
      </c>
      <c r="E465" t="s">
        <v>19</v>
      </c>
      <c r="F465" t="s">
        <v>72</v>
      </c>
      <c r="G465" t="s">
        <v>624</v>
      </c>
      <c r="H465" t="s">
        <v>713</v>
      </c>
      <c r="I465">
        <f t="shared" si="67"/>
        <v>365</v>
      </c>
      <c r="J465" t="s">
        <v>666</v>
      </c>
      <c r="K465" t="s">
        <v>84</v>
      </c>
      <c r="L465" t="str">
        <f t="shared" si="66"/>
        <v>Stress</v>
      </c>
      <c r="M465" t="s">
        <v>473</v>
      </c>
      <c r="N465" t="str">
        <f t="shared" si="68"/>
        <v>Stress</v>
      </c>
      <c r="O465" t="s">
        <v>470</v>
      </c>
      <c r="P465" t="s">
        <v>716</v>
      </c>
      <c r="Q465" t="s">
        <v>412</v>
      </c>
      <c r="R465" t="s">
        <v>709</v>
      </c>
      <c r="S465" t="s">
        <v>703</v>
      </c>
      <c r="T465" t="s">
        <v>615</v>
      </c>
      <c r="U465" s="1" t="s">
        <v>755</v>
      </c>
      <c r="V465" s="1">
        <f>'[67]Calvo-Polanco_etal_2008_Fig4'!C15</f>
        <v>2.2822822822822803E-10</v>
      </c>
      <c r="W465" s="1"/>
      <c r="X465" s="1"/>
      <c r="AE465" s="2">
        <f>'[68]Calvo-Polanco_etal_2008_Fig1ab'!C15</f>
        <v>2.3595269118973681</v>
      </c>
      <c r="AJ465" t="s">
        <v>47</v>
      </c>
    </row>
    <row r="466" spans="1:36" x14ac:dyDescent="0.25">
      <c r="A466" t="s">
        <v>254</v>
      </c>
      <c r="B466" t="s">
        <v>255</v>
      </c>
      <c r="C466" t="s">
        <v>256</v>
      </c>
      <c r="D466" t="s">
        <v>257</v>
      </c>
      <c r="E466" t="s">
        <v>19</v>
      </c>
      <c r="F466" t="s">
        <v>72</v>
      </c>
      <c r="G466" t="s">
        <v>624</v>
      </c>
      <c r="H466" t="s">
        <v>713</v>
      </c>
      <c r="I466">
        <f t="shared" si="67"/>
        <v>365</v>
      </c>
      <c r="J466" t="s">
        <v>666</v>
      </c>
      <c r="K466" t="s">
        <v>84</v>
      </c>
      <c r="L466" t="str">
        <f t="shared" si="66"/>
        <v>Stress</v>
      </c>
      <c r="M466" t="s">
        <v>473</v>
      </c>
      <c r="N466" t="str">
        <f t="shared" si="68"/>
        <v>Stress</v>
      </c>
      <c r="O466" t="s">
        <v>458</v>
      </c>
      <c r="P466" t="s">
        <v>716</v>
      </c>
      <c r="Q466" t="s">
        <v>412</v>
      </c>
      <c r="R466" t="s">
        <v>709</v>
      </c>
      <c r="S466" t="s">
        <v>703</v>
      </c>
      <c r="T466" t="s">
        <v>615</v>
      </c>
      <c r="U466" s="1" t="s">
        <v>755</v>
      </c>
      <c r="V466" s="1">
        <f>'[67]Calvo-Polanco_etal_2008_Fig4'!C16</f>
        <v>3.6276276276276302E-10</v>
      </c>
      <c r="W466" s="1"/>
      <c r="X466" s="1"/>
      <c r="AE466" s="2">
        <f>'[68]Calvo-Polanco_etal_2008_Fig1ab'!C16</f>
        <v>2.4600930565497534</v>
      </c>
      <c r="AJ466" t="s">
        <v>47</v>
      </c>
    </row>
    <row r="467" spans="1:36" x14ac:dyDescent="0.25">
      <c r="A467" t="s">
        <v>254</v>
      </c>
      <c r="B467" t="s">
        <v>255</v>
      </c>
      <c r="C467" t="s">
        <v>256</v>
      </c>
      <c r="D467" t="s">
        <v>257</v>
      </c>
      <c r="E467" t="s">
        <v>19</v>
      </c>
      <c r="F467" t="s">
        <v>72</v>
      </c>
      <c r="G467" t="s">
        <v>624</v>
      </c>
      <c r="H467" t="s">
        <v>713</v>
      </c>
      <c r="I467">
        <f t="shared" si="67"/>
        <v>365</v>
      </c>
      <c r="J467" t="s">
        <v>666</v>
      </c>
      <c r="K467" t="s">
        <v>84</v>
      </c>
      <c r="L467" t="str">
        <f t="shared" si="66"/>
        <v>Stress</v>
      </c>
      <c r="M467" t="s">
        <v>473</v>
      </c>
      <c r="N467" t="str">
        <f t="shared" si="68"/>
        <v>Stress</v>
      </c>
      <c r="O467" t="s">
        <v>472</v>
      </c>
      <c r="P467" t="s">
        <v>716</v>
      </c>
      <c r="Q467" t="s">
        <v>412</v>
      </c>
      <c r="R467" t="s">
        <v>709</v>
      </c>
      <c r="S467" t="s">
        <v>703</v>
      </c>
      <c r="T467" t="s">
        <v>615</v>
      </c>
      <c r="U467" s="1" t="s">
        <v>755</v>
      </c>
      <c r="V467" s="1">
        <f>'[67]Calvo-Polanco_etal_2008_Fig4'!C17</f>
        <v>6.1501501501501502E-10</v>
      </c>
      <c r="W467" s="1"/>
      <c r="X467" s="1"/>
      <c r="AE467" s="2">
        <f>'[68]Calvo-Polanco_etal_2008_Fig1ab'!C17</f>
        <v>2.4395016151361393</v>
      </c>
      <c r="AJ467" t="s">
        <v>47</v>
      </c>
    </row>
    <row r="468" spans="1:36" x14ac:dyDescent="0.25">
      <c r="A468" t="s">
        <v>327</v>
      </c>
      <c r="B468" t="s">
        <v>34</v>
      </c>
      <c r="C468" t="s">
        <v>35</v>
      </c>
      <c r="D468" t="s">
        <v>36</v>
      </c>
      <c r="E468" t="s">
        <v>19</v>
      </c>
      <c r="F468" t="s">
        <v>37</v>
      </c>
      <c r="G468" t="s">
        <v>622</v>
      </c>
      <c r="H468" t="s">
        <v>714</v>
      </c>
      <c r="I468">
        <v>19</v>
      </c>
      <c r="J468" t="s">
        <v>354</v>
      </c>
      <c r="K468" t="s">
        <v>39</v>
      </c>
      <c r="L468" t="str">
        <f t="shared" si="66"/>
        <v>Control</v>
      </c>
      <c r="Q468" t="s">
        <v>412</v>
      </c>
      <c r="R468" t="s">
        <v>709</v>
      </c>
      <c r="S468" t="s">
        <v>703</v>
      </c>
      <c r="T468" t="s">
        <v>616</v>
      </c>
      <c r="U468" s="1"/>
      <c r="V468" s="1"/>
      <c r="W468" s="1"/>
      <c r="X468" s="1">
        <f>[69]Thompson_etal_2007_Fig5!C2</f>
        <v>5.8362884160756392E-9</v>
      </c>
      <c r="AE468" s="2"/>
      <c r="AJ468" t="s">
        <v>352</v>
      </c>
    </row>
    <row r="469" spans="1:36" x14ac:dyDescent="0.25">
      <c r="A469" t="s">
        <v>327</v>
      </c>
      <c r="B469" t="s">
        <v>34</v>
      </c>
      <c r="C469" t="s">
        <v>35</v>
      </c>
      <c r="D469" t="s">
        <v>36</v>
      </c>
      <c r="E469" t="s">
        <v>19</v>
      </c>
      <c r="F469" t="s">
        <v>37</v>
      </c>
      <c r="G469" t="s">
        <v>622</v>
      </c>
      <c r="H469" t="s">
        <v>714</v>
      </c>
      <c r="I469">
        <v>19</v>
      </c>
      <c r="J469" t="s">
        <v>354</v>
      </c>
      <c r="K469" t="s">
        <v>465</v>
      </c>
      <c r="L469" t="str">
        <f t="shared" si="66"/>
        <v>Stress</v>
      </c>
      <c r="Q469" t="s">
        <v>412</v>
      </c>
      <c r="R469" t="s">
        <v>709</v>
      </c>
      <c r="S469" t="s">
        <v>703</v>
      </c>
      <c r="T469" t="s">
        <v>616</v>
      </c>
      <c r="U469" s="1"/>
      <c r="V469" s="1"/>
      <c r="W469" s="1"/>
      <c r="X469" s="1">
        <f>[69]Thompson_etal_2007_Fig5!C3</f>
        <v>1.019503546099289E-8</v>
      </c>
      <c r="AE469" s="2"/>
      <c r="AJ469" t="s">
        <v>352</v>
      </c>
    </row>
    <row r="470" spans="1:36" x14ac:dyDescent="0.25">
      <c r="A470" t="s">
        <v>327</v>
      </c>
      <c r="B470" t="s">
        <v>34</v>
      </c>
      <c r="C470" t="s">
        <v>35</v>
      </c>
      <c r="D470" t="s">
        <v>36</v>
      </c>
      <c r="E470" t="s">
        <v>19</v>
      </c>
      <c r="F470" t="s">
        <v>37</v>
      </c>
      <c r="G470" t="s">
        <v>622</v>
      </c>
      <c r="H470" t="s">
        <v>714</v>
      </c>
      <c r="I470">
        <v>19</v>
      </c>
      <c r="J470" t="s">
        <v>354</v>
      </c>
      <c r="K470" t="s">
        <v>465</v>
      </c>
      <c r="L470" t="str">
        <f t="shared" si="66"/>
        <v>Stress</v>
      </c>
      <c r="Q470" t="s">
        <v>412</v>
      </c>
      <c r="R470" t="s">
        <v>709</v>
      </c>
      <c r="S470" t="s">
        <v>703</v>
      </c>
      <c r="T470" t="s">
        <v>616</v>
      </c>
      <c r="U470" s="1"/>
      <c r="V470" s="1"/>
      <c r="W470" s="1"/>
      <c r="X470" s="1">
        <f>[69]Thompson_etal_2007_Fig5!C4</f>
        <v>2.2754137115839224E-8</v>
      </c>
      <c r="AE470" s="2"/>
      <c r="AJ470" t="s">
        <v>352</v>
      </c>
    </row>
    <row r="471" spans="1:36" x14ac:dyDescent="0.25">
      <c r="A471" t="s">
        <v>327</v>
      </c>
      <c r="B471" t="s">
        <v>34</v>
      </c>
      <c r="C471" t="s">
        <v>35</v>
      </c>
      <c r="D471" t="s">
        <v>36</v>
      </c>
      <c r="E471" t="s">
        <v>19</v>
      </c>
      <c r="F471" t="s">
        <v>37</v>
      </c>
      <c r="G471" t="s">
        <v>622</v>
      </c>
      <c r="H471" t="s">
        <v>714</v>
      </c>
      <c r="I471">
        <v>19</v>
      </c>
      <c r="J471" t="s">
        <v>354</v>
      </c>
      <c r="K471" t="s">
        <v>39</v>
      </c>
      <c r="L471" t="str">
        <f t="shared" si="66"/>
        <v>Control</v>
      </c>
      <c r="Q471" t="s">
        <v>412</v>
      </c>
      <c r="R471" t="s">
        <v>709</v>
      </c>
      <c r="S471" t="s">
        <v>703</v>
      </c>
      <c r="T471" t="s">
        <v>616</v>
      </c>
      <c r="U471" s="1"/>
      <c r="V471" s="1"/>
      <c r="W471" s="1"/>
      <c r="X471" s="1">
        <f>[69]Thompson_etal_2007_Fig5!C5</f>
        <v>1.1155437352245861E-8</v>
      </c>
      <c r="AE471" s="2"/>
      <c r="AJ471" t="s">
        <v>352</v>
      </c>
    </row>
    <row r="472" spans="1:36" x14ac:dyDescent="0.25">
      <c r="A472" t="s">
        <v>327</v>
      </c>
      <c r="B472" t="s">
        <v>34</v>
      </c>
      <c r="C472" t="s">
        <v>35</v>
      </c>
      <c r="D472" t="s">
        <v>36</v>
      </c>
      <c r="E472" t="s">
        <v>19</v>
      </c>
      <c r="F472" t="s">
        <v>37</v>
      </c>
      <c r="G472" t="s">
        <v>622</v>
      </c>
      <c r="H472" t="s">
        <v>714</v>
      </c>
      <c r="I472">
        <v>19</v>
      </c>
      <c r="J472" t="s">
        <v>354</v>
      </c>
      <c r="K472" t="s">
        <v>465</v>
      </c>
      <c r="L472" t="str">
        <f t="shared" si="66"/>
        <v>Stress</v>
      </c>
      <c r="Q472" t="s">
        <v>412</v>
      </c>
      <c r="R472" t="s">
        <v>709</v>
      </c>
      <c r="S472" t="s">
        <v>703</v>
      </c>
      <c r="T472" t="s">
        <v>616</v>
      </c>
      <c r="U472" s="1"/>
      <c r="V472" s="1"/>
      <c r="W472" s="1"/>
      <c r="X472" s="1">
        <f>[69]Thompson_etal_2007_Fig5!C6</f>
        <v>2.6152482269503553E-8</v>
      </c>
      <c r="AE472" s="2"/>
      <c r="AJ472" t="s">
        <v>352</v>
      </c>
    </row>
    <row r="473" spans="1:36" x14ac:dyDescent="0.25">
      <c r="A473" t="s">
        <v>327</v>
      </c>
      <c r="B473" t="s">
        <v>34</v>
      </c>
      <c r="C473" t="s">
        <v>35</v>
      </c>
      <c r="D473" t="s">
        <v>36</v>
      </c>
      <c r="E473" t="s">
        <v>19</v>
      </c>
      <c r="F473" t="s">
        <v>37</v>
      </c>
      <c r="G473" t="s">
        <v>622</v>
      </c>
      <c r="H473" t="s">
        <v>714</v>
      </c>
      <c r="I473">
        <v>19</v>
      </c>
      <c r="J473" t="s">
        <v>354</v>
      </c>
      <c r="K473" t="s">
        <v>465</v>
      </c>
      <c r="L473" t="str">
        <f t="shared" si="66"/>
        <v>Stress</v>
      </c>
      <c r="Q473" t="s">
        <v>412</v>
      </c>
      <c r="R473" t="s">
        <v>709</v>
      </c>
      <c r="S473" t="s">
        <v>703</v>
      </c>
      <c r="T473" t="s">
        <v>616</v>
      </c>
      <c r="U473" s="1"/>
      <c r="V473" s="1"/>
      <c r="W473" s="1"/>
      <c r="X473" s="1">
        <f>[69]Thompson_etal_2007_Fig5!C7</f>
        <v>3.5091607565011671E-8</v>
      </c>
      <c r="AE473" s="2"/>
      <c r="AJ473" t="s">
        <v>352</v>
      </c>
    </row>
    <row r="474" spans="1:36" x14ac:dyDescent="0.25">
      <c r="A474" t="s">
        <v>724</v>
      </c>
      <c r="B474" t="s">
        <v>16</v>
      </c>
      <c r="C474" t="s">
        <v>17</v>
      </c>
      <c r="D474" t="s">
        <v>18</v>
      </c>
      <c r="E474" t="s">
        <v>19</v>
      </c>
      <c r="F474" t="s">
        <v>20</v>
      </c>
      <c r="G474" t="s">
        <v>20</v>
      </c>
      <c r="H474" t="s">
        <v>712</v>
      </c>
      <c r="I474">
        <f>'[70]Ruggiero&amp;Angelino_2007_Fig2'!A2</f>
        <v>93</v>
      </c>
      <c r="J474" t="s">
        <v>725</v>
      </c>
      <c r="K474" t="s">
        <v>39</v>
      </c>
      <c r="L474" t="str">
        <f t="shared" si="66"/>
        <v>Control</v>
      </c>
      <c r="M474" t="s">
        <v>39</v>
      </c>
      <c r="N474" t="str">
        <f t="shared" ref="N474:N485" si="69">+IF(M474="Control","Control","Stress")</f>
        <v>Control</v>
      </c>
      <c r="Q474" t="s">
        <v>412</v>
      </c>
      <c r="R474" t="s">
        <v>709</v>
      </c>
      <c r="S474" t="s">
        <v>703</v>
      </c>
      <c r="T474" t="s">
        <v>615</v>
      </c>
      <c r="U474" s="1" t="s">
        <v>754</v>
      </c>
      <c r="V474" s="1">
        <f t="shared" ref="V474:V481" si="70">+AA474*AC474/10000</f>
        <v>4.9057274841370517E-9</v>
      </c>
      <c r="W474" s="1"/>
      <c r="X474" s="1"/>
      <c r="AA474" s="1">
        <f>'[70]Ruggiero&amp;Angelino_2007_Fig2'!B2</f>
        <v>2.1087231352717999E-8</v>
      </c>
      <c r="AC474" s="3">
        <f>'[71]Ruggiero&amp;Angelino_2007_Fig1'!$B$2</f>
        <v>2326.39714625445</v>
      </c>
      <c r="AE474" s="2"/>
      <c r="AJ474" t="s">
        <v>203</v>
      </c>
    </row>
    <row r="475" spans="1:36" x14ac:dyDescent="0.25">
      <c r="A475" t="s">
        <v>724</v>
      </c>
      <c r="B475" t="s">
        <v>16</v>
      </c>
      <c r="C475" t="s">
        <v>17</v>
      </c>
      <c r="D475" t="s">
        <v>18</v>
      </c>
      <c r="E475" t="s">
        <v>19</v>
      </c>
      <c r="F475" t="s">
        <v>20</v>
      </c>
      <c r="G475" t="s">
        <v>20</v>
      </c>
      <c r="H475" t="s">
        <v>712</v>
      </c>
      <c r="I475">
        <f>'[70]Ruggiero&amp;Angelino_2007_Fig2'!A3</f>
        <v>93</v>
      </c>
      <c r="J475" t="s">
        <v>725</v>
      </c>
      <c r="K475" t="s">
        <v>711</v>
      </c>
      <c r="L475" t="str">
        <f t="shared" si="66"/>
        <v>Stress</v>
      </c>
      <c r="M475" t="s">
        <v>39</v>
      </c>
      <c r="N475" t="str">
        <f t="shared" si="69"/>
        <v>Control</v>
      </c>
      <c r="Q475" t="s">
        <v>412</v>
      </c>
      <c r="R475" t="s">
        <v>709</v>
      </c>
      <c r="S475" t="s">
        <v>703</v>
      </c>
      <c r="T475" t="s">
        <v>615</v>
      </c>
      <c r="U475" s="1" t="s">
        <v>754</v>
      </c>
      <c r="V475" s="1">
        <f t="shared" si="70"/>
        <v>3.376363999873695E-9</v>
      </c>
      <c r="W475" s="1"/>
      <c r="X475" s="1"/>
      <c r="AA475" s="1">
        <f>'[70]Ruggiero&amp;Angelino_2007_Fig2'!B3</f>
        <v>1.45132743362831E-8</v>
      </c>
      <c r="AC475" s="3">
        <f>+AC474</f>
        <v>2326.39714625445</v>
      </c>
      <c r="AE475" s="2"/>
      <c r="AJ475" t="s">
        <v>203</v>
      </c>
    </row>
    <row r="476" spans="1:36" x14ac:dyDescent="0.25">
      <c r="A476" t="s">
        <v>724</v>
      </c>
      <c r="B476" t="s">
        <v>16</v>
      </c>
      <c r="C476" t="s">
        <v>17</v>
      </c>
      <c r="D476" t="s">
        <v>18</v>
      </c>
      <c r="E476" t="s">
        <v>19</v>
      </c>
      <c r="F476" t="s">
        <v>20</v>
      </c>
      <c r="G476" t="s">
        <v>20</v>
      </c>
      <c r="H476" t="s">
        <v>712</v>
      </c>
      <c r="I476">
        <f>'[70]Ruggiero&amp;Angelino_2007_Fig2'!A4</f>
        <v>93</v>
      </c>
      <c r="J476" t="s">
        <v>725</v>
      </c>
      <c r="K476" t="s">
        <v>39</v>
      </c>
      <c r="L476" t="str">
        <f t="shared" si="66"/>
        <v>Control</v>
      </c>
      <c r="M476" t="s">
        <v>726</v>
      </c>
      <c r="N476" t="str">
        <f t="shared" si="69"/>
        <v>Stress</v>
      </c>
      <c r="Q476" t="s">
        <v>412</v>
      </c>
      <c r="R476" t="s">
        <v>709</v>
      </c>
      <c r="S476" t="s">
        <v>703</v>
      </c>
      <c r="T476" t="s">
        <v>615</v>
      </c>
      <c r="U476" s="1" t="s">
        <v>754</v>
      </c>
      <c r="V476" s="1">
        <f t="shared" si="70"/>
        <v>2.8123914850630716E-9</v>
      </c>
      <c r="W476" s="1"/>
      <c r="X476" s="1"/>
      <c r="AA476" s="1">
        <f>'[70]Ruggiero&amp;Angelino_2007_Fig2'!B4</f>
        <v>1.4917825537294501E-8</v>
      </c>
      <c r="AC476" s="3">
        <f>'[71]Ruggiero&amp;Angelino_2007_Fig1'!$B$3</f>
        <v>1885.2556480380499</v>
      </c>
      <c r="AE476" s="2"/>
      <c r="AJ476" t="s">
        <v>203</v>
      </c>
    </row>
    <row r="477" spans="1:36" x14ac:dyDescent="0.25">
      <c r="A477" t="s">
        <v>724</v>
      </c>
      <c r="B477" t="s">
        <v>16</v>
      </c>
      <c r="C477" t="s">
        <v>17</v>
      </c>
      <c r="D477" t="s">
        <v>18</v>
      </c>
      <c r="E477" t="s">
        <v>19</v>
      </c>
      <c r="F477" t="s">
        <v>20</v>
      </c>
      <c r="G477" t="s">
        <v>20</v>
      </c>
      <c r="H477" t="s">
        <v>712</v>
      </c>
      <c r="I477">
        <f>'[70]Ruggiero&amp;Angelino_2007_Fig2'!A5</f>
        <v>93</v>
      </c>
      <c r="J477" t="s">
        <v>725</v>
      </c>
      <c r="K477" t="s">
        <v>711</v>
      </c>
      <c r="L477" t="str">
        <f t="shared" si="66"/>
        <v>Stress</v>
      </c>
      <c r="M477" t="s">
        <v>726</v>
      </c>
      <c r="N477" t="str">
        <f t="shared" si="69"/>
        <v>Stress</v>
      </c>
      <c r="Q477" t="s">
        <v>412</v>
      </c>
      <c r="R477" t="s">
        <v>709</v>
      </c>
      <c r="S477" t="s">
        <v>703</v>
      </c>
      <c r="T477" t="s">
        <v>615</v>
      </c>
      <c r="U477" s="1" t="s">
        <v>754</v>
      </c>
      <c r="V477" s="1">
        <f t="shared" si="70"/>
        <v>1.573032525543758E-9</v>
      </c>
      <c r="W477" s="1"/>
      <c r="X477" s="1"/>
      <c r="AA477" s="1">
        <f>'[70]Ruggiero&amp;Angelino_2007_Fig2'!B5</f>
        <v>8.3438685208596699E-9</v>
      </c>
      <c r="AC477" s="3">
        <f>+AC476</f>
        <v>1885.2556480380499</v>
      </c>
      <c r="AE477" s="2"/>
      <c r="AJ477" t="s">
        <v>203</v>
      </c>
    </row>
    <row r="478" spans="1:36" x14ac:dyDescent="0.25">
      <c r="A478" t="s">
        <v>724</v>
      </c>
      <c r="B478" t="s">
        <v>16</v>
      </c>
      <c r="C478" t="s">
        <v>17</v>
      </c>
      <c r="D478" t="s">
        <v>18</v>
      </c>
      <c r="E478" t="s">
        <v>19</v>
      </c>
      <c r="F478" t="s">
        <v>20</v>
      </c>
      <c r="G478" t="s">
        <v>20</v>
      </c>
      <c r="H478" t="s">
        <v>712</v>
      </c>
      <c r="I478">
        <f>'[70]Ruggiero&amp;Angelino_2007_Fig2'!A6</f>
        <v>114</v>
      </c>
      <c r="J478" t="s">
        <v>725</v>
      </c>
      <c r="K478" t="s">
        <v>39</v>
      </c>
      <c r="L478" t="str">
        <f t="shared" ref="L478:L508" si="71">+IF(K478 = "Control", "Control", "Stress")</f>
        <v>Control</v>
      </c>
      <c r="M478" t="s">
        <v>39</v>
      </c>
      <c r="N478" t="str">
        <f t="shared" si="69"/>
        <v>Control</v>
      </c>
      <c r="Q478" t="s">
        <v>412</v>
      </c>
      <c r="R478" t="s">
        <v>709</v>
      </c>
      <c r="S478" t="s">
        <v>703</v>
      </c>
      <c r="T478" t="s">
        <v>615</v>
      </c>
      <c r="U478" s="1" t="s">
        <v>754</v>
      </c>
      <c r="V478" s="1">
        <f t="shared" si="70"/>
        <v>9.5603632422421477E-9</v>
      </c>
      <c r="W478" s="1"/>
      <c r="X478" s="1"/>
      <c r="AA478" s="1">
        <f>'[70]Ruggiero&amp;Angelino_2007_Fig2'!B6</f>
        <v>3.4134007585335003E-8</v>
      </c>
      <c r="AC478" s="3">
        <f>'[71]Ruggiero&amp;Angelino_2007_Fig1'!$B$4</f>
        <v>2800.8323424494602</v>
      </c>
      <c r="AE478" s="2"/>
      <c r="AJ478" t="s">
        <v>203</v>
      </c>
    </row>
    <row r="479" spans="1:36" x14ac:dyDescent="0.25">
      <c r="A479" t="s">
        <v>724</v>
      </c>
      <c r="B479" t="s">
        <v>16</v>
      </c>
      <c r="C479" t="s">
        <v>17</v>
      </c>
      <c r="D479" t="s">
        <v>18</v>
      </c>
      <c r="E479" t="s">
        <v>19</v>
      </c>
      <c r="F479" t="s">
        <v>20</v>
      </c>
      <c r="G479" t="s">
        <v>20</v>
      </c>
      <c r="H479" t="s">
        <v>712</v>
      </c>
      <c r="I479">
        <f>'[70]Ruggiero&amp;Angelino_2007_Fig2'!A7</f>
        <v>114</v>
      </c>
      <c r="J479" t="s">
        <v>725</v>
      </c>
      <c r="K479" t="s">
        <v>711</v>
      </c>
      <c r="L479" t="str">
        <f t="shared" si="71"/>
        <v>Stress</v>
      </c>
      <c r="M479" t="s">
        <v>39</v>
      </c>
      <c r="N479" t="str">
        <f t="shared" si="69"/>
        <v>Control</v>
      </c>
      <c r="Q479" t="s">
        <v>412</v>
      </c>
      <c r="R479" t="s">
        <v>709</v>
      </c>
      <c r="S479" t="s">
        <v>703</v>
      </c>
      <c r="T479" t="s">
        <v>615</v>
      </c>
      <c r="U479" s="1" t="s">
        <v>754</v>
      </c>
      <c r="V479" s="1">
        <f t="shared" si="70"/>
        <v>6.104468973935334E-9</v>
      </c>
      <c r="W479" s="1"/>
      <c r="X479" s="1"/>
      <c r="AA479" s="1">
        <f>'[70]Ruggiero&amp;Angelino_2007_Fig2'!B7</f>
        <v>2.1795195954487901E-8</v>
      </c>
      <c r="AC479" s="3">
        <f>+AC478</f>
        <v>2800.8323424494602</v>
      </c>
      <c r="AE479" s="2"/>
      <c r="AJ479" t="s">
        <v>203</v>
      </c>
    </row>
    <row r="480" spans="1:36" x14ac:dyDescent="0.25">
      <c r="A480" t="s">
        <v>724</v>
      </c>
      <c r="B480" t="s">
        <v>16</v>
      </c>
      <c r="C480" t="s">
        <v>17</v>
      </c>
      <c r="D480" t="s">
        <v>18</v>
      </c>
      <c r="E480" t="s">
        <v>19</v>
      </c>
      <c r="F480" t="s">
        <v>20</v>
      </c>
      <c r="G480" t="s">
        <v>20</v>
      </c>
      <c r="H480" t="s">
        <v>712</v>
      </c>
      <c r="I480">
        <f>'[70]Ruggiero&amp;Angelino_2007_Fig2'!A8</f>
        <v>114</v>
      </c>
      <c r="J480" t="s">
        <v>725</v>
      </c>
      <c r="K480" t="s">
        <v>39</v>
      </c>
      <c r="L480" t="str">
        <f t="shared" si="71"/>
        <v>Control</v>
      </c>
      <c r="M480" t="s">
        <v>726</v>
      </c>
      <c r="N480" t="str">
        <f t="shared" si="69"/>
        <v>Stress</v>
      </c>
      <c r="Q480" t="s">
        <v>412</v>
      </c>
      <c r="R480" t="s">
        <v>709</v>
      </c>
      <c r="S480" t="s">
        <v>703</v>
      </c>
      <c r="T480" t="s">
        <v>615</v>
      </c>
      <c r="U480" s="1" t="s">
        <v>754</v>
      </c>
      <c r="V480" s="1">
        <f t="shared" si="70"/>
        <v>2.438837035556044E-9</v>
      </c>
      <c r="W480" s="1"/>
      <c r="X480" s="1"/>
      <c r="AA480" s="1">
        <f>'[70]Ruggiero&amp;Angelino_2007_Fig2'!B8</f>
        <v>1.08723135271807E-8</v>
      </c>
      <c r="AC480" s="3">
        <f>'[71]Ruggiero&amp;Angelino_2007_Fig1'!$B$5</f>
        <v>2243.1629013079601</v>
      </c>
      <c r="AE480" s="2"/>
      <c r="AJ480" t="s">
        <v>203</v>
      </c>
    </row>
    <row r="481" spans="1:36" x14ac:dyDescent="0.25">
      <c r="A481" t="s">
        <v>724</v>
      </c>
      <c r="B481" t="s">
        <v>16</v>
      </c>
      <c r="C481" t="s">
        <v>17</v>
      </c>
      <c r="D481" t="s">
        <v>18</v>
      </c>
      <c r="E481" t="s">
        <v>19</v>
      </c>
      <c r="F481" t="s">
        <v>20</v>
      </c>
      <c r="G481" t="s">
        <v>20</v>
      </c>
      <c r="H481" t="s">
        <v>712</v>
      </c>
      <c r="I481">
        <f>'[70]Ruggiero&amp;Angelino_2007_Fig2'!A9</f>
        <v>114</v>
      </c>
      <c r="J481" t="s">
        <v>725</v>
      </c>
      <c r="K481" t="s">
        <v>711</v>
      </c>
      <c r="L481" t="str">
        <f t="shared" si="71"/>
        <v>Stress</v>
      </c>
      <c r="M481" t="s">
        <v>726</v>
      </c>
      <c r="N481" t="str">
        <f t="shared" si="69"/>
        <v>Stress</v>
      </c>
      <c r="Q481" t="s">
        <v>412</v>
      </c>
      <c r="R481" t="s">
        <v>709</v>
      </c>
      <c r="S481" t="s">
        <v>703</v>
      </c>
      <c r="T481" t="s">
        <v>615</v>
      </c>
      <c r="U481" s="1" t="s">
        <v>754</v>
      </c>
      <c r="V481" s="1">
        <f t="shared" si="70"/>
        <v>2.3707764671219286E-9</v>
      </c>
      <c r="W481" s="1"/>
      <c r="X481" s="1"/>
      <c r="AA481" s="1">
        <f>'[70]Ruggiero&amp;Angelino_2007_Fig2'!B9</f>
        <v>1.05689001264222E-8</v>
      </c>
      <c r="AC481" s="3">
        <f>+AC480</f>
        <v>2243.1629013079601</v>
      </c>
      <c r="AE481" s="2"/>
      <c r="AJ481" t="s">
        <v>203</v>
      </c>
    </row>
    <row r="482" spans="1:36" x14ac:dyDescent="0.25">
      <c r="A482" t="s">
        <v>724</v>
      </c>
      <c r="B482" t="s">
        <v>105</v>
      </c>
      <c r="C482" t="s">
        <v>78</v>
      </c>
      <c r="D482" t="s">
        <v>18</v>
      </c>
      <c r="E482" t="s">
        <v>19</v>
      </c>
      <c r="F482" t="s">
        <v>20</v>
      </c>
      <c r="G482" t="s">
        <v>20</v>
      </c>
      <c r="H482" t="s">
        <v>712</v>
      </c>
      <c r="I482">
        <f>'[70]Ruggiero&amp;Angelino_2007_Fig2'!A10</f>
        <v>107</v>
      </c>
      <c r="J482" t="s">
        <v>725</v>
      </c>
      <c r="K482" t="s">
        <v>39</v>
      </c>
      <c r="L482" t="str">
        <f t="shared" si="71"/>
        <v>Control</v>
      </c>
      <c r="M482" t="s">
        <v>39</v>
      </c>
      <c r="N482" t="str">
        <f t="shared" si="69"/>
        <v>Control</v>
      </c>
      <c r="Q482" t="s">
        <v>412</v>
      </c>
      <c r="R482" t="s">
        <v>709</v>
      </c>
      <c r="S482" t="s">
        <v>703</v>
      </c>
      <c r="T482" t="s">
        <v>615</v>
      </c>
      <c r="U482" s="1"/>
      <c r="V482" s="1"/>
      <c r="W482" s="1"/>
      <c r="X482" s="1"/>
      <c r="AA482" s="1">
        <f>'[70]Ruggiero&amp;Angelino_2007_Fig2'!B10</f>
        <v>1.40573318632855E-8</v>
      </c>
      <c r="AC482" s="3"/>
      <c r="AE482" s="2"/>
      <c r="AJ482" t="s">
        <v>203</v>
      </c>
    </row>
    <row r="483" spans="1:36" x14ac:dyDescent="0.25">
      <c r="A483" t="s">
        <v>724</v>
      </c>
      <c r="B483" t="s">
        <v>105</v>
      </c>
      <c r="C483" t="s">
        <v>78</v>
      </c>
      <c r="D483" t="s">
        <v>18</v>
      </c>
      <c r="E483" t="s">
        <v>19</v>
      </c>
      <c r="F483" t="s">
        <v>20</v>
      </c>
      <c r="G483" t="s">
        <v>20</v>
      </c>
      <c r="H483" t="s">
        <v>712</v>
      </c>
      <c r="I483">
        <f>'[70]Ruggiero&amp;Angelino_2007_Fig2'!A11</f>
        <v>107</v>
      </c>
      <c r="J483" t="s">
        <v>725</v>
      </c>
      <c r="K483" t="s">
        <v>711</v>
      </c>
      <c r="L483" t="str">
        <f t="shared" si="71"/>
        <v>Stress</v>
      </c>
      <c r="M483" t="s">
        <v>39</v>
      </c>
      <c r="N483" t="str">
        <f t="shared" si="69"/>
        <v>Control</v>
      </c>
      <c r="Q483" t="s">
        <v>412</v>
      </c>
      <c r="R483" t="s">
        <v>709</v>
      </c>
      <c r="S483" t="s">
        <v>703</v>
      </c>
      <c r="T483" t="s">
        <v>615</v>
      </c>
      <c r="U483" s="1"/>
      <c r="V483" s="1"/>
      <c r="W483" s="1"/>
      <c r="X483" s="1"/>
      <c r="AA483" s="1">
        <f>'[70]Ruggiero&amp;Angelino_2007_Fig2'!B11</f>
        <v>7.8280044101433192E-9</v>
      </c>
      <c r="AC483" s="3"/>
      <c r="AE483" s="2"/>
      <c r="AJ483" t="s">
        <v>203</v>
      </c>
    </row>
    <row r="484" spans="1:36" x14ac:dyDescent="0.25">
      <c r="A484" t="s">
        <v>724</v>
      </c>
      <c r="B484" t="s">
        <v>105</v>
      </c>
      <c r="C484" t="s">
        <v>78</v>
      </c>
      <c r="D484" t="s">
        <v>18</v>
      </c>
      <c r="E484" t="s">
        <v>19</v>
      </c>
      <c r="F484" t="s">
        <v>20</v>
      </c>
      <c r="G484" t="s">
        <v>20</v>
      </c>
      <c r="H484" t="s">
        <v>712</v>
      </c>
      <c r="I484">
        <f>'[70]Ruggiero&amp;Angelino_2007_Fig2'!A12</f>
        <v>107</v>
      </c>
      <c r="J484" t="s">
        <v>725</v>
      </c>
      <c r="K484" t="s">
        <v>39</v>
      </c>
      <c r="L484" t="str">
        <f t="shared" si="71"/>
        <v>Control</v>
      </c>
      <c r="M484" t="s">
        <v>726</v>
      </c>
      <c r="N484" t="str">
        <f t="shared" si="69"/>
        <v>Stress</v>
      </c>
      <c r="Q484" t="s">
        <v>412</v>
      </c>
      <c r="R484" t="s">
        <v>709</v>
      </c>
      <c r="S484" t="s">
        <v>703</v>
      </c>
      <c r="T484" t="s">
        <v>615</v>
      </c>
      <c r="U484" s="1"/>
      <c r="V484" s="1"/>
      <c r="W484" s="1"/>
      <c r="X484" s="1"/>
      <c r="AA484" s="1">
        <f>'[70]Ruggiero&amp;Angelino_2007_Fig2'!B12</f>
        <v>4.0242557883131099E-9</v>
      </c>
      <c r="AC484" s="3"/>
      <c r="AE484" s="2"/>
      <c r="AJ484" t="s">
        <v>203</v>
      </c>
    </row>
    <row r="485" spans="1:36" x14ac:dyDescent="0.25">
      <c r="A485" t="s">
        <v>724</v>
      </c>
      <c r="B485" t="s">
        <v>105</v>
      </c>
      <c r="C485" t="s">
        <v>78</v>
      </c>
      <c r="D485" t="s">
        <v>18</v>
      </c>
      <c r="E485" t="s">
        <v>19</v>
      </c>
      <c r="F485" t="s">
        <v>20</v>
      </c>
      <c r="G485" t="s">
        <v>20</v>
      </c>
      <c r="H485" t="s">
        <v>712</v>
      </c>
      <c r="I485">
        <f>'[70]Ruggiero&amp;Angelino_2007_Fig2'!A13</f>
        <v>107</v>
      </c>
      <c r="J485" t="s">
        <v>725</v>
      </c>
      <c r="K485" t="s">
        <v>711</v>
      </c>
      <c r="L485" t="str">
        <f t="shared" si="71"/>
        <v>Stress</v>
      </c>
      <c r="M485" t="s">
        <v>726</v>
      </c>
      <c r="N485" t="str">
        <f t="shared" si="69"/>
        <v>Stress</v>
      </c>
      <c r="Q485" t="s">
        <v>412</v>
      </c>
      <c r="R485" t="s">
        <v>709</v>
      </c>
      <c r="S485" t="s">
        <v>703</v>
      </c>
      <c r="T485" t="s">
        <v>615</v>
      </c>
      <c r="U485" s="1"/>
      <c r="V485" s="1"/>
      <c r="W485" s="1"/>
      <c r="X485" s="1"/>
      <c r="AA485" s="1">
        <f>'[70]Ruggiero&amp;Angelino_2007_Fig2'!B13</f>
        <v>2.5358324145534701E-9</v>
      </c>
      <c r="AC485" s="3"/>
      <c r="AE485" s="2"/>
      <c r="AJ485" t="s">
        <v>203</v>
      </c>
    </row>
    <row r="486" spans="1:36" x14ac:dyDescent="0.25">
      <c r="A486" t="s">
        <v>95</v>
      </c>
      <c r="B486" t="s">
        <v>66</v>
      </c>
      <c r="C486" t="s">
        <v>67</v>
      </c>
      <c r="D486" t="s">
        <v>68</v>
      </c>
      <c r="E486" t="s">
        <v>19</v>
      </c>
      <c r="F486" t="s">
        <v>37</v>
      </c>
      <c r="G486" t="s">
        <v>622</v>
      </c>
      <c r="H486" t="s">
        <v>714</v>
      </c>
      <c r="I486">
        <f>+AVERAGE(6,9)*7</f>
        <v>52.5</v>
      </c>
      <c r="J486" t="s">
        <v>96</v>
      </c>
      <c r="K486" t="s">
        <v>39</v>
      </c>
      <c r="L486" t="str">
        <f t="shared" si="71"/>
        <v>Control</v>
      </c>
      <c r="Q486" t="s">
        <v>412</v>
      </c>
      <c r="R486" t="s">
        <v>709</v>
      </c>
      <c r="S486" t="s">
        <v>703</v>
      </c>
      <c r="T486" t="s">
        <v>615</v>
      </c>
      <c r="U486" s="1"/>
      <c r="V486" s="1"/>
      <c r="W486" s="1">
        <f>0.00000084/3600</f>
        <v>2.3333333333333335E-10</v>
      </c>
      <c r="X486" s="1"/>
      <c r="Y486" s="1"/>
      <c r="Z486" s="1"/>
      <c r="AE486" s="2"/>
      <c r="AF486" s="2"/>
      <c r="AJ486" t="s">
        <v>203</v>
      </c>
    </row>
    <row r="487" spans="1:36" x14ac:dyDescent="0.25">
      <c r="A487" t="s">
        <v>97</v>
      </c>
      <c r="B487" t="s">
        <v>98</v>
      </c>
      <c r="C487" t="s">
        <v>99</v>
      </c>
      <c r="D487" t="s">
        <v>92</v>
      </c>
      <c r="E487" t="s">
        <v>19</v>
      </c>
      <c r="F487" t="s">
        <v>37</v>
      </c>
      <c r="G487" t="s">
        <v>626</v>
      </c>
      <c r="H487" t="s">
        <v>714</v>
      </c>
      <c r="J487" t="s">
        <v>406</v>
      </c>
      <c r="K487" t="s">
        <v>39</v>
      </c>
      <c r="L487" t="str">
        <f t="shared" si="71"/>
        <v>Control</v>
      </c>
      <c r="Q487" t="s">
        <v>412</v>
      </c>
      <c r="R487" t="s">
        <v>709</v>
      </c>
      <c r="S487" t="s">
        <v>703</v>
      </c>
      <c r="T487" t="s">
        <v>615</v>
      </c>
      <c r="U487" s="1"/>
      <c r="V487" s="1"/>
      <c r="W487" s="1"/>
      <c r="X487" s="1">
        <f>[72]Beaudette_etal_2007_Fig2!C2</f>
        <v>1.2784302759134966E-8</v>
      </c>
      <c r="Y487" s="1"/>
      <c r="Z487" s="1"/>
      <c r="AE487" s="2"/>
      <c r="AF487" s="2"/>
      <c r="AJ487" t="s">
        <v>203</v>
      </c>
    </row>
    <row r="488" spans="1:36" x14ac:dyDescent="0.25">
      <c r="A488" t="s">
        <v>97</v>
      </c>
      <c r="B488" t="s">
        <v>98</v>
      </c>
      <c r="C488" t="s">
        <v>99</v>
      </c>
      <c r="D488" t="s">
        <v>92</v>
      </c>
      <c r="E488" t="s">
        <v>19</v>
      </c>
      <c r="F488" t="s">
        <v>37</v>
      </c>
      <c r="G488" t="s">
        <v>626</v>
      </c>
      <c r="H488" t="s">
        <v>714</v>
      </c>
      <c r="J488" t="s">
        <v>406</v>
      </c>
      <c r="K488" t="s">
        <v>711</v>
      </c>
      <c r="L488" t="str">
        <f t="shared" si="71"/>
        <v>Stress</v>
      </c>
      <c r="Q488" t="s">
        <v>412</v>
      </c>
      <c r="R488" t="s">
        <v>709</v>
      </c>
      <c r="S488" t="s">
        <v>703</v>
      </c>
      <c r="T488" t="s">
        <v>615</v>
      </c>
      <c r="U488" s="1"/>
      <c r="V488" s="1"/>
      <c r="W488" s="1"/>
      <c r="X488" s="1">
        <f>[72]Beaudette_etal_2007_Fig2!C3</f>
        <v>6.2981605766840494E-9</v>
      </c>
      <c r="Y488" s="1"/>
      <c r="Z488" s="1"/>
      <c r="AE488" s="2"/>
      <c r="AF488" s="2"/>
      <c r="AJ488" t="s">
        <v>203</v>
      </c>
    </row>
    <row r="489" spans="1:36" x14ac:dyDescent="0.25">
      <c r="A489" t="s">
        <v>97</v>
      </c>
      <c r="B489" t="s">
        <v>98</v>
      </c>
      <c r="C489" t="s">
        <v>99</v>
      </c>
      <c r="D489" t="s">
        <v>92</v>
      </c>
      <c r="E489" t="s">
        <v>19</v>
      </c>
      <c r="F489" t="s">
        <v>37</v>
      </c>
      <c r="G489" t="s">
        <v>626</v>
      </c>
      <c r="H489" t="s">
        <v>714</v>
      </c>
      <c r="J489" t="s">
        <v>406</v>
      </c>
      <c r="K489" t="s">
        <v>711</v>
      </c>
      <c r="L489" t="str">
        <f t="shared" si="71"/>
        <v>Stress</v>
      </c>
      <c r="Q489" t="s">
        <v>412</v>
      </c>
      <c r="R489" t="s">
        <v>709</v>
      </c>
      <c r="S489" t="s">
        <v>703</v>
      </c>
      <c r="T489" t="s">
        <v>615</v>
      </c>
      <c r="U489" s="1"/>
      <c r="V489" s="1"/>
      <c r="W489" s="1"/>
      <c r="X489" s="1">
        <f>[72]Beaudette_etal_2007_Fig2!C4</f>
        <v>6.7253914988814166E-9</v>
      </c>
      <c r="Y489" s="1"/>
      <c r="Z489" s="1"/>
      <c r="AE489" s="2"/>
      <c r="AF489" s="2"/>
      <c r="AJ489" t="s">
        <v>203</v>
      </c>
    </row>
    <row r="490" spans="1:36" x14ac:dyDescent="0.25">
      <c r="A490" t="s">
        <v>97</v>
      </c>
      <c r="B490" t="s">
        <v>98</v>
      </c>
      <c r="C490" t="s">
        <v>99</v>
      </c>
      <c r="D490" t="s">
        <v>92</v>
      </c>
      <c r="E490" t="s">
        <v>19</v>
      </c>
      <c r="F490" t="s">
        <v>37</v>
      </c>
      <c r="G490" t="s">
        <v>626</v>
      </c>
      <c r="H490" t="s">
        <v>714</v>
      </c>
      <c r="J490" t="s">
        <v>406</v>
      </c>
      <c r="K490" t="s">
        <v>711</v>
      </c>
      <c r="L490" t="str">
        <f t="shared" si="71"/>
        <v>Stress</v>
      </c>
      <c r="Q490" t="s">
        <v>412</v>
      </c>
      <c r="R490" t="s">
        <v>709</v>
      </c>
      <c r="S490" t="s">
        <v>703</v>
      </c>
      <c r="T490" t="s">
        <v>615</v>
      </c>
      <c r="U490" s="1"/>
      <c r="V490" s="1"/>
      <c r="W490" s="1"/>
      <c r="X490" s="1">
        <f>[72]Beaudette_etal_2007_Fig2!C5</f>
        <v>8.3566368381804502E-9</v>
      </c>
      <c r="Y490" s="1"/>
      <c r="Z490" s="1"/>
      <c r="AE490" s="2"/>
      <c r="AF490" s="2"/>
      <c r="AJ490" t="s">
        <v>203</v>
      </c>
    </row>
    <row r="491" spans="1:36" x14ac:dyDescent="0.25">
      <c r="A491" t="s">
        <v>97</v>
      </c>
      <c r="B491" t="s">
        <v>98</v>
      </c>
      <c r="C491" t="s">
        <v>99</v>
      </c>
      <c r="D491" t="s">
        <v>92</v>
      </c>
      <c r="E491" t="s">
        <v>19</v>
      </c>
      <c r="F491" t="s">
        <v>37</v>
      </c>
      <c r="G491" t="s">
        <v>626</v>
      </c>
      <c r="H491" t="s">
        <v>714</v>
      </c>
      <c r="J491" t="s">
        <v>354</v>
      </c>
      <c r="K491" t="s">
        <v>39</v>
      </c>
      <c r="L491" t="str">
        <f t="shared" si="71"/>
        <v>Control</v>
      </c>
      <c r="Q491" t="s">
        <v>412</v>
      </c>
      <c r="R491" t="s">
        <v>709</v>
      </c>
      <c r="S491" t="s">
        <v>703</v>
      </c>
      <c r="T491" t="s">
        <v>615</v>
      </c>
      <c r="U491" s="1"/>
      <c r="V491" s="1"/>
      <c r="W491" s="1"/>
      <c r="X491" s="1">
        <f>[73]Beaudette_etal_2007_Fig3!$C$2</f>
        <v>1.1748844375963016E-8</v>
      </c>
      <c r="Y491" s="1">
        <f>10*0.000000001</f>
        <v>1E-8</v>
      </c>
      <c r="Z491" s="1"/>
      <c r="AE491" s="2"/>
      <c r="AF491" s="2"/>
      <c r="AJ491" t="s">
        <v>203</v>
      </c>
    </row>
    <row r="492" spans="1:36" x14ac:dyDescent="0.25">
      <c r="A492" t="s">
        <v>97</v>
      </c>
      <c r="B492" t="s">
        <v>98</v>
      </c>
      <c r="C492" t="s">
        <v>99</v>
      </c>
      <c r="D492" t="s">
        <v>92</v>
      </c>
      <c r="E492" t="s">
        <v>19</v>
      </c>
      <c r="F492" t="s">
        <v>37</v>
      </c>
      <c r="G492" t="s">
        <v>626</v>
      </c>
      <c r="H492" t="s">
        <v>714</v>
      </c>
      <c r="J492" t="s">
        <v>354</v>
      </c>
      <c r="K492" t="s">
        <v>474</v>
      </c>
      <c r="L492" t="str">
        <f t="shared" si="71"/>
        <v>Stress</v>
      </c>
      <c r="Q492" t="s">
        <v>412</v>
      </c>
      <c r="R492" t="s">
        <v>709</v>
      </c>
      <c r="S492" t="s">
        <v>703</v>
      </c>
      <c r="T492" t="s">
        <v>615</v>
      </c>
      <c r="U492" s="1"/>
      <c r="V492" s="1"/>
      <c r="W492" s="1"/>
      <c r="X492" s="1">
        <f>[73]Beaudette_etal_2007_Fig3!C4</f>
        <v>1.4702105803800717E-8</v>
      </c>
      <c r="Y492" s="1"/>
      <c r="Z492" s="1"/>
      <c r="AE492" s="2"/>
      <c r="AF492" s="2"/>
      <c r="AJ492" t="s">
        <v>203</v>
      </c>
    </row>
    <row r="493" spans="1:36" x14ac:dyDescent="0.25">
      <c r="A493" t="s">
        <v>97</v>
      </c>
      <c r="B493" t="s">
        <v>98</v>
      </c>
      <c r="C493" t="s">
        <v>99</v>
      </c>
      <c r="D493" t="s">
        <v>92</v>
      </c>
      <c r="E493" t="s">
        <v>19</v>
      </c>
      <c r="F493" t="s">
        <v>37</v>
      </c>
      <c r="G493" t="s">
        <v>626</v>
      </c>
      <c r="H493" t="s">
        <v>714</v>
      </c>
      <c r="J493" t="s">
        <v>354</v>
      </c>
      <c r="K493" t="s">
        <v>475</v>
      </c>
      <c r="L493" t="str">
        <f t="shared" si="71"/>
        <v>Stress</v>
      </c>
      <c r="Q493" t="s">
        <v>412</v>
      </c>
      <c r="R493" t="s">
        <v>709</v>
      </c>
      <c r="S493" t="s">
        <v>703</v>
      </c>
      <c r="T493" t="s">
        <v>615</v>
      </c>
      <c r="U493" s="1"/>
      <c r="V493" s="1"/>
      <c r="W493" s="1"/>
      <c r="X493" s="1">
        <f>[73]Beaudette_etal_2007_Fig3!C5</f>
        <v>2.8826399589111333E-8</v>
      </c>
      <c r="Y493" s="1"/>
      <c r="Z493" s="1"/>
      <c r="AE493" s="2"/>
      <c r="AF493" s="2"/>
      <c r="AJ493" t="s">
        <v>203</v>
      </c>
    </row>
    <row r="494" spans="1:36" x14ac:dyDescent="0.25">
      <c r="A494" t="s">
        <v>97</v>
      </c>
      <c r="B494" t="s">
        <v>98</v>
      </c>
      <c r="C494" t="s">
        <v>99</v>
      </c>
      <c r="D494" t="s">
        <v>92</v>
      </c>
      <c r="E494" t="s">
        <v>19</v>
      </c>
      <c r="F494" t="s">
        <v>37</v>
      </c>
      <c r="G494" t="s">
        <v>626</v>
      </c>
      <c r="H494" t="s">
        <v>714</v>
      </c>
      <c r="J494" t="s">
        <v>354</v>
      </c>
      <c r="K494" t="s">
        <v>476</v>
      </c>
      <c r="L494" t="str">
        <f t="shared" si="71"/>
        <v>Stress</v>
      </c>
      <c r="Q494" t="s">
        <v>412</v>
      </c>
      <c r="R494" t="s">
        <v>709</v>
      </c>
      <c r="S494" t="s">
        <v>703</v>
      </c>
      <c r="T494" t="s">
        <v>615</v>
      </c>
      <c r="U494" s="1"/>
      <c r="V494" s="1"/>
      <c r="W494" s="1"/>
      <c r="X494" s="1">
        <f>[73]Beaudette_etal_2007_Fig3!C6</f>
        <v>6.8695428864920334E-9</v>
      </c>
      <c r="Y494" s="1"/>
      <c r="Z494" s="1"/>
      <c r="AE494" s="2"/>
      <c r="AF494" s="2"/>
      <c r="AJ494" t="s">
        <v>203</v>
      </c>
    </row>
    <row r="495" spans="1:36" x14ac:dyDescent="0.25">
      <c r="A495" t="s">
        <v>383</v>
      </c>
      <c r="B495" t="s">
        <v>53</v>
      </c>
      <c r="C495" t="s">
        <v>54</v>
      </c>
      <c r="D495" t="s">
        <v>18</v>
      </c>
      <c r="E495" t="s">
        <v>31</v>
      </c>
      <c r="F495" t="s">
        <v>32</v>
      </c>
      <c r="G495" t="s">
        <v>32</v>
      </c>
      <c r="H495" t="s">
        <v>712</v>
      </c>
      <c r="I495">
        <v>15</v>
      </c>
      <c r="J495" t="s">
        <v>596</v>
      </c>
      <c r="K495" t="s">
        <v>51</v>
      </c>
      <c r="L495" t="str">
        <f t="shared" si="71"/>
        <v>Stress</v>
      </c>
      <c r="M495" t="s">
        <v>39</v>
      </c>
      <c r="N495" t="str">
        <f t="shared" ref="N495:N500" si="72">+IF(M495="Control","Control","Stress")</f>
        <v>Control</v>
      </c>
      <c r="Q495" t="s">
        <v>412</v>
      </c>
      <c r="R495" t="s">
        <v>709</v>
      </c>
      <c r="S495" t="s">
        <v>703</v>
      </c>
      <c r="T495" t="s">
        <v>615</v>
      </c>
      <c r="U495" s="1" t="s">
        <v>754</v>
      </c>
      <c r="V495" s="1">
        <f t="shared" ref="V495:V508" si="73">+AA495*AC495/10000</f>
        <v>3.746116129032251E-9</v>
      </c>
      <c r="W495" s="1"/>
      <c r="Y495" s="1"/>
      <c r="Z495" s="1"/>
      <c r="AA495" s="1">
        <f>[74]Mu_eatl_2006_Fig1b!B2</f>
        <v>4.1393548387096701E-7</v>
      </c>
      <c r="AC495">
        <v>90.5</v>
      </c>
      <c r="AE495" s="2"/>
      <c r="AF495" s="2"/>
      <c r="AJ495" t="s">
        <v>203</v>
      </c>
    </row>
    <row r="496" spans="1:36" x14ac:dyDescent="0.25">
      <c r="A496" t="s">
        <v>383</v>
      </c>
      <c r="B496" t="s">
        <v>53</v>
      </c>
      <c r="C496" t="s">
        <v>54</v>
      </c>
      <c r="D496" t="s">
        <v>18</v>
      </c>
      <c r="E496" t="s">
        <v>31</v>
      </c>
      <c r="F496" t="s">
        <v>32</v>
      </c>
      <c r="G496" t="s">
        <v>32</v>
      </c>
      <c r="H496" t="s">
        <v>712</v>
      </c>
      <c r="I496">
        <v>15</v>
      </c>
      <c r="J496" t="s">
        <v>596</v>
      </c>
      <c r="K496" t="s">
        <v>51</v>
      </c>
      <c r="L496" t="str">
        <f t="shared" si="71"/>
        <v>Stress</v>
      </c>
      <c r="M496" t="s">
        <v>384</v>
      </c>
      <c r="N496" t="str">
        <f t="shared" si="72"/>
        <v>Stress</v>
      </c>
      <c r="Q496" t="s">
        <v>412</v>
      </c>
      <c r="R496" t="s">
        <v>709</v>
      </c>
      <c r="S496" t="s">
        <v>703</v>
      </c>
      <c r="T496" t="s">
        <v>615</v>
      </c>
      <c r="U496" s="1" t="s">
        <v>754</v>
      </c>
      <c r="V496" s="1">
        <f t="shared" si="73"/>
        <v>1.9490384516129009E-9</v>
      </c>
      <c r="W496" s="1"/>
      <c r="Y496" s="1"/>
      <c r="Z496" s="1"/>
      <c r="AA496" s="1">
        <f>[74]Mu_eatl_2006_Fig1b!B3</f>
        <v>3.3961290322580602E-7</v>
      </c>
      <c r="AC496">
        <v>57.39</v>
      </c>
      <c r="AE496" s="2"/>
      <c r="AF496" s="2"/>
      <c r="AJ496" t="s">
        <v>203</v>
      </c>
    </row>
    <row r="497" spans="1:36" x14ac:dyDescent="0.25">
      <c r="A497" t="s">
        <v>383</v>
      </c>
      <c r="B497" t="s">
        <v>53</v>
      </c>
      <c r="C497" t="s">
        <v>54</v>
      </c>
      <c r="D497" t="s">
        <v>18</v>
      </c>
      <c r="E497" t="s">
        <v>31</v>
      </c>
      <c r="F497" t="s">
        <v>32</v>
      </c>
      <c r="G497" t="s">
        <v>32</v>
      </c>
      <c r="H497" t="s">
        <v>712</v>
      </c>
      <c r="I497">
        <v>15</v>
      </c>
      <c r="J497" t="s">
        <v>596</v>
      </c>
      <c r="K497" t="s">
        <v>51</v>
      </c>
      <c r="L497" t="str">
        <f t="shared" si="71"/>
        <v>Stress</v>
      </c>
      <c r="M497" t="s">
        <v>385</v>
      </c>
      <c r="N497" t="str">
        <f t="shared" si="72"/>
        <v>Stress</v>
      </c>
      <c r="Q497" t="s">
        <v>412</v>
      </c>
      <c r="R497" t="s">
        <v>709</v>
      </c>
      <c r="S497" t="s">
        <v>703</v>
      </c>
      <c r="T497" t="s">
        <v>615</v>
      </c>
      <c r="U497" s="1" t="s">
        <v>754</v>
      </c>
      <c r="V497" s="1">
        <f t="shared" si="73"/>
        <v>7.5122477419354273E-10</v>
      </c>
      <c r="W497" s="1"/>
      <c r="Y497" s="1"/>
      <c r="Z497" s="1"/>
      <c r="AA497" s="1">
        <f>[74]Mu_eatl_2006_Fig1b!B4</f>
        <v>1.02193548387096E-7</v>
      </c>
      <c r="AC497">
        <v>73.510000000000005</v>
      </c>
      <c r="AE497" s="2"/>
      <c r="AF497" s="2"/>
      <c r="AJ497" t="s">
        <v>203</v>
      </c>
    </row>
    <row r="498" spans="1:36" x14ac:dyDescent="0.25">
      <c r="A498" t="s">
        <v>383</v>
      </c>
      <c r="B498" t="s">
        <v>53</v>
      </c>
      <c r="C498" t="s">
        <v>54</v>
      </c>
      <c r="D498" t="s">
        <v>18</v>
      </c>
      <c r="E498" t="s">
        <v>31</v>
      </c>
      <c r="F498" t="s">
        <v>32</v>
      </c>
      <c r="G498" t="s">
        <v>32</v>
      </c>
      <c r="H498" t="s">
        <v>712</v>
      </c>
      <c r="I498">
        <v>15</v>
      </c>
      <c r="J498" t="s">
        <v>596</v>
      </c>
      <c r="K498" t="s">
        <v>39</v>
      </c>
      <c r="L498" t="str">
        <f t="shared" si="71"/>
        <v>Control</v>
      </c>
      <c r="M498" t="s">
        <v>39</v>
      </c>
      <c r="N498" t="str">
        <f t="shared" si="72"/>
        <v>Control</v>
      </c>
      <c r="Q498" t="s">
        <v>412</v>
      </c>
      <c r="R498" t="s">
        <v>709</v>
      </c>
      <c r="S498" t="s">
        <v>703</v>
      </c>
      <c r="T498" t="s">
        <v>615</v>
      </c>
      <c r="U498" s="1" t="s">
        <v>754</v>
      </c>
      <c r="V498" s="1">
        <f t="shared" si="73"/>
        <v>8.180438709677413E-9</v>
      </c>
      <c r="W498" s="1"/>
      <c r="Y498" s="1"/>
      <c r="Z498" s="1"/>
      <c r="AA498" s="1">
        <f>[74]Mu_eatl_2006_Fig1b!B5</f>
        <v>6.4412903225806401E-7</v>
      </c>
      <c r="AC498">
        <v>127</v>
      </c>
      <c r="AE498" s="2"/>
      <c r="AF498" s="2"/>
      <c r="AJ498" t="s">
        <v>203</v>
      </c>
    </row>
    <row r="499" spans="1:36" x14ac:dyDescent="0.25">
      <c r="A499" t="s">
        <v>383</v>
      </c>
      <c r="B499" t="s">
        <v>53</v>
      </c>
      <c r="C499" t="s">
        <v>54</v>
      </c>
      <c r="D499" t="s">
        <v>18</v>
      </c>
      <c r="E499" t="s">
        <v>31</v>
      </c>
      <c r="F499" t="s">
        <v>32</v>
      </c>
      <c r="G499" t="s">
        <v>32</v>
      </c>
      <c r="H499" t="s">
        <v>712</v>
      </c>
      <c r="I499">
        <v>15</v>
      </c>
      <c r="J499" t="s">
        <v>596</v>
      </c>
      <c r="K499" t="s">
        <v>39</v>
      </c>
      <c r="L499" t="str">
        <f t="shared" si="71"/>
        <v>Control</v>
      </c>
      <c r="M499" t="s">
        <v>384</v>
      </c>
      <c r="N499" t="str">
        <f t="shared" si="72"/>
        <v>Stress</v>
      </c>
      <c r="Q499" t="s">
        <v>412</v>
      </c>
      <c r="R499" t="s">
        <v>709</v>
      </c>
      <c r="S499" t="s">
        <v>703</v>
      </c>
      <c r="T499" t="s">
        <v>615</v>
      </c>
      <c r="U499" s="1" t="s">
        <v>754</v>
      </c>
      <c r="V499" s="1">
        <f t="shared" si="73"/>
        <v>3.8726245161290289E-9</v>
      </c>
      <c r="W499" s="1"/>
      <c r="Y499" s="1"/>
      <c r="Z499" s="1"/>
      <c r="AA499" s="1">
        <f>[74]Mu_eatl_2006_Fig1b!B6</f>
        <v>4.4283870967741898E-7</v>
      </c>
      <c r="AC499">
        <v>87.45</v>
      </c>
      <c r="AE499" s="2"/>
      <c r="AF499" s="2"/>
      <c r="AJ499" t="s">
        <v>203</v>
      </c>
    </row>
    <row r="500" spans="1:36" x14ac:dyDescent="0.25">
      <c r="A500" t="s">
        <v>383</v>
      </c>
      <c r="B500" t="s">
        <v>53</v>
      </c>
      <c r="C500" t="s">
        <v>54</v>
      </c>
      <c r="D500" t="s">
        <v>18</v>
      </c>
      <c r="E500" t="s">
        <v>31</v>
      </c>
      <c r="F500" t="s">
        <v>32</v>
      </c>
      <c r="G500" t="s">
        <v>32</v>
      </c>
      <c r="H500" t="s">
        <v>712</v>
      </c>
      <c r="I500">
        <v>15</v>
      </c>
      <c r="J500" t="s">
        <v>596</v>
      </c>
      <c r="K500" t="s">
        <v>39</v>
      </c>
      <c r="L500" t="str">
        <f t="shared" si="71"/>
        <v>Control</v>
      </c>
      <c r="M500" t="s">
        <v>385</v>
      </c>
      <c r="N500" t="str">
        <f t="shared" si="72"/>
        <v>Stress</v>
      </c>
      <c r="Q500" t="s">
        <v>412</v>
      </c>
      <c r="R500" t="s">
        <v>709</v>
      </c>
      <c r="S500" t="s">
        <v>703</v>
      </c>
      <c r="T500" t="s">
        <v>615</v>
      </c>
      <c r="U500" s="1" t="s">
        <v>754</v>
      </c>
      <c r="V500" s="1">
        <f t="shared" si="73"/>
        <v>2.3995654193548331E-9</v>
      </c>
      <c r="W500" s="1"/>
      <c r="Y500" s="1"/>
      <c r="Z500" s="1"/>
      <c r="AA500" s="1">
        <f>[74]Mu_eatl_2006_Fig1b!B7</f>
        <v>2.36387096774193E-7</v>
      </c>
      <c r="AC500">
        <v>101.51</v>
      </c>
      <c r="AE500" s="2"/>
      <c r="AF500" s="2"/>
      <c r="AJ500" t="s">
        <v>203</v>
      </c>
    </row>
    <row r="501" spans="1:36" x14ac:dyDescent="0.25">
      <c r="A501" t="s">
        <v>535</v>
      </c>
      <c r="B501" t="s">
        <v>537</v>
      </c>
      <c r="C501" t="s">
        <v>17</v>
      </c>
      <c r="D501" t="s">
        <v>18</v>
      </c>
      <c r="E501" t="s">
        <v>19</v>
      </c>
      <c r="F501" t="s">
        <v>20</v>
      </c>
      <c r="G501" t="s">
        <v>20</v>
      </c>
      <c r="H501" t="s">
        <v>712</v>
      </c>
      <c r="I501">
        <f t="shared" ref="I501:I508" si="74">15+AVERAGE(21,27)</f>
        <v>39</v>
      </c>
      <c r="J501" t="s">
        <v>667</v>
      </c>
      <c r="K501" t="s">
        <v>39</v>
      </c>
      <c r="L501" t="str">
        <f t="shared" si="71"/>
        <v>Control</v>
      </c>
      <c r="Q501" t="s">
        <v>412</v>
      </c>
      <c r="R501" t="s">
        <v>709</v>
      </c>
      <c r="S501" t="s">
        <v>703</v>
      </c>
      <c r="T501" t="s">
        <v>615</v>
      </c>
      <c r="U501" s="1" t="s">
        <v>754</v>
      </c>
      <c r="V501" s="1">
        <f t="shared" si="73"/>
        <v>4.0000000000000007E-10</v>
      </c>
      <c r="W501" s="1"/>
      <c r="Y501" s="1"/>
      <c r="Z501" s="1"/>
      <c r="AA501" s="1">
        <v>8.0000000000000005E-9</v>
      </c>
      <c r="AC501">
        <v>500</v>
      </c>
      <c r="AE501" s="2"/>
      <c r="AF501" s="2"/>
      <c r="AJ501" t="s">
        <v>203</v>
      </c>
    </row>
    <row r="502" spans="1:36" x14ac:dyDescent="0.25">
      <c r="A502" t="s">
        <v>535</v>
      </c>
      <c r="B502" t="s">
        <v>537</v>
      </c>
      <c r="C502" t="s">
        <v>17</v>
      </c>
      <c r="D502" t="s">
        <v>18</v>
      </c>
      <c r="E502" t="s">
        <v>19</v>
      </c>
      <c r="F502" t="s">
        <v>20</v>
      </c>
      <c r="G502" t="s">
        <v>20</v>
      </c>
      <c r="H502" t="s">
        <v>712</v>
      </c>
      <c r="I502">
        <f t="shared" si="74"/>
        <v>39</v>
      </c>
      <c r="J502" t="s">
        <v>667</v>
      </c>
      <c r="K502" t="s">
        <v>536</v>
      </c>
      <c r="L502" t="str">
        <f t="shared" si="71"/>
        <v>Stress</v>
      </c>
      <c r="Q502" t="s">
        <v>412</v>
      </c>
      <c r="R502" t="s">
        <v>709</v>
      </c>
      <c r="S502" t="s">
        <v>703</v>
      </c>
      <c r="T502" t="s">
        <v>615</v>
      </c>
      <c r="U502" s="1" t="s">
        <v>754</v>
      </c>
      <c r="V502" s="1">
        <f t="shared" si="73"/>
        <v>7.200000000000001E-10</v>
      </c>
      <c r="W502" s="1"/>
      <c r="Y502" s="1"/>
      <c r="Z502" s="1"/>
      <c r="AA502" s="1">
        <v>8.0000000000000005E-9</v>
      </c>
      <c r="AC502">
        <v>900</v>
      </c>
      <c r="AE502" s="2"/>
      <c r="AF502" s="2"/>
      <c r="AJ502" t="s">
        <v>203</v>
      </c>
    </row>
    <row r="503" spans="1:36" x14ac:dyDescent="0.25">
      <c r="A503" t="s">
        <v>535</v>
      </c>
      <c r="B503" t="s">
        <v>105</v>
      </c>
      <c r="C503" t="s">
        <v>78</v>
      </c>
      <c r="D503" t="s">
        <v>18</v>
      </c>
      <c r="E503" t="s">
        <v>19</v>
      </c>
      <c r="F503" t="s">
        <v>20</v>
      </c>
      <c r="G503" t="s">
        <v>20</v>
      </c>
      <c r="H503" t="s">
        <v>712</v>
      </c>
      <c r="I503">
        <f t="shared" si="74"/>
        <v>39</v>
      </c>
      <c r="J503" t="s">
        <v>667</v>
      </c>
      <c r="K503" t="s">
        <v>39</v>
      </c>
      <c r="L503" t="str">
        <f t="shared" si="71"/>
        <v>Control</v>
      </c>
      <c r="Q503" t="s">
        <v>412</v>
      </c>
      <c r="R503" t="s">
        <v>709</v>
      </c>
      <c r="S503" t="s">
        <v>703</v>
      </c>
      <c r="T503" t="s">
        <v>615</v>
      </c>
      <c r="U503" s="1" t="s">
        <v>754</v>
      </c>
      <c r="V503" s="1">
        <f t="shared" si="73"/>
        <v>3.3800000000000003E-9</v>
      </c>
      <c r="W503" s="1"/>
      <c r="Y503" s="1"/>
      <c r="Z503" s="1"/>
      <c r="AA503" s="1">
        <v>2.6000000000000001E-8</v>
      </c>
      <c r="AC503">
        <v>1300</v>
      </c>
      <c r="AE503" s="2"/>
      <c r="AF503" s="2"/>
      <c r="AJ503" t="s">
        <v>203</v>
      </c>
    </row>
    <row r="504" spans="1:36" x14ac:dyDescent="0.25">
      <c r="A504" t="s">
        <v>535</v>
      </c>
      <c r="B504" t="s">
        <v>105</v>
      </c>
      <c r="C504" t="s">
        <v>78</v>
      </c>
      <c r="D504" t="s">
        <v>18</v>
      </c>
      <c r="E504" t="s">
        <v>19</v>
      </c>
      <c r="F504" t="s">
        <v>20</v>
      </c>
      <c r="G504" t="s">
        <v>20</v>
      </c>
      <c r="H504" t="s">
        <v>712</v>
      </c>
      <c r="I504">
        <f t="shared" si="74"/>
        <v>39</v>
      </c>
      <c r="J504" t="s">
        <v>667</v>
      </c>
      <c r="K504" t="s">
        <v>536</v>
      </c>
      <c r="L504" t="str">
        <f t="shared" si="71"/>
        <v>Stress</v>
      </c>
      <c r="Q504" t="s">
        <v>412</v>
      </c>
      <c r="R504" t="s">
        <v>709</v>
      </c>
      <c r="S504" t="s">
        <v>703</v>
      </c>
      <c r="T504" t="s">
        <v>615</v>
      </c>
      <c r="U504" s="1" t="s">
        <v>754</v>
      </c>
      <c r="V504" s="1">
        <f t="shared" si="73"/>
        <v>3.8400000000000008E-9</v>
      </c>
      <c r="W504" s="1"/>
      <c r="Y504" s="1"/>
      <c r="Z504" s="1"/>
      <c r="AA504" s="1">
        <v>6.4000000000000004E-8</v>
      </c>
      <c r="AC504">
        <v>600</v>
      </c>
      <c r="AE504" s="2"/>
      <c r="AF504" s="2"/>
      <c r="AJ504" t="s">
        <v>203</v>
      </c>
    </row>
    <row r="505" spans="1:36" x14ac:dyDescent="0.25">
      <c r="A505" t="s">
        <v>535</v>
      </c>
      <c r="B505" t="s">
        <v>537</v>
      </c>
      <c r="C505" t="s">
        <v>17</v>
      </c>
      <c r="D505" t="s">
        <v>18</v>
      </c>
      <c r="E505" t="s">
        <v>19</v>
      </c>
      <c r="F505" t="s">
        <v>20</v>
      </c>
      <c r="G505" t="s">
        <v>20</v>
      </c>
      <c r="H505" t="s">
        <v>712</v>
      </c>
      <c r="I505">
        <f t="shared" si="74"/>
        <v>39</v>
      </c>
      <c r="J505" t="s">
        <v>667</v>
      </c>
      <c r="K505" t="s">
        <v>39</v>
      </c>
      <c r="L505" t="str">
        <f t="shared" si="71"/>
        <v>Control</v>
      </c>
      <c r="Q505" t="s">
        <v>412</v>
      </c>
      <c r="R505" t="s">
        <v>709</v>
      </c>
      <c r="S505" t="s">
        <v>703</v>
      </c>
      <c r="T505" t="s">
        <v>616</v>
      </c>
      <c r="U505" s="1" t="s">
        <v>754</v>
      </c>
      <c r="V505" s="1">
        <f t="shared" si="73"/>
        <v>4.0000000000000007E-10</v>
      </c>
      <c r="W505" s="1"/>
      <c r="Y505" s="1"/>
      <c r="Z505" s="1"/>
      <c r="AA505" s="1">
        <v>8.0000000000000005E-9</v>
      </c>
      <c r="AC505">
        <v>500</v>
      </c>
      <c r="AE505" s="2"/>
      <c r="AF505" s="2"/>
      <c r="AJ505" t="s">
        <v>352</v>
      </c>
    </row>
    <row r="506" spans="1:36" x14ac:dyDescent="0.25">
      <c r="A506" t="s">
        <v>535</v>
      </c>
      <c r="B506" t="s">
        <v>537</v>
      </c>
      <c r="C506" t="s">
        <v>17</v>
      </c>
      <c r="D506" t="s">
        <v>18</v>
      </c>
      <c r="E506" t="s">
        <v>19</v>
      </c>
      <c r="F506" t="s">
        <v>20</v>
      </c>
      <c r="G506" t="s">
        <v>20</v>
      </c>
      <c r="H506" t="s">
        <v>712</v>
      </c>
      <c r="I506">
        <f t="shared" si="74"/>
        <v>39</v>
      </c>
      <c r="J506" t="s">
        <v>667</v>
      </c>
      <c r="K506" t="s">
        <v>536</v>
      </c>
      <c r="L506" t="str">
        <f t="shared" si="71"/>
        <v>Stress</v>
      </c>
      <c r="Q506" t="s">
        <v>412</v>
      </c>
      <c r="R506" t="s">
        <v>709</v>
      </c>
      <c r="S506" t="s">
        <v>703</v>
      </c>
      <c r="T506" t="s">
        <v>616</v>
      </c>
      <c r="U506" s="1" t="s">
        <v>754</v>
      </c>
      <c r="V506" s="1">
        <f t="shared" si="73"/>
        <v>7.200000000000001E-10</v>
      </c>
      <c r="W506" s="1"/>
      <c r="Y506" s="1"/>
      <c r="Z506" s="1"/>
      <c r="AA506" s="1">
        <v>8.0000000000000005E-9</v>
      </c>
      <c r="AC506">
        <v>900</v>
      </c>
      <c r="AE506" s="2"/>
      <c r="AF506" s="2"/>
      <c r="AJ506" t="s">
        <v>352</v>
      </c>
    </row>
    <row r="507" spans="1:36" x14ac:dyDescent="0.25">
      <c r="A507" t="s">
        <v>535</v>
      </c>
      <c r="B507" t="s">
        <v>105</v>
      </c>
      <c r="C507" t="s">
        <v>78</v>
      </c>
      <c r="D507" t="s">
        <v>18</v>
      </c>
      <c r="E507" t="s">
        <v>19</v>
      </c>
      <c r="F507" t="s">
        <v>20</v>
      </c>
      <c r="G507" t="s">
        <v>20</v>
      </c>
      <c r="H507" t="s">
        <v>712</v>
      </c>
      <c r="I507">
        <f t="shared" si="74"/>
        <v>39</v>
      </c>
      <c r="J507" t="s">
        <v>667</v>
      </c>
      <c r="K507" t="s">
        <v>39</v>
      </c>
      <c r="L507" t="str">
        <f t="shared" si="71"/>
        <v>Control</v>
      </c>
      <c r="Q507" t="s">
        <v>412</v>
      </c>
      <c r="R507" t="s">
        <v>709</v>
      </c>
      <c r="S507" t="s">
        <v>703</v>
      </c>
      <c r="T507" t="s">
        <v>616</v>
      </c>
      <c r="U507" s="1" t="s">
        <v>754</v>
      </c>
      <c r="V507" s="1">
        <f t="shared" si="73"/>
        <v>1.4300000000000002E-9</v>
      </c>
      <c r="W507" s="1"/>
      <c r="Y507" s="1"/>
      <c r="Z507" s="1"/>
      <c r="AA507" s="1">
        <v>1.1000000000000001E-8</v>
      </c>
      <c r="AC507">
        <v>1300</v>
      </c>
      <c r="AE507" s="2"/>
      <c r="AF507" s="2"/>
      <c r="AJ507" t="s">
        <v>352</v>
      </c>
    </row>
    <row r="508" spans="1:36" x14ac:dyDescent="0.25">
      <c r="A508" t="s">
        <v>535</v>
      </c>
      <c r="B508" t="s">
        <v>105</v>
      </c>
      <c r="C508" t="s">
        <v>78</v>
      </c>
      <c r="D508" t="s">
        <v>18</v>
      </c>
      <c r="E508" t="s">
        <v>19</v>
      </c>
      <c r="F508" t="s">
        <v>20</v>
      </c>
      <c r="G508" t="s">
        <v>20</v>
      </c>
      <c r="H508" t="s">
        <v>712</v>
      </c>
      <c r="I508">
        <f t="shared" si="74"/>
        <v>39</v>
      </c>
      <c r="J508" t="s">
        <v>667</v>
      </c>
      <c r="K508" t="s">
        <v>536</v>
      </c>
      <c r="L508" t="str">
        <f t="shared" si="71"/>
        <v>Stress</v>
      </c>
      <c r="Q508" t="s">
        <v>412</v>
      </c>
      <c r="R508" t="s">
        <v>709</v>
      </c>
      <c r="S508" t="s">
        <v>703</v>
      </c>
      <c r="T508" t="s">
        <v>616</v>
      </c>
      <c r="U508" s="1" t="s">
        <v>754</v>
      </c>
      <c r="V508" s="1">
        <f t="shared" si="73"/>
        <v>1.14E-9</v>
      </c>
      <c r="W508" s="1"/>
      <c r="Y508" s="1"/>
      <c r="Z508" s="1"/>
      <c r="AA508" s="1">
        <v>1.8999999999999998E-8</v>
      </c>
      <c r="AC508">
        <v>600</v>
      </c>
      <c r="AE508" s="2"/>
      <c r="AF508" s="2"/>
      <c r="AJ508" t="s">
        <v>352</v>
      </c>
    </row>
    <row r="509" spans="1:36" x14ac:dyDescent="0.25">
      <c r="A509" t="s">
        <v>518</v>
      </c>
      <c r="B509" t="s">
        <v>520</v>
      </c>
      <c r="C509" t="s">
        <v>177</v>
      </c>
      <c r="D509" t="s">
        <v>178</v>
      </c>
      <c r="E509" t="s">
        <v>19</v>
      </c>
      <c r="F509" t="s">
        <v>72</v>
      </c>
      <c r="G509" t="s">
        <v>624</v>
      </c>
      <c r="H509" t="s">
        <v>713</v>
      </c>
      <c r="I509">
        <f t="shared" ref="I509:I526" si="75">+AVERAGE(5,30)*30</f>
        <v>525</v>
      </c>
      <c r="J509" t="s">
        <v>773</v>
      </c>
      <c r="K509" t="s">
        <v>519</v>
      </c>
      <c r="L509" t="s">
        <v>716</v>
      </c>
      <c r="Q509" t="s">
        <v>412</v>
      </c>
      <c r="R509" t="s">
        <v>709</v>
      </c>
      <c r="S509" t="s">
        <v>703</v>
      </c>
      <c r="T509" t="s">
        <v>615</v>
      </c>
      <c r="U509" s="1"/>
      <c r="V509" s="1"/>
      <c r="W509" s="1"/>
      <c r="X509">
        <v>4.5100000000000005E-10</v>
      </c>
      <c r="Y509" s="1"/>
      <c r="Z509" s="1"/>
      <c r="AE509" s="2"/>
      <c r="AF509" s="2"/>
      <c r="AJ509" t="s">
        <v>47</v>
      </c>
    </row>
    <row r="510" spans="1:36" x14ac:dyDescent="0.25">
      <c r="A510" t="s">
        <v>518</v>
      </c>
      <c r="B510" t="s">
        <v>521</v>
      </c>
      <c r="C510" t="s">
        <v>367</v>
      </c>
      <c r="D510" t="s">
        <v>253</v>
      </c>
      <c r="E510" t="s">
        <v>19</v>
      </c>
      <c r="F510" t="s">
        <v>129</v>
      </c>
      <c r="G510" t="s">
        <v>624</v>
      </c>
      <c r="H510" t="s">
        <v>713</v>
      </c>
      <c r="I510">
        <f t="shared" si="75"/>
        <v>525</v>
      </c>
      <c r="J510" t="s">
        <v>773</v>
      </c>
      <c r="K510" t="s">
        <v>519</v>
      </c>
      <c r="L510" t="s">
        <v>716</v>
      </c>
      <c r="Q510" t="s">
        <v>412</v>
      </c>
      <c r="R510" t="s">
        <v>709</v>
      </c>
      <c r="S510" t="s">
        <v>703</v>
      </c>
      <c r="T510" t="s">
        <v>615</v>
      </c>
      <c r="U510" s="1"/>
      <c r="V510" s="1"/>
      <c r="W510" s="1"/>
      <c r="X510">
        <v>2.1000000000000002E-9</v>
      </c>
      <c r="Y510" s="1"/>
      <c r="Z510" s="1"/>
      <c r="AE510" s="2"/>
      <c r="AF510" s="2"/>
      <c r="AJ510" t="s">
        <v>47</v>
      </c>
    </row>
    <row r="511" spans="1:36" x14ac:dyDescent="0.25">
      <c r="A511" t="s">
        <v>518</v>
      </c>
      <c r="B511" t="s">
        <v>168</v>
      </c>
      <c r="C511" t="s">
        <v>169</v>
      </c>
      <c r="D511" t="s">
        <v>143</v>
      </c>
      <c r="E511" t="s">
        <v>19</v>
      </c>
      <c r="F511" t="s">
        <v>72</v>
      </c>
      <c r="G511" t="s">
        <v>624</v>
      </c>
      <c r="H511" t="s">
        <v>713</v>
      </c>
      <c r="I511">
        <f t="shared" si="75"/>
        <v>525</v>
      </c>
      <c r="J511" t="s">
        <v>773</v>
      </c>
      <c r="K511" t="s">
        <v>519</v>
      </c>
      <c r="L511" t="s">
        <v>716</v>
      </c>
      <c r="Q511" t="s">
        <v>412</v>
      </c>
      <c r="R511" t="s">
        <v>709</v>
      </c>
      <c r="S511" t="s">
        <v>703</v>
      </c>
      <c r="T511" t="s">
        <v>615</v>
      </c>
      <c r="U511" s="1"/>
      <c r="V511" s="1"/>
      <c r="W511" s="1"/>
      <c r="X511">
        <v>1.9900000000000001E-10</v>
      </c>
      <c r="Y511" s="1"/>
      <c r="Z511" s="1"/>
      <c r="AE511" s="2"/>
      <c r="AF511" s="2"/>
      <c r="AJ511" t="s">
        <v>47</v>
      </c>
    </row>
    <row r="512" spans="1:36" x14ac:dyDescent="0.25">
      <c r="A512" t="s">
        <v>518</v>
      </c>
      <c r="B512" t="s">
        <v>522</v>
      </c>
      <c r="C512" t="s">
        <v>182</v>
      </c>
      <c r="D512" t="s">
        <v>24</v>
      </c>
      <c r="E512" t="s">
        <v>19</v>
      </c>
      <c r="F512" t="s">
        <v>72</v>
      </c>
      <c r="G512" t="s">
        <v>624</v>
      </c>
      <c r="H512" t="s">
        <v>713</v>
      </c>
      <c r="I512">
        <f t="shared" si="75"/>
        <v>525</v>
      </c>
      <c r="J512" t="s">
        <v>773</v>
      </c>
      <c r="K512" t="s">
        <v>519</v>
      </c>
      <c r="L512" t="s">
        <v>716</v>
      </c>
      <c r="Q512" t="s">
        <v>412</v>
      </c>
      <c r="R512" t="s">
        <v>709</v>
      </c>
      <c r="S512" t="s">
        <v>703</v>
      </c>
      <c r="T512" t="s">
        <v>615</v>
      </c>
      <c r="U512" s="1"/>
      <c r="V512" s="1"/>
      <c r="W512" s="1"/>
      <c r="X512">
        <v>5.5200000000000006E-10</v>
      </c>
      <c r="Y512" s="1"/>
      <c r="Z512" s="1"/>
      <c r="AE512" s="2"/>
      <c r="AF512" s="2"/>
      <c r="AJ512" t="s">
        <v>47</v>
      </c>
    </row>
    <row r="513" spans="1:36" x14ac:dyDescent="0.25">
      <c r="A513" t="s">
        <v>518</v>
      </c>
      <c r="B513" t="s">
        <v>361</v>
      </c>
      <c r="C513" t="s">
        <v>142</v>
      </c>
      <c r="D513" t="s">
        <v>143</v>
      </c>
      <c r="E513" t="s">
        <v>19</v>
      </c>
      <c r="F513" t="s">
        <v>72</v>
      </c>
      <c r="G513" t="s">
        <v>624</v>
      </c>
      <c r="H513" t="s">
        <v>713</v>
      </c>
      <c r="I513">
        <f t="shared" si="75"/>
        <v>525</v>
      </c>
      <c r="J513" t="s">
        <v>773</v>
      </c>
      <c r="K513" t="s">
        <v>519</v>
      </c>
      <c r="L513" t="s">
        <v>716</v>
      </c>
      <c r="Q513" t="s">
        <v>412</v>
      </c>
      <c r="R513" t="s">
        <v>709</v>
      </c>
      <c r="S513" t="s">
        <v>703</v>
      </c>
      <c r="T513" t="s">
        <v>615</v>
      </c>
      <c r="U513" s="1"/>
      <c r="V513" s="1"/>
      <c r="W513" s="1"/>
      <c r="X513">
        <v>8.9999999999999999E-11</v>
      </c>
      <c r="Y513" s="1"/>
      <c r="Z513" s="1"/>
      <c r="AE513" s="2"/>
      <c r="AF513" s="2"/>
      <c r="AJ513" t="s">
        <v>47</v>
      </c>
    </row>
    <row r="514" spans="1:36" x14ac:dyDescent="0.25">
      <c r="A514" t="s">
        <v>518</v>
      </c>
      <c r="B514" t="s">
        <v>298</v>
      </c>
      <c r="C514" t="s">
        <v>142</v>
      </c>
      <c r="D514" t="s">
        <v>143</v>
      </c>
      <c r="E514" t="s">
        <v>19</v>
      </c>
      <c r="F514" t="s">
        <v>72</v>
      </c>
      <c r="G514" t="s">
        <v>624</v>
      </c>
      <c r="H514" t="s">
        <v>713</v>
      </c>
      <c r="I514">
        <f t="shared" si="75"/>
        <v>525</v>
      </c>
      <c r="J514" t="s">
        <v>773</v>
      </c>
      <c r="K514" t="s">
        <v>519</v>
      </c>
      <c r="L514" t="s">
        <v>716</v>
      </c>
      <c r="Q514" t="s">
        <v>412</v>
      </c>
      <c r="R514" t="s">
        <v>709</v>
      </c>
      <c r="S514" t="s">
        <v>703</v>
      </c>
      <c r="T514" t="s">
        <v>615</v>
      </c>
      <c r="U514" s="1"/>
      <c r="V514" s="1"/>
      <c r="W514" s="1"/>
      <c r="X514">
        <v>2.2300000000000001E-10</v>
      </c>
      <c r="Y514" s="1"/>
      <c r="Z514" s="1"/>
      <c r="AE514" s="2"/>
      <c r="AF514" s="2"/>
      <c r="AJ514" t="s">
        <v>47</v>
      </c>
    </row>
    <row r="515" spans="1:36" x14ac:dyDescent="0.25">
      <c r="A515" t="s">
        <v>518</v>
      </c>
      <c r="B515" t="s">
        <v>520</v>
      </c>
      <c r="C515" t="s">
        <v>177</v>
      </c>
      <c r="D515" t="s">
        <v>178</v>
      </c>
      <c r="E515" t="s">
        <v>19</v>
      </c>
      <c r="F515" t="s">
        <v>72</v>
      </c>
      <c r="G515" t="s">
        <v>624</v>
      </c>
      <c r="H515" t="s">
        <v>713</v>
      </c>
      <c r="I515">
        <f t="shared" si="75"/>
        <v>525</v>
      </c>
      <c r="J515" t="s">
        <v>773</v>
      </c>
      <c r="K515" t="s">
        <v>523</v>
      </c>
      <c r="L515" t="s">
        <v>716</v>
      </c>
      <c r="Q515" t="s">
        <v>412</v>
      </c>
      <c r="R515" t="s">
        <v>709</v>
      </c>
      <c r="S515" t="s">
        <v>703</v>
      </c>
      <c r="T515" t="s">
        <v>615</v>
      </c>
      <c r="U515" s="1"/>
      <c r="V515" s="1"/>
      <c r="W515" s="1"/>
      <c r="X515">
        <v>6.1500000000000005E-10</v>
      </c>
      <c r="Y515" s="1"/>
      <c r="Z515" s="1"/>
      <c r="AE515" s="2"/>
      <c r="AF515" s="2"/>
      <c r="AJ515" t="s">
        <v>47</v>
      </c>
    </row>
    <row r="516" spans="1:36" x14ac:dyDescent="0.25">
      <c r="A516" t="s">
        <v>518</v>
      </c>
      <c r="B516" t="s">
        <v>521</v>
      </c>
      <c r="C516" t="s">
        <v>367</v>
      </c>
      <c r="D516" t="s">
        <v>253</v>
      </c>
      <c r="E516" t="s">
        <v>19</v>
      </c>
      <c r="F516" t="s">
        <v>129</v>
      </c>
      <c r="G516" t="s">
        <v>624</v>
      </c>
      <c r="H516" t="s">
        <v>713</v>
      </c>
      <c r="I516">
        <f t="shared" si="75"/>
        <v>525</v>
      </c>
      <c r="J516" t="s">
        <v>773</v>
      </c>
      <c r="K516" t="s">
        <v>523</v>
      </c>
      <c r="L516" t="s">
        <v>716</v>
      </c>
      <c r="Q516" t="s">
        <v>412</v>
      </c>
      <c r="R516" t="s">
        <v>709</v>
      </c>
      <c r="S516" t="s">
        <v>703</v>
      </c>
      <c r="T516" t="s">
        <v>615</v>
      </c>
      <c r="U516" s="1"/>
      <c r="V516" s="1"/>
      <c r="W516" s="1"/>
      <c r="X516">
        <v>2.4700000000000004E-9</v>
      </c>
      <c r="Y516" s="1"/>
      <c r="Z516" s="1"/>
      <c r="AE516" s="2"/>
      <c r="AF516" s="2"/>
      <c r="AJ516" t="s">
        <v>47</v>
      </c>
    </row>
    <row r="517" spans="1:36" x14ac:dyDescent="0.25">
      <c r="A517" t="s">
        <v>518</v>
      </c>
      <c r="B517" t="s">
        <v>168</v>
      </c>
      <c r="C517" t="s">
        <v>169</v>
      </c>
      <c r="D517" t="s">
        <v>143</v>
      </c>
      <c r="E517" t="s">
        <v>19</v>
      </c>
      <c r="F517" t="s">
        <v>72</v>
      </c>
      <c r="G517" t="s">
        <v>624</v>
      </c>
      <c r="H517" t="s">
        <v>713</v>
      </c>
      <c r="I517">
        <f t="shared" si="75"/>
        <v>525</v>
      </c>
      <c r="J517" t="s">
        <v>773</v>
      </c>
      <c r="K517" t="s">
        <v>523</v>
      </c>
      <c r="L517" t="s">
        <v>716</v>
      </c>
      <c r="Q517" t="s">
        <v>412</v>
      </c>
      <c r="R517" t="s">
        <v>709</v>
      </c>
      <c r="S517" t="s">
        <v>703</v>
      </c>
      <c r="T517" t="s">
        <v>615</v>
      </c>
      <c r="U517" s="1"/>
      <c r="V517" s="1"/>
      <c r="W517" s="1"/>
      <c r="X517">
        <v>3.3700000000000003E-10</v>
      </c>
      <c r="Y517" s="1"/>
      <c r="Z517" s="1"/>
      <c r="AE517" s="2"/>
      <c r="AF517" s="2"/>
      <c r="AJ517" t="s">
        <v>47</v>
      </c>
    </row>
    <row r="518" spans="1:36" x14ac:dyDescent="0.25">
      <c r="A518" t="s">
        <v>518</v>
      </c>
      <c r="B518" t="s">
        <v>522</v>
      </c>
      <c r="C518" t="s">
        <v>182</v>
      </c>
      <c r="D518" t="s">
        <v>24</v>
      </c>
      <c r="E518" t="s">
        <v>19</v>
      </c>
      <c r="F518" t="s">
        <v>72</v>
      </c>
      <c r="G518" t="s">
        <v>624</v>
      </c>
      <c r="H518" t="s">
        <v>713</v>
      </c>
      <c r="I518">
        <f t="shared" si="75"/>
        <v>525</v>
      </c>
      <c r="J518" t="s">
        <v>773</v>
      </c>
      <c r="K518" t="s">
        <v>523</v>
      </c>
      <c r="L518" t="s">
        <v>716</v>
      </c>
      <c r="Q518" t="s">
        <v>412</v>
      </c>
      <c r="R518" t="s">
        <v>709</v>
      </c>
      <c r="S518" t="s">
        <v>703</v>
      </c>
      <c r="T518" t="s">
        <v>615</v>
      </c>
      <c r="U518" s="1"/>
      <c r="V518" s="1"/>
      <c r="W518" s="1"/>
      <c r="X518">
        <v>5.8700000000000004E-10</v>
      </c>
      <c r="Y518" s="1"/>
      <c r="Z518" s="1"/>
      <c r="AE518" s="2"/>
      <c r="AF518" s="2"/>
      <c r="AJ518" t="s">
        <v>47</v>
      </c>
    </row>
    <row r="519" spans="1:36" x14ac:dyDescent="0.25">
      <c r="A519" t="s">
        <v>518</v>
      </c>
      <c r="B519" t="s">
        <v>361</v>
      </c>
      <c r="C519" t="s">
        <v>142</v>
      </c>
      <c r="D519" t="s">
        <v>143</v>
      </c>
      <c r="E519" t="s">
        <v>19</v>
      </c>
      <c r="F519" t="s">
        <v>72</v>
      </c>
      <c r="G519" t="s">
        <v>624</v>
      </c>
      <c r="H519" t="s">
        <v>713</v>
      </c>
      <c r="I519">
        <f t="shared" si="75"/>
        <v>525</v>
      </c>
      <c r="J519" t="s">
        <v>773</v>
      </c>
      <c r="K519" t="s">
        <v>523</v>
      </c>
      <c r="L519" t="s">
        <v>716</v>
      </c>
      <c r="Q519" t="s">
        <v>412</v>
      </c>
      <c r="R519" t="s">
        <v>709</v>
      </c>
      <c r="S519" t="s">
        <v>703</v>
      </c>
      <c r="T519" t="s">
        <v>615</v>
      </c>
      <c r="U519" s="1"/>
      <c r="V519" s="1"/>
      <c r="W519" s="1"/>
      <c r="X519">
        <v>2.6400000000000002E-10</v>
      </c>
      <c r="Y519" s="1"/>
      <c r="Z519" s="1"/>
      <c r="AE519" s="2"/>
      <c r="AF519" s="2"/>
      <c r="AJ519" t="s">
        <v>47</v>
      </c>
    </row>
    <row r="520" spans="1:36" x14ac:dyDescent="0.25">
      <c r="A520" t="s">
        <v>518</v>
      </c>
      <c r="B520" t="s">
        <v>298</v>
      </c>
      <c r="C520" t="s">
        <v>142</v>
      </c>
      <c r="D520" t="s">
        <v>143</v>
      </c>
      <c r="E520" t="s">
        <v>19</v>
      </c>
      <c r="F520" t="s">
        <v>72</v>
      </c>
      <c r="G520" t="s">
        <v>624</v>
      </c>
      <c r="H520" t="s">
        <v>713</v>
      </c>
      <c r="I520">
        <f t="shared" si="75"/>
        <v>525</v>
      </c>
      <c r="J520" t="s">
        <v>773</v>
      </c>
      <c r="K520" t="s">
        <v>523</v>
      </c>
      <c r="L520" t="s">
        <v>716</v>
      </c>
      <c r="Q520" t="s">
        <v>412</v>
      </c>
      <c r="R520" t="s">
        <v>709</v>
      </c>
      <c r="S520" t="s">
        <v>703</v>
      </c>
      <c r="T520" t="s">
        <v>615</v>
      </c>
      <c r="U520" s="1"/>
      <c r="V520" s="1"/>
      <c r="W520" s="1"/>
      <c r="X520">
        <v>3.1100000000000001E-10</v>
      </c>
      <c r="Y520" s="1"/>
      <c r="Z520" s="1"/>
      <c r="AE520" s="2"/>
      <c r="AF520" s="2"/>
      <c r="AJ520" t="s">
        <v>47</v>
      </c>
    </row>
    <row r="521" spans="1:36" x14ac:dyDescent="0.25">
      <c r="A521" t="s">
        <v>518</v>
      </c>
      <c r="B521" t="s">
        <v>520</v>
      </c>
      <c r="C521" t="s">
        <v>177</v>
      </c>
      <c r="D521" t="s">
        <v>178</v>
      </c>
      <c r="E521" t="s">
        <v>19</v>
      </c>
      <c r="F521" t="s">
        <v>72</v>
      </c>
      <c r="G521" t="s">
        <v>624</v>
      </c>
      <c r="H521" t="s">
        <v>713</v>
      </c>
      <c r="I521">
        <f t="shared" si="75"/>
        <v>525</v>
      </c>
      <c r="J521" t="s">
        <v>773</v>
      </c>
      <c r="K521" t="s">
        <v>524</v>
      </c>
      <c r="L521" t="s">
        <v>716</v>
      </c>
      <c r="Q521" t="s">
        <v>412</v>
      </c>
      <c r="R521" t="s">
        <v>709</v>
      </c>
      <c r="S521" t="s">
        <v>703</v>
      </c>
      <c r="T521" t="s">
        <v>615</v>
      </c>
      <c r="U521" s="1"/>
      <c r="V521" s="1"/>
      <c r="W521" s="1"/>
      <c r="X521">
        <v>4.19E-10</v>
      </c>
      <c r="Y521" s="1"/>
      <c r="Z521" s="1"/>
      <c r="AE521" s="2"/>
      <c r="AF521" s="2"/>
      <c r="AJ521" t="s">
        <v>47</v>
      </c>
    </row>
    <row r="522" spans="1:36" x14ac:dyDescent="0.25">
      <c r="A522" t="s">
        <v>518</v>
      </c>
      <c r="B522" t="s">
        <v>521</v>
      </c>
      <c r="C522" t="s">
        <v>367</v>
      </c>
      <c r="D522" t="s">
        <v>253</v>
      </c>
      <c r="E522" t="s">
        <v>19</v>
      </c>
      <c r="F522" t="s">
        <v>129</v>
      </c>
      <c r="G522" t="s">
        <v>624</v>
      </c>
      <c r="H522" t="s">
        <v>713</v>
      </c>
      <c r="I522">
        <f t="shared" si="75"/>
        <v>525</v>
      </c>
      <c r="J522" t="s">
        <v>773</v>
      </c>
      <c r="K522" t="s">
        <v>524</v>
      </c>
      <c r="L522" t="s">
        <v>716</v>
      </c>
      <c r="Q522" t="s">
        <v>412</v>
      </c>
      <c r="R522" t="s">
        <v>709</v>
      </c>
      <c r="S522" t="s">
        <v>703</v>
      </c>
      <c r="T522" t="s">
        <v>615</v>
      </c>
      <c r="U522" s="1"/>
      <c r="V522" s="1"/>
      <c r="W522" s="1"/>
      <c r="X522">
        <v>2.7900000000000001E-9</v>
      </c>
      <c r="Y522" s="1"/>
      <c r="Z522" s="1"/>
      <c r="AE522" s="2"/>
      <c r="AF522" s="2"/>
      <c r="AJ522" t="s">
        <v>47</v>
      </c>
    </row>
    <row r="523" spans="1:36" x14ac:dyDescent="0.25">
      <c r="A523" t="s">
        <v>518</v>
      </c>
      <c r="B523" t="s">
        <v>168</v>
      </c>
      <c r="C523" t="s">
        <v>169</v>
      </c>
      <c r="D523" t="s">
        <v>143</v>
      </c>
      <c r="E523" t="s">
        <v>19</v>
      </c>
      <c r="F523" t="s">
        <v>72</v>
      </c>
      <c r="G523" t="s">
        <v>624</v>
      </c>
      <c r="H523" t="s">
        <v>713</v>
      </c>
      <c r="I523">
        <f t="shared" si="75"/>
        <v>525</v>
      </c>
      <c r="J523" t="s">
        <v>773</v>
      </c>
      <c r="K523" t="s">
        <v>524</v>
      </c>
      <c r="L523" t="s">
        <v>716</v>
      </c>
      <c r="Q523" t="s">
        <v>412</v>
      </c>
      <c r="R523" t="s">
        <v>709</v>
      </c>
      <c r="S523" t="s">
        <v>703</v>
      </c>
      <c r="T523" t="s">
        <v>615</v>
      </c>
      <c r="U523" s="1"/>
      <c r="V523" s="1"/>
      <c r="W523" s="1"/>
      <c r="X523">
        <v>1.8900000000000002E-10</v>
      </c>
      <c r="Y523" s="1"/>
      <c r="Z523" s="1"/>
      <c r="AE523" s="2"/>
      <c r="AF523" s="2"/>
      <c r="AJ523" t="s">
        <v>47</v>
      </c>
    </row>
    <row r="524" spans="1:36" x14ac:dyDescent="0.25">
      <c r="A524" t="s">
        <v>518</v>
      </c>
      <c r="B524" t="s">
        <v>522</v>
      </c>
      <c r="C524" t="s">
        <v>182</v>
      </c>
      <c r="D524" t="s">
        <v>24</v>
      </c>
      <c r="E524" t="s">
        <v>19</v>
      </c>
      <c r="F524" t="s">
        <v>72</v>
      </c>
      <c r="G524" t="s">
        <v>624</v>
      </c>
      <c r="H524" t="s">
        <v>713</v>
      </c>
      <c r="I524">
        <f t="shared" si="75"/>
        <v>525</v>
      </c>
      <c r="J524" t="s">
        <v>773</v>
      </c>
      <c r="K524" t="s">
        <v>524</v>
      </c>
      <c r="L524" t="s">
        <v>716</v>
      </c>
      <c r="Q524" t="s">
        <v>412</v>
      </c>
      <c r="R524" t="s">
        <v>709</v>
      </c>
      <c r="S524" t="s">
        <v>703</v>
      </c>
      <c r="T524" t="s">
        <v>615</v>
      </c>
      <c r="U524" s="1"/>
      <c r="V524" s="1"/>
      <c r="W524" s="1"/>
      <c r="X524">
        <v>5.8600000000000004E-10</v>
      </c>
      <c r="Y524" s="1"/>
      <c r="Z524" s="1"/>
      <c r="AE524" s="2"/>
      <c r="AF524" s="2"/>
      <c r="AJ524" t="s">
        <v>47</v>
      </c>
    </row>
    <row r="525" spans="1:36" x14ac:dyDescent="0.25">
      <c r="A525" t="s">
        <v>518</v>
      </c>
      <c r="B525" t="s">
        <v>361</v>
      </c>
      <c r="C525" t="s">
        <v>142</v>
      </c>
      <c r="D525" t="s">
        <v>143</v>
      </c>
      <c r="E525" t="s">
        <v>19</v>
      </c>
      <c r="F525" t="s">
        <v>72</v>
      </c>
      <c r="G525" t="s">
        <v>624</v>
      </c>
      <c r="H525" t="s">
        <v>713</v>
      </c>
      <c r="I525">
        <f t="shared" si="75"/>
        <v>525</v>
      </c>
      <c r="J525" t="s">
        <v>773</v>
      </c>
      <c r="K525" t="s">
        <v>524</v>
      </c>
      <c r="L525" t="s">
        <v>716</v>
      </c>
      <c r="Q525" t="s">
        <v>412</v>
      </c>
      <c r="R525" t="s">
        <v>709</v>
      </c>
      <c r="S525" t="s">
        <v>703</v>
      </c>
      <c r="T525" t="s">
        <v>615</v>
      </c>
      <c r="U525" s="1"/>
      <c r="V525" s="1"/>
      <c r="W525" s="1"/>
      <c r="X525">
        <v>3.4699999999999999E-10</v>
      </c>
      <c r="Y525" s="1"/>
      <c r="Z525" s="1"/>
      <c r="AE525" s="2"/>
      <c r="AF525" s="2"/>
      <c r="AJ525" t="s">
        <v>47</v>
      </c>
    </row>
    <row r="526" spans="1:36" x14ac:dyDescent="0.25">
      <c r="A526" t="s">
        <v>518</v>
      </c>
      <c r="B526" t="s">
        <v>298</v>
      </c>
      <c r="C526" t="s">
        <v>142</v>
      </c>
      <c r="D526" t="s">
        <v>143</v>
      </c>
      <c r="E526" t="s">
        <v>19</v>
      </c>
      <c r="F526" t="s">
        <v>72</v>
      </c>
      <c r="G526" t="s">
        <v>624</v>
      </c>
      <c r="H526" t="s">
        <v>713</v>
      </c>
      <c r="I526">
        <f t="shared" si="75"/>
        <v>525</v>
      </c>
      <c r="J526" t="s">
        <v>773</v>
      </c>
      <c r="K526" t="s">
        <v>524</v>
      </c>
      <c r="L526" t="s">
        <v>716</v>
      </c>
      <c r="Q526" t="s">
        <v>412</v>
      </c>
      <c r="R526" t="s">
        <v>709</v>
      </c>
      <c r="S526" t="s">
        <v>703</v>
      </c>
      <c r="T526" t="s">
        <v>615</v>
      </c>
      <c r="U526" s="1"/>
      <c r="V526" s="1"/>
      <c r="W526" s="1"/>
      <c r="X526">
        <v>3.2400000000000002E-10</v>
      </c>
      <c r="Y526" s="1"/>
      <c r="Z526" s="1"/>
      <c r="AE526" s="2"/>
      <c r="AF526" s="2"/>
      <c r="AJ526" t="s">
        <v>47</v>
      </c>
    </row>
    <row r="527" spans="1:36" x14ac:dyDescent="0.25">
      <c r="A527" t="s">
        <v>328</v>
      </c>
      <c r="B527" t="s">
        <v>224</v>
      </c>
      <c r="C527" t="s">
        <v>225</v>
      </c>
      <c r="D527" t="s">
        <v>92</v>
      </c>
      <c r="E527" t="s">
        <v>19</v>
      </c>
      <c r="F527" t="s">
        <v>37</v>
      </c>
      <c r="G527" t="s">
        <v>626</v>
      </c>
      <c r="H527" t="s">
        <v>714</v>
      </c>
      <c r="I527">
        <f>7+3+4</f>
        <v>14</v>
      </c>
      <c r="J527" t="s">
        <v>51</v>
      </c>
      <c r="K527" t="s">
        <v>39</v>
      </c>
      <c r="L527" t="str">
        <f t="shared" ref="L527:L539" si="76">+IF(K527 = "Control", "Control", "Stress")</f>
        <v>Control</v>
      </c>
      <c r="Q527" t="s">
        <v>412</v>
      </c>
      <c r="R527" t="s">
        <v>709</v>
      </c>
      <c r="S527" t="s">
        <v>703</v>
      </c>
      <c r="T527" t="s">
        <v>616</v>
      </c>
      <c r="U527" s="1"/>
      <c r="V527" s="1"/>
      <c r="W527" s="1"/>
      <c r="X527" s="1">
        <f>[75]Aroca_etal_2006_Fig3b!C2</f>
        <v>5.5000000000000004E-9</v>
      </c>
      <c r="Y527" s="1"/>
      <c r="Z527" s="1"/>
      <c r="AE527" s="2"/>
      <c r="AF527" s="2"/>
      <c r="AJ527" t="s">
        <v>352</v>
      </c>
    </row>
    <row r="528" spans="1:36" x14ac:dyDescent="0.25">
      <c r="A528" t="s">
        <v>328</v>
      </c>
      <c r="B528" t="s">
        <v>224</v>
      </c>
      <c r="C528" t="s">
        <v>225</v>
      </c>
      <c r="D528" t="s">
        <v>92</v>
      </c>
      <c r="E528" t="s">
        <v>19</v>
      </c>
      <c r="F528" t="s">
        <v>37</v>
      </c>
      <c r="G528" t="s">
        <v>626</v>
      </c>
      <c r="H528" t="s">
        <v>714</v>
      </c>
      <c r="I528">
        <f>7+3+4</f>
        <v>14</v>
      </c>
      <c r="J528" t="s">
        <v>51</v>
      </c>
      <c r="K528" t="s">
        <v>51</v>
      </c>
      <c r="L528" t="str">
        <f t="shared" si="76"/>
        <v>Stress</v>
      </c>
      <c r="Q528" t="s">
        <v>412</v>
      </c>
      <c r="R528" t="s">
        <v>709</v>
      </c>
      <c r="S528" t="s">
        <v>703</v>
      </c>
      <c r="T528" t="s">
        <v>616</v>
      </c>
      <c r="U528" s="1"/>
      <c r="V528" s="1"/>
      <c r="W528" s="1"/>
      <c r="X528" s="1">
        <f>[75]Aroca_etal_2006_Fig3b!C3</f>
        <v>2.9444444444444445E-9</v>
      </c>
      <c r="Y528" s="1"/>
      <c r="Z528" s="1"/>
      <c r="AE528" s="2"/>
      <c r="AF528" s="2"/>
      <c r="AJ528" t="s">
        <v>352</v>
      </c>
    </row>
    <row r="529" spans="1:36" x14ac:dyDescent="0.25">
      <c r="A529" t="s">
        <v>328</v>
      </c>
      <c r="B529" t="s">
        <v>224</v>
      </c>
      <c r="C529" t="s">
        <v>225</v>
      </c>
      <c r="D529" t="s">
        <v>92</v>
      </c>
      <c r="E529" t="s">
        <v>19</v>
      </c>
      <c r="F529" t="s">
        <v>37</v>
      </c>
      <c r="G529" t="s">
        <v>626</v>
      </c>
      <c r="H529" t="s">
        <v>714</v>
      </c>
      <c r="I529">
        <f>7+3+4+1</f>
        <v>15</v>
      </c>
      <c r="J529" t="s">
        <v>51</v>
      </c>
      <c r="K529" t="s">
        <v>39</v>
      </c>
      <c r="L529" t="str">
        <f t="shared" si="76"/>
        <v>Control</v>
      </c>
      <c r="Q529" t="s">
        <v>412</v>
      </c>
      <c r="R529" t="s">
        <v>709</v>
      </c>
      <c r="S529" t="s">
        <v>703</v>
      </c>
      <c r="T529" t="s">
        <v>616</v>
      </c>
      <c r="U529" s="1"/>
      <c r="V529" s="1"/>
      <c r="W529" s="1"/>
      <c r="X529" s="1">
        <f>[75]Aroca_etal_2006_Fig3b!C4</f>
        <v>7.7520802741066938E-9</v>
      </c>
      <c r="Y529" s="1"/>
      <c r="Z529" s="1"/>
      <c r="AE529" s="2"/>
      <c r="AF529" s="2"/>
      <c r="AJ529" t="s">
        <v>352</v>
      </c>
    </row>
    <row r="530" spans="1:36" x14ac:dyDescent="0.25">
      <c r="A530" t="s">
        <v>328</v>
      </c>
      <c r="B530" t="s">
        <v>224</v>
      </c>
      <c r="C530" t="s">
        <v>225</v>
      </c>
      <c r="D530" t="s">
        <v>92</v>
      </c>
      <c r="E530" t="s">
        <v>19</v>
      </c>
      <c r="F530" t="s">
        <v>37</v>
      </c>
      <c r="G530" t="s">
        <v>626</v>
      </c>
      <c r="H530" t="s">
        <v>714</v>
      </c>
      <c r="I530">
        <f>7+3+4+1</f>
        <v>15</v>
      </c>
      <c r="J530" t="s">
        <v>51</v>
      </c>
      <c r="K530" t="s">
        <v>51</v>
      </c>
      <c r="L530" t="str">
        <f t="shared" si="76"/>
        <v>Stress</v>
      </c>
      <c r="Q530" t="s">
        <v>412</v>
      </c>
      <c r="R530" t="s">
        <v>709</v>
      </c>
      <c r="S530" t="s">
        <v>703</v>
      </c>
      <c r="T530" t="s">
        <v>616</v>
      </c>
      <c r="U530" s="1"/>
      <c r="V530" s="1"/>
      <c r="W530" s="1"/>
      <c r="X530" s="1">
        <f>[75]Aroca_etal_2006_Fig3b!C5</f>
        <v>3.2550171316691107E-9</v>
      </c>
      <c r="Y530" s="1"/>
      <c r="Z530" s="1"/>
      <c r="AE530" s="2"/>
      <c r="AF530" s="2"/>
      <c r="AJ530" t="s">
        <v>352</v>
      </c>
    </row>
    <row r="531" spans="1:36" x14ac:dyDescent="0.25">
      <c r="A531" t="s">
        <v>328</v>
      </c>
      <c r="B531" t="s">
        <v>224</v>
      </c>
      <c r="C531" t="s">
        <v>225</v>
      </c>
      <c r="D531" t="s">
        <v>92</v>
      </c>
      <c r="E531" t="s">
        <v>19</v>
      </c>
      <c r="F531" t="s">
        <v>37</v>
      </c>
      <c r="G531" t="s">
        <v>626</v>
      </c>
      <c r="H531" t="s">
        <v>714</v>
      </c>
      <c r="I531">
        <f>7+3+4</f>
        <v>14</v>
      </c>
      <c r="J531" t="s">
        <v>354</v>
      </c>
      <c r="K531" t="s">
        <v>39</v>
      </c>
      <c r="L531" t="str">
        <f t="shared" si="76"/>
        <v>Control</v>
      </c>
      <c r="Q531" t="s">
        <v>412</v>
      </c>
      <c r="R531" t="s">
        <v>709</v>
      </c>
      <c r="S531" t="s">
        <v>703</v>
      </c>
      <c r="T531" t="s">
        <v>616</v>
      </c>
      <c r="U531" s="1"/>
      <c r="V531" s="1"/>
      <c r="W531" s="1"/>
      <c r="X531" s="1">
        <f>[75]Aroca_etal_2006_Fig3b!C6</f>
        <v>7.4094468918257223E-9</v>
      </c>
      <c r="Y531" s="1"/>
      <c r="Z531" s="1"/>
      <c r="AE531" s="2"/>
      <c r="AF531" s="2"/>
      <c r="AJ531" t="s">
        <v>352</v>
      </c>
    </row>
    <row r="532" spans="1:36" x14ac:dyDescent="0.25">
      <c r="A532" t="s">
        <v>328</v>
      </c>
      <c r="B532" t="s">
        <v>224</v>
      </c>
      <c r="C532" t="s">
        <v>225</v>
      </c>
      <c r="D532" t="s">
        <v>92</v>
      </c>
      <c r="E532" t="s">
        <v>19</v>
      </c>
      <c r="F532" t="s">
        <v>37</v>
      </c>
      <c r="G532" t="s">
        <v>626</v>
      </c>
      <c r="H532" t="s">
        <v>714</v>
      </c>
      <c r="I532">
        <f>7+3+4</f>
        <v>14</v>
      </c>
      <c r="J532" t="s">
        <v>354</v>
      </c>
      <c r="K532" t="s">
        <v>79</v>
      </c>
      <c r="L532" t="str">
        <f t="shared" si="76"/>
        <v>Stress</v>
      </c>
      <c r="Q532" t="s">
        <v>412</v>
      </c>
      <c r="R532" t="s">
        <v>709</v>
      </c>
      <c r="S532" t="s">
        <v>703</v>
      </c>
      <c r="T532" t="s">
        <v>616</v>
      </c>
      <c r="U532" s="1"/>
      <c r="V532" s="1"/>
      <c r="W532" s="1"/>
      <c r="X532" s="1">
        <f>[75]Aroca_etal_2006_Fig3b!C7</f>
        <v>1.7302985805188416E-8</v>
      </c>
      <c r="Y532" s="1"/>
      <c r="Z532" s="1"/>
      <c r="AE532" s="2"/>
      <c r="AF532" s="2"/>
      <c r="AJ532" t="s">
        <v>352</v>
      </c>
    </row>
    <row r="533" spans="1:36" x14ac:dyDescent="0.25">
      <c r="A533" t="s">
        <v>100</v>
      </c>
      <c r="B533" t="s">
        <v>101</v>
      </c>
      <c r="C533" t="s">
        <v>102</v>
      </c>
      <c r="D533" t="s">
        <v>92</v>
      </c>
      <c r="E533" t="s">
        <v>19</v>
      </c>
      <c r="F533" t="s">
        <v>37</v>
      </c>
      <c r="G533" t="s">
        <v>626</v>
      </c>
      <c r="H533" t="s">
        <v>714</v>
      </c>
      <c r="J533" t="s">
        <v>739</v>
      </c>
      <c r="K533" t="s">
        <v>39</v>
      </c>
      <c r="L533" t="str">
        <f t="shared" si="76"/>
        <v>Control</v>
      </c>
      <c r="M533" t="s">
        <v>39</v>
      </c>
      <c r="N533" t="str">
        <f t="shared" ref="N533:N538" si="77">+IF(M533="Control","Control","Stress")</f>
        <v>Control</v>
      </c>
      <c r="O533" t="s">
        <v>740</v>
      </c>
      <c r="P533" t="s">
        <v>716</v>
      </c>
      <c r="Q533" t="s">
        <v>412</v>
      </c>
      <c r="R533" t="s">
        <v>709</v>
      </c>
      <c r="S533" t="s">
        <v>703</v>
      </c>
      <c r="T533" t="s">
        <v>615</v>
      </c>
      <c r="U533" s="1"/>
      <c r="V533" s="1"/>
      <c r="W533" s="1"/>
      <c r="X533" s="1"/>
      <c r="Y533" s="1">
        <v>1.1559999999999999E-10</v>
      </c>
      <c r="Z533" s="1"/>
      <c r="AE533" s="2"/>
      <c r="AF533" s="2"/>
      <c r="AJ533" t="s">
        <v>203</v>
      </c>
    </row>
    <row r="534" spans="1:36" x14ac:dyDescent="0.25">
      <c r="A534" t="s">
        <v>100</v>
      </c>
      <c r="B534" t="s">
        <v>101</v>
      </c>
      <c r="C534" t="s">
        <v>102</v>
      </c>
      <c r="D534" t="s">
        <v>92</v>
      </c>
      <c r="E534" t="s">
        <v>19</v>
      </c>
      <c r="F534" t="s">
        <v>37</v>
      </c>
      <c r="G534" t="s">
        <v>626</v>
      </c>
      <c r="H534" t="s">
        <v>714</v>
      </c>
      <c r="J534" t="s">
        <v>739</v>
      </c>
      <c r="K534" t="s">
        <v>670</v>
      </c>
      <c r="L534" t="str">
        <f t="shared" si="76"/>
        <v>Stress</v>
      </c>
      <c r="M534" t="s">
        <v>668</v>
      </c>
      <c r="N534" t="str">
        <f t="shared" si="77"/>
        <v>Stress</v>
      </c>
      <c r="O534" t="s">
        <v>740</v>
      </c>
      <c r="P534" t="s">
        <v>716</v>
      </c>
      <c r="Q534" t="s">
        <v>412</v>
      </c>
      <c r="R534" t="s">
        <v>709</v>
      </c>
      <c r="S534" t="s">
        <v>703</v>
      </c>
      <c r="T534" t="s">
        <v>615</v>
      </c>
      <c r="U534" s="1"/>
      <c r="V534" s="1"/>
      <c r="W534" s="1"/>
      <c r="X534" s="1"/>
      <c r="Y534" s="1">
        <v>7.2299999999999998E-11</v>
      </c>
      <c r="Z534" s="1"/>
      <c r="AE534" s="2"/>
      <c r="AF534" s="2"/>
      <c r="AJ534" t="s">
        <v>203</v>
      </c>
    </row>
    <row r="535" spans="1:36" x14ac:dyDescent="0.25">
      <c r="A535" t="s">
        <v>100</v>
      </c>
      <c r="B535" t="s">
        <v>101</v>
      </c>
      <c r="C535" t="s">
        <v>102</v>
      </c>
      <c r="D535" t="s">
        <v>92</v>
      </c>
      <c r="E535" t="s">
        <v>19</v>
      </c>
      <c r="F535" t="s">
        <v>37</v>
      </c>
      <c r="G535" t="s">
        <v>626</v>
      </c>
      <c r="H535" t="s">
        <v>714</v>
      </c>
      <c r="J535" t="s">
        <v>739</v>
      </c>
      <c r="K535" t="s">
        <v>670</v>
      </c>
      <c r="L535" t="str">
        <f t="shared" si="76"/>
        <v>Stress</v>
      </c>
      <c r="M535" t="s">
        <v>669</v>
      </c>
      <c r="N535" t="str">
        <f t="shared" si="77"/>
        <v>Stress</v>
      </c>
      <c r="O535" t="s">
        <v>740</v>
      </c>
      <c r="P535" t="s">
        <v>716</v>
      </c>
      <c r="Q535" t="s">
        <v>412</v>
      </c>
      <c r="R535" t="s">
        <v>709</v>
      </c>
      <c r="S535" t="s">
        <v>703</v>
      </c>
      <c r="T535" t="s">
        <v>615</v>
      </c>
      <c r="U535" s="1"/>
      <c r="V535" s="1"/>
      <c r="W535" s="1"/>
      <c r="X535" s="1"/>
      <c r="Y535" s="1">
        <v>4.2900000000000002E-11</v>
      </c>
      <c r="Z535" s="1"/>
      <c r="AE535" s="2"/>
      <c r="AF535" s="2"/>
      <c r="AJ535" t="s">
        <v>203</v>
      </c>
    </row>
    <row r="536" spans="1:36" x14ac:dyDescent="0.25">
      <c r="A536" t="s">
        <v>100</v>
      </c>
      <c r="B536" t="s">
        <v>101</v>
      </c>
      <c r="C536" t="s">
        <v>102</v>
      </c>
      <c r="D536" t="s">
        <v>92</v>
      </c>
      <c r="E536" t="s">
        <v>19</v>
      </c>
      <c r="F536" t="s">
        <v>37</v>
      </c>
      <c r="G536" t="s">
        <v>626</v>
      </c>
      <c r="H536" t="s">
        <v>714</v>
      </c>
      <c r="J536" t="s">
        <v>739</v>
      </c>
      <c r="K536" t="s">
        <v>39</v>
      </c>
      <c r="L536" t="str">
        <f t="shared" si="76"/>
        <v>Control</v>
      </c>
      <c r="M536" t="s">
        <v>39</v>
      </c>
      <c r="N536" t="str">
        <f t="shared" si="77"/>
        <v>Control</v>
      </c>
      <c r="O536" t="s">
        <v>741</v>
      </c>
      <c r="P536" t="s">
        <v>716</v>
      </c>
      <c r="Q536" t="s">
        <v>412</v>
      </c>
      <c r="R536" t="s">
        <v>709</v>
      </c>
      <c r="S536" t="s">
        <v>703</v>
      </c>
      <c r="T536" t="s">
        <v>615</v>
      </c>
      <c r="U536" s="1"/>
      <c r="V536" s="1"/>
      <c r="W536" s="1"/>
      <c r="X536" s="1">
        <v>1.8699999999999999E-8</v>
      </c>
      <c r="Y536" s="1"/>
      <c r="Z536" s="1"/>
      <c r="AE536" s="2"/>
      <c r="AF536" s="2"/>
      <c r="AJ536" t="s">
        <v>203</v>
      </c>
    </row>
    <row r="537" spans="1:36" x14ac:dyDescent="0.25">
      <c r="A537" t="s">
        <v>100</v>
      </c>
      <c r="B537" t="s">
        <v>101</v>
      </c>
      <c r="C537" t="s">
        <v>102</v>
      </c>
      <c r="D537" t="s">
        <v>92</v>
      </c>
      <c r="E537" t="s">
        <v>19</v>
      </c>
      <c r="F537" t="s">
        <v>37</v>
      </c>
      <c r="G537" t="s">
        <v>626</v>
      </c>
      <c r="H537" t="s">
        <v>714</v>
      </c>
      <c r="J537" t="s">
        <v>739</v>
      </c>
      <c r="K537" t="s">
        <v>670</v>
      </c>
      <c r="L537" t="str">
        <f t="shared" si="76"/>
        <v>Stress</v>
      </c>
      <c r="M537" t="s">
        <v>668</v>
      </c>
      <c r="N537" t="str">
        <f t="shared" si="77"/>
        <v>Stress</v>
      </c>
      <c r="O537" t="s">
        <v>741</v>
      </c>
      <c r="P537" t="s">
        <v>716</v>
      </c>
      <c r="Q537" t="s">
        <v>412</v>
      </c>
      <c r="R537" t="s">
        <v>709</v>
      </c>
      <c r="S537" t="s">
        <v>703</v>
      </c>
      <c r="T537" t="s">
        <v>615</v>
      </c>
      <c r="U537" s="1"/>
      <c r="V537" s="1"/>
      <c r="W537" s="1"/>
      <c r="X537" s="1">
        <v>1.89E-8</v>
      </c>
      <c r="Y537" s="1"/>
      <c r="Z537" s="1"/>
      <c r="AE537" s="2"/>
      <c r="AF537" s="2"/>
      <c r="AJ537" t="s">
        <v>203</v>
      </c>
    </row>
    <row r="538" spans="1:36" x14ac:dyDescent="0.25">
      <c r="A538" t="s">
        <v>100</v>
      </c>
      <c r="B538" t="s">
        <v>101</v>
      </c>
      <c r="C538" t="s">
        <v>102</v>
      </c>
      <c r="D538" t="s">
        <v>92</v>
      </c>
      <c r="E538" t="s">
        <v>19</v>
      </c>
      <c r="F538" t="s">
        <v>37</v>
      </c>
      <c r="G538" t="s">
        <v>626</v>
      </c>
      <c r="H538" t="s">
        <v>714</v>
      </c>
      <c r="J538" t="s">
        <v>739</v>
      </c>
      <c r="K538" t="s">
        <v>670</v>
      </c>
      <c r="L538" t="str">
        <f t="shared" si="76"/>
        <v>Stress</v>
      </c>
      <c r="M538" t="s">
        <v>669</v>
      </c>
      <c r="N538" t="str">
        <f t="shared" si="77"/>
        <v>Stress</v>
      </c>
      <c r="O538" t="s">
        <v>741</v>
      </c>
      <c r="P538" t="s">
        <v>716</v>
      </c>
      <c r="Q538" t="s">
        <v>412</v>
      </c>
      <c r="R538" t="s">
        <v>709</v>
      </c>
      <c r="S538" t="s">
        <v>703</v>
      </c>
      <c r="T538" t="s">
        <v>615</v>
      </c>
      <c r="U538" s="1"/>
      <c r="V538" s="1"/>
      <c r="W538" s="1"/>
      <c r="X538" s="1">
        <v>7.3E-9</v>
      </c>
      <c r="Y538" s="1"/>
      <c r="Z538" s="1"/>
      <c r="AE538" s="2"/>
      <c r="AF538" s="2"/>
      <c r="AJ538" t="s">
        <v>203</v>
      </c>
    </row>
    <row r="539" spans="1:36" x14ac:dyDescent="0.25">
      <c r="A539" t="s">
        <v>100</v>
      </c>
      <c r="B539" t="s">
        <v>101</v>
      </c>
      <c r="C539" t="s">
        <v>102</v>
      </c>
      <c r="D539" t="s">
        <v>92</v>
      </c>
      <c r="E539" t="s">
        <v>19</v>
      </c>
      <c r="F539" t="s">
        <v>37</v>
      </c>
      <c r="G539" t="s">
        <v>626</v>
      </c>
      <c r="H539" t="s">
        <v>714</v>
      </c>
      <c r="J539" t="s">
        <v>139</v>
      </c>
      <c r="K539" t="s">
        <v>103</v>
      </c>
      <c r="L539" t="str">
        <f t="shared" si="76"/>
        <v>Stress</v>
      </c>
      <c r="Q539" t="s">
        <v>412</v>
      </c>
      <c r="R539" t="s">
        <v>709</v>
      </c>
      <c r="S539" t="s">
        <v>703</v>
      </c>
      <c r="T539" t="s">
        <v>615</v>
      </c>
      <c r="U539" s="1"/>
      <c r="V539" s="1"/>
      <c r="W539" s="1"/>
      <c r="X539" s="1">
        <v>4.4999999999999998E-9</v>
      </c>
      <c r="Y539" s="1"/>
      <c r="Z539" s="1"/>
      <c r="AE539" s="2"/>
      <c r="AF539" s="2"/>
      <c r="AJ539" t="s">
        <v>203</v>
      </c>
    </row>
    <row r="540" spans="1:36" x14ac:dyDescent="0.25">
      <c r="A540" t="s">
        <v>104</v>
      </c>
      <c r="B540" t="s">
        <v>105</v>
      </c>
      <c r="C540" t="s">
        <v>78</v>
      </c>
      <c r="D540" t="s">
        <v>18</v>
      </c>
      <c r="E540" t="s">
        <v>19</v>
      </c>
      <c r="F540" t="s">
        <v>20</v>
      </c>
      <c r="G540" t="s">
        <v>20</v>
      </c>
      <c r="H540" t="s">
        <v>712</v>
      </c>
      <c r="I540">
        <v>35</v>
      </c>
      <c r="J540" t="s">
        <v>768</v>
      </c>
      <c r="K540" t="s">
        <v>106</v>
      </c>
      <c r="L540" t="s">
        <v>716</v>
      </c>
      <c r="Q540" t="s">
        <v>412</v>
      </c>
      <c r="R540" t="s">
        <v>709</v>
      </c>
      <c r="S540" t="s">
        <v>703</v>
      </c>
      <c r="T540" t="s">
        <v>615</v>
      </c>
      <c r="U540" s="1" t="s">
        <v>754</v>
      </c>
      <c r="V540" s="1">
        <f t="shared" ref="V540:V545" si="78">+AA540*AC540/10000</f>
        <v>7.0379999999999999E-10</v>
      </c>
      <c r="W540" s="1"/>
      <c r="X540" s="1"/>
      <c r="Y540" s="1"/>
      <c r="Z540" s="1"/>
      <c r="AA540" s="1">
        <v>1.8E-7</v>
      </c>
      <c r="AC540">
        <v>39.1</v>
      </c>
      <c r="AD540">
        <v>352.4</v>
      </c>
      <c r="AE540" s="2"/>
      <c r="AF540" s="2"/>
      <c r="AG540" s="2">
        <v>0.25</v>
      </c>
      <c r="AI540" s="3"/>
      <c r="AJ540" t="s">
        <v>203</v>
      </c>
    </row>
    <row r="541" spans="1:36" x14ac:dyDescent="0.25">
      <c r="A541" t="s">
        <v>104</v>
      </c>
      <c r="B541" t="s">
        <v>105</v>
      </c>
      <c r="C541" t="s">
        <v>78</v>
      </c>
      <c r="D541" t="s">
        <v>18</v>
      </c>
      <c r="E541" t="s">
        <v>19</v>
      </c>
      <c r="F541" t="s">
        <v>20</v>
      </c>
      <c r="G541" t="s">
        <v>20</v>
      </c>
      <c r="H541" t="s">
        <v>712</v>
      </c>
      <c r="I541">
        <v>35</v>
      </c>
      <c r="J541" t="s">
        <v>768</v>
      </c>
      <c r="K541" t="s">
        <v>107</v>
      </c>
      <c r="L541" t="s">
        <v>716</v>
      </c>
      <c r="Q541" t="s">
        <v>412</v>
      </c>
      <c r="R541" t="s">
        <v>709</v>
      </c>
      <c r="S541" t="s">
        <v>703</v>
      </c>
      <c r="T541" t="s">
        <v>615</v>
      </c>
      <c r="U541" s="1" t="s">
        <v>754</v>
      </c>
      <c r="V541" s="1">
        <f t="shared" si="78"/>
        <v>9.6933E-10</v>
      </c>
      <c r="W541" s="1"/>
      <c r="X541" s="1"/>
      <c r="Y541" s="1"/>
      <c r="Z541" s="1"/>
      <c r="AA541" s="1">
        <v>2.3699999999999999E-7</v>
      </c>
      <c r="AC541">
        <v>40.9</v>
      </c>
      <c r="AD541">
        <v>434.5</v>
      </c>
      <c r="AE541" s="2"/>
      <c r="AF541" s="2"/>
      <c r="AG541" s="2">
        <v>0.28000000000000003</v>
      </c>
      <c r="AI541" s="3"/>
      <c r="AJ541" t="s">
        <v>203</v>
      </c>
    </row>
    <row r="542" spans="1:36" x14ac:dyDescent="0.25">
      <c r="A542" t="s">
        <v>104</v>
      </c>
      <c r="B542" t="s">
        <v>105</v>
      </c>
      <c r="C542" t="s">
        <v>78</v>
      </c>
      <c r="D542" t="s">
        <v>18</v>
      </c>
      <c r="E542" t="s">
        <v>19</v>
      </c>
      <c r="F542" t="s">
        <v>20</v>
      </c>
      <c r="G542" t="s">
        <v>20</v>
      </c>
      <c r="H542" t="s">
        <v>712</v>
      </c>
      <c r="I542">
        <v>35</v>
      </c>
      <c r="J542" t="s">
        <v>768</v>
      </c>
      <c r="K542" t="s">
        <v>108</v>
      </c>
      <c r="L542" t="s">
        <v>716</v>
      </c>
      <c r="Q542" t="s">
        <v>412</v>
      </c>
      <c r="R542" t="s">
        <v>709</v>
      </c>
      <c r="S542" t="s">
        <v>703</v>
      </c>
      <c r="T542" t="s">
        <v>615</v>
      </c>
      <c r="U542" s="1" t="s">
        <v>754</v>
      </c>
      <c r="V542" s="1">
        <f t="shared" si="78"/>
        <v>1.3018E-9</v>
      </c>
      <c r="W542" s="1"/>
      <c r="X542" s="1"/>
      <c r="Y542" s="1"/>
      <c r="Z542" s="1"/>
      <c r="AA542" s="1">
        <v>2.2999999999999999E-7</v>
      </c>
      <c r="AC542">
        <v>56.6</v>
      </c>
      <c r="AD542">
        <v>625.6</v>
      </c>
      <c r="AE542" s="2"/>
      <c r="AF542" s="2"/>
      <c r="AG542" s="2">
        <v>0.28999999999999998</v>
      </c>
      <c r="AI542" s="3"/>
      <c r="AJ542" t="s">
        <v>203</v>
      </c>
    </row>
    <row r="543" spans="1:36" x14ac:dyDescent="0.25">
      <c r="A543" t="s">
        <v>104</v>
      </c>
      <c r="B543" t="s">
        <v>105</v>
      </c>
      <c r="C543" t="s">
        <v>78</v>
      </c>
      <c r="D543" t="s">
        <v>18</v>
      </c>
      <c r="E543" t="s">
        <v>19</v>
      </c>
      <c r="F543" t="s">
        <v>20</v>
      </c>
      <c r="G543" t="s">
        <v>20</v>
      </c>
      <c r="H543" t="s">
        <v>712</v>
      </c>
      <c r="I543">
        <v>35</v>
      </c>
      <c r="J543" t="s">
        <v>768</v>
      </c>
      <c r="K543" t="s">
        <v>109</v>
      </c>
      <c r="L543" t="s">
        <v>716</v>
      </c>
      <c r="Q543" t="s">
        <v>412</v>
      </c>
      <c r="R543" t="s">
        <v>709</v>
      </c>
      <c r="S543" t="s">
        <v>703</v>
      </c>
      <c r="T543" t="s">
        <v>615</v>
      </c>
      <c r="U543" s="1" t="s">
        <v>754</v>
      </c>
      <c r="V543" s="1">
        <f t="shared" si="78"/>
        <v>1.6052399999999999E-9</v>
      </c>
      <c r="W543" s="1"/>
      <c r="X543" s="1"/>
      <c r="Y543" s="1"/>
      <c r="Z543" s="1"/>
      <c r="AA543" s="1">
        <v>2.5199999999999998E-7</v>
      </c>
      <c r="AC543">
        <v>63.7</v>
      </c>
      <c r="AD543">
        <v>674.7</v>
      </c>
      <c r="AE543" s="2"/>
      <c r="AF543" s="2"/>
      <c r="AG543" s="2">
        <v>0.31</v>
      </c>
      <c r="AI543" s="3"/>
      <c r="AJ543" t="s">
        <v>203</v>
      </c>
    </row>
    <row r="544" spans="1:36" x14ac:dyDescent="0.25">
      <c r="A544" t="s">
        <v>104</v>
      </c>
      <c r="B544" t="s">
        <v>105</v>
      </c>
      <c r="C544" t="s">
        <v>78</v>
      </c>
      <c r="D544" t="s">
        <v>18</v>
      </c>
      <c r="E544" t="s">
        <v>19</v>
      </c>
      <c r="F544" t="s">
        <v>20</v>
      </c>
      <c r="G544" t="s">
        <v>20</v>
      </c>
      <c r="H544" t="s">
        <v>712</v>
      </c>
      <c r="I544">
        <v>35</v>
      </c>
      <c r="J544" t="s">
        <v>768</v>
      </c>
      <c r="K544" t="s">
        <v>110</v>
      </c>
      <c r="L544" t="s">
        <v>716</v>
      </c>
      <c r="Q544" t="s">
        <v>412</v>
      </c>
      <c r="R544" t="s">
        <v>709</v>
      </c>
      <c r="S544" t="s">
        <v>703</v>
      </c>
      <c r="T544" t="s">
        <v>615</v>
      </c>
      <c r="U544" s="1" t="s">
        <v>754</v>
      </c>
      <c r="V544" s="1">
        <f t="shared" si="78"/>
        <v>1.8319400000000002E-9</v>
      </c>
      <c r="W544" s="1"/>
      <c r="X544" s="1"/>
      <c r="Y544" s="1"/>
      <c r="Z544" s="1"/>
      <c r="AA544" s="1">
        <v>2.4200000000000002E-7</v>
      </c>
      <c r="AC544">
        <v>75.7</v>
      </c>
      <c r="AD544">
        <v>780.6</v>
      </c>
      <c r="AE544" s="2"/>
      <c r="AF544" s="2"/>
      <c r="AG544" s="2">
        <v>0.32</v>
      </c>
      <c r="AI544" s="3"/>
      <c r="AJ544" t="s">
        <v>203</v>
      </c>
    </row>
    <row r="545" spans="1:36" x14ac:dyDescent="0.25">
      <c r="A545" t="s">
        <v>104</v>
      </c>
      <c r="B545" t="s">
        <v>105</v>
      </c>
      <c r="C545" t="s">
        <v>78</v>
      </c>
      <c r="D545" t="s">
        <v>18</v>
      </c>
      <c r="E545" t="s">
        <v>19</v>
      </c>
      <c r="F545" t="s">
        <v>20</v>
      </c>
      <c r="G545" t="s">
        <v>20</v>
      </c>
      <c r="H545" t="s">
        <v>712</v>
      </c>
      <c r="I545">
        <v>35</v>
      </c>
      <c r="J545" t="s">
        <v>768</v>
      </c>
      <c r="K545" t="s">
        <v>111</v>
      </c>
      <c r="L545" t="s">
        <v>716</v>
      </c>
      <c r="Q545" t="s">
        <v>412</v>
      </c>
      <c r="R545" t="s">
        <v>709</v>
      </c>
      <c r="S545" t="s">
        <v>703</v>
      </c>
      <c r="T545" t="s">
        <v>615</v>
      </c>
      <c r="U545" s="1" t="s">
        <v>754</v>
      </c>
      <c r="V545" s="1">
        <f t="shared" si="78"/>
        <v>2.4071300000000001E-9</v>
      </c>
      <c r="W545" s="1"/>
      <c r="X545" s="1"/>
      <c r="Y545" s="1"/>
      <c r="Z545" s="1"/>
      <c r="AA545" s="1">
        <v>2.7700000000000001E-7</v>
      </c>
      <c r="AC545">
        <v>86.9</v>
      </c>
      <c r="AD545">
        <v>921.1</v>
      </c>
      <c r="AE545" s="2"/>
      <c r="AF545" s="2"/>
      <c r="AG545" s="2">
        <v>0.33</v>
      </c>
      <c r="AI545" s="3"/>
      <c r="AJ545" t="s">
        <v>203</v>
      </c>
    </row>
    <row r="546" spans="1:36" x14ac:dyDescent="0.25">
      <c r="A546" t="s">
        <v>112</v>
      </c>
      <c r="B546" t="s">
        <v>105</v>
      </c>
      <c r="C546" t="s">
        <v>78</v>
      </c>
      <c r="D546" t="s">
        <v>18</v>
      </c>
      <c r="E546" t="s">
        <v>19</v>
      </c>
      <c r="F546" t="s">
        <v>20</v>
      </c>
      <c r="G546" t="s">
        <v>20</v>
      </c>
      <c r="H546" t="s">
        <v>712</v>
      </c>
      <c r="I546">
        <f>15+30*4+6</f>
        <v>141</v>
      </c>
      <c r="J546" t="s">
        <v>51</v>
      </c>
      <c r="K546" t="s">
        <v>39</v>
      </c>
      <c r="L546" t="str">
        <f t="shared" ref="L546:L572" si="79">+IF(K546 = "Control", "Control", "Stress")</f>
        <v>Control</v>
      </c>
      <c r="Q546" t="s">
        <v>412</v>
      </c>
      <c r="R546" t="s">
        <v>709</v>
      </c>
      <c r="S546" t="s">
        <v>703</v>
      </c>
      <c r="T546" t="s">
        <v>615</v>
      </c>
      <c r="U546" s="1" t="s">
        <v>755</v>
      </c>
      <c r="V546" s="1">
        <v>7.1699999999999998E-9</v>
      </c>
      <c r="W546" s="1"/>
      <c r="X546" s="1"/>
      <c r="Y546" s="1"/>
      <c r="Z546" s="1"/>
      <c r="AE546" s="3">
        <v>23.6</v>
      </c>
      <c r="AF546" s="2"/>
      <c r="AH546" s="5">
        <f>256.4/10000</f>
        <v>2.5639999999999996E-2</v>
      </c>
      <c r="AJ546" t="s">
        <v>203</v>
      </c>
    </row>
    <row r="547" spans="1:36" x14ac:dyDescent="0.25">
      <c r="A547" t="s">
        <v>112</v>
      </c>
      <c r="B547" t="s">
        <v>105</v>
      </c>
      <c r="C547" t="s">
        <v>78</v>
      </c>
      <c r="D547" t="s">
        <v>18</v>
      </c>
      <c r="E547" t="s">
        <v>19</v>
      </c>
      <c r="F547" t="s">
        <v>20</v>
      </c>
      <c r="G547" t="s">
        <v>20</v>
      </c>
      <c r="H547" t="s">
        <v>712</v>
      </c>
      <c r="I547">
        <f>15+30*4+6</f>
        <v>141</v>
      </c>
      <c r="J547" t="s">
        <v>51</v>
      </c>
      <c r="K547" t="s">
        <v>477</v>
      </c>
      <c r="L547" t="str">
        <f t="shared" si="79"/>
        <v>Stress</v>
      </c>
      <c r="Q547" t="s">
        <v>412</v>
      </c>
      <c r="R547" t="s">
        <v>709</v>
      </c>
      <c r="S547" t="s">
        <v>703</v>
      </c>
      <c r="T547" t="s">
        <v>615</v>
      </c>
      <c r="U547" s="1" t="s">
        <v>755</v>
      </c>
      <c r="V547" s="1">
        <v>4.5299999999999999E-9</v>
      </c>
      <c r="W547" s="1"/>
      <c r="X547" s="1"/>
      <c r="Y547" s="1"/>
      <c r="Z547" s="1"/>
      <c r="AE547" s="3">
        <v>20.8</v>
      </c>
      <c r="AF547" s="2"/>
      <c r="AH547" s="5">
        <f>146.8/10000</f>
        <v>1.468E-2</v>
      </c>
      <c r="AJ547" t="s">
        <v>203</v>
      </c>
    </row>
    <row r="548" spans="1:36" x14ac:dyDescent="0.25">
      <c r="A548" t="s">
        <v>112</v>
      </c>
      <c r="B548" t="s">
        <v>105</v>
      </c>
      <c r="C548" t="s">
        <v>78</v>
      </c>
      <c r="D548" t="s">
        <v>18</v>
      </c>
      <c r="E548" t="s">
        <v>19</v>
      </c>
      <c r="F548" t="s">
        <v>20</v>
      </c>
      <c r="G548" t="s">
        <v>20</v>
      </c>
      <c r="H548" t="s">
        <v>712</v>
      </c>
      <c r="I548">
        <f>15+30*4+6</f>
        <v>141</v>
      </c>
      <c r="J548" t="s">
        <v>51</v>
      </c>
      <c r="K548" t="s">
        <v>480</v>
      </c>
      <c r="L548" t="str">
        <f t="shared" si="79"/>
        <v>Stress</v>
      </c>
      <c r="Q548" t="s">
        <v>412</v>
      </c>
      <c r="R548" t="s">
        <v>709</v>
      </c>
      <c r="S548" t="s">
        <v>703</v>
      </c>
      <c r="T548" t="s">
        <v>615</v>
      </c>
      <c r="U548" s="1" t="s">
        <v>755</v>
      </c>
      <c r="V548" s="1">
        <v>1.43E-9</v>
      </c>
      <c r="W548" s="1"/>
      <c r="X548" s="1"/>
      <c r="Y548" s="1"/>
      <c r="Z548" s="1"/>
      <c r="AE548" s="3">
        <v>14.3</v>
      </c>
      <c r="AF548" s="2"/>
      <c r="AH548" s="5">
        <f>81.8/10000</f>
        <v>8.1799999999999998E-3</v>
      </c>
      <c r="AJ548" t="s">
        <v>203</v>
      </c>
    </row>
    <row r="549" spans="1:36" x14ac:dyDescent="0.25">
      <c r="A549" t="s">
        <v>113</v>
      </c>
      <c r="B549" t="s">
        <v>114</v>
      </c>
      <c r="C549" t="s">
        <v>115</v>
      </c>
      <c r="D549" t="s">
        <v>116</v>
      </c>
      <c r="E549" t="s">
        <v>19</v>
      </c>
      <c r="F549" t="s">
        <v>117</v>
      </c>
      <c r="G549" t="s">
        <v>602</v>
      </c>
      <c r="H549" t="s">
        <v>713</v>
      </c>
      <c r="I549">
        <f>3*30+60</f>
        <v>150</v>
      </c>
      <c r="J549" t="s">
        <v>671</v>
      </c>
      <c r="K549" t="s">
        <v>39</v>
      </c>
      <c r="L549" t="str">
        <f t="shared" si="79"/>
        <v>Control</v>
      </c>
      <c r="M549" t="s">
        <v>478</v>
      </c>
      <c r="N549" t="s">
        <v>716</v>
      </c>
      <c r="Q549" t="s">
        <v>412</v>
      </c>
      <c r="R549" t="s">
        <v>709</v>
      </c>
      <c r="S549" t="s">
        <v>703</v>
      </c>
      <c r="T549" t="s">
        <v>615</v>
      </c>
      <c r="U549" s="1"/>
      <c r="V549" s="1"/>
      <c r="W549" s="1"/>
      <c r="X549" s="1"/>
      <c r="Y549" s="1"/>
      <c r="Z549" s="1"/>
      <c r="AA549" s="1">
        <f>[76]Shimidzu_etal_2005_Fig1a!B2</f>
        <v>8.1317494600431896E-8</v>
      </c>
      <c r="AE549" s="2"/>
      <c r="AF549" s="2"/>
      <c r="AJ549" t="s">
        <v>203</v>
      </c>
    </row>
    <row r="550" spans="1:36" x14ac:dyDescent="0.25">
      <c r="A550" t="s">
        <v>113</v>
      </c>
      <c r="B550" t="s">
        <v>114</v>
      </c>
      <c r="C550" t="s">
        <v>115</v>
      </c>
      <c r="D550" t="s">
        <v>116</v>
      </c>
      <c r="E550" t="s">
        <v>19</v>
      </c>
      <c r="F550" t="s">
        <v>117</v>
      </c>
      <c r="G550" t="s">
        <v>602</v>
      </c>
      <c r="H550" t="s">
        <v>713</v>
      </c>
      <c r="I550">
        <f>3*30+60+60</f>
        <v>210</v>
      </c>
      <c r="J550" t="s">
        <v>671</v>
      </c>
      <c r="K550" t="s">
        <v>39</v>
      </c>
      <c r="L550" t="str">
        <f t="shared" si="79"/>
        <v>Control</v>
      </c>
      <c r="M550" t="s">
        <v>479</v>
      </c>
      <c r="N550" t="s">
        <v>716</v>
      </c>
      <c r="Q550" t="s">
        <v>412</v>
      </c>
      <c r="R550" t="s">
        <v>709</v>
      </c>
      <c r="S550" t="s">
        <v>703</v>
      </c>
      <c r="T550" t="s">
        <v>615</v>
      </c>
      <c r="U550" s="1"/>
      <c r="V550" s="1"/>
      <c r="W550" s="1"/>
      <c r="X550" s="1"/>
      <c r="Y550" s="1"/>
      <c r="Z550" s="1"/>
      <c r="AA550" s="1">
        <f>[76]Shimidzu_etal_2005_Fig1a!B3</f>
        <v>6.7386609071274306E-8</v>
      </c>
      <c r="AE550" s="2"/>
      <c r="AF550" s="2"/>
      <c r="AJ550" t="s">
        <v>203</v>
      </c>
    </row>
    <row r="551" spans="1:36" x14ac:dyDescent="0.25">
      <c r="A551" t="s">
        <v>113</v>
      </c>
      <c r="B551" t="s">
        <v>118</v>
      </c>
      <c r="C551" t="s">
        <v>115</v>
      </c>
      <c r="D551" t="s">
        <v>116</v>
      </c>
      <c r="E551" t="s">
        <v>19</v>
      </c>
      <c r="F551" t="s">
        <v>117</v>
      </c>
      <c r="G551" t="s">
        <v>602</v>
      </c>
      <c r="H551" t="s">
        <v>713</v>
      </c>
      <c r="I551">
        <f>6*30+90</f>
        <v>270</v>
      </c>
      <c r="J551" t="s">
        <v>671</v>
      </c>
      <c r="K551" t="s">
        <v>39</v>
      </c>
      <c r="L551" t="str">
        <f t="shared" si="79"/>
        <v>Control</v>
      </c>
      <c r="M551" t="s">
        <v>478</v>
      </c>
      <c r="N551" t="s">
        <v>716</v>
      </c>
      <c r="Q551" t="s">
        <v>412</v>
      </c>
      <c r="R551" t="s">
        <v>709</v>
      </c>
      <c r="S551" t="s">
        <v>703</v>
      </c>
      <c r="T551" t="s">
        <v>615</v>
      </c>
      <c r="U551" s="1"/>
      <c r="V551" s="1"/>
      <c r="W551" s="1"/>
      <c r="X551" s="1"/>
      <c r="Y551" s="1"/>
      <c r="Z551" s="1"/>
      <c r="AA551" s="1">
        <f>[76]Shimidzu_etal_2005_Fig1a!B4</f>
        <v>5.8963282937365001E-8</v>
      </c>
      <c r="AE551" s="2"/>
      <c r="AF551" s="2"/>
      <c r="AJ551" t="s">
        <v>203</v>
      </c>
    </row>
    <row r="552" spans="1:36" x14ac:dyDescent="0.25">
      <c r="A552" t="s">
        <v>113</v>
      </c>
      <c r="B552" t="s">
        <v>118</v>
      </c>
      <c r="C552" t="s">
        <v>115</v>
      </c>
      <c r="D552" t="s">
        <v>116</v>
      </c>
      <c r="E552" t="s">
        <v>19</v>
      </c>
      <c r="F552" t="s">
        <v>117</v>
      </c>
      <c r="G552" t="s">
        <v>602</v>
      </c>
      <c r="H552" t="s">
        <v>713</v>
      </c>
      <c r="I552">
        <f>6*30+90+90</f>
        <v>360</v>
      </c>
      <c r="J552" t="s">
        <v>671</v>
      </c>
      <c r="K552" t="s">
        <v>39</v>
      </c>
      <c r="L552" t="str">
        <f t="shared" si="79"/>
        <v>Control</v>
      </c>
      <c r="M552" t="s">
        <v>479</v>
      </c>
      <c r="N552" t="s">
        <v>716</v>
      </c>
      <c r="Q552" t="s">
        <v>412</v>
      </c>
      <c r="R552" t="s">
        <v>709</v>
      </c>
      <c r="S552" t="s">
        <v>703</v>
      </c>
      <c r="T552" t="s">
        <v>615</v>
      </c>
      <c r="U552" s="1"/>
      <c r="V552" s="1"/>
      <c r="W552" s="1"/>
      <c r="X552" s="1"/>
      <c r="Y552" s="1"/>
      <c r="Z552" s="1"/>
      <c r="AA552" s="1">
        <f>[76]Shimidzu_etal_2005_Fig1a!B5</f>
        <v>3.8552915766738602E-8</v>
      </c>
      <c r="AE552" s="2"/>
      <c r="AF552" s="2"/>
      <c r="AJ552" t="s">
        <v>203</v>
      </c>
    </row>
    <row r="553" spans="1:36" x14ac:dyDescent="0.25">
      <c r="A553" t="s">
        <v>113</v>
      </c>
      <c r="B553" t="s">
        <v>119</v>
      </c>
      <c r="C553" t="s">
        <v>115</v>
      </c>
      <c r="D553" t="s">
        <v>116</v>
      </c>
      <c r="E553" t="s">
        <v>19</v>
      </c>
      <c r="F553" t="s">
        <v>117</v>
      </c>
      <c r="G553" t="s">
        <v>602</v>
      </c>
      <c r="H553" t="s">
        <v>713</v>
      </c>
      <c r="I553">
        <f>6*30+90</f>
        <v>270</v>
      </c>
      <c r="J553" t="s">
        <v>671</v>
      </c>
      <c r="K553" t="s">
        <v>39</v>
      </c>
      <c r="L553" t="str">
        <f t="shared" si="79"/>
        <v>Control</v>
      </c>
      <c r="M553" t="s">
        <v>478</v>
      </c>
      <c r="N553" t="s">
        <v>716</v>
      </c>
      <c r="Q553" t="s">
        <v>412</v>
      </c>
      <c r="R553" t="s">
        <v>709</v>
      </c>
      <c r="S553" t="s">
        <v>703</v>
      </c>
      <c r="T553" t="s">
        <v>615</v>
      </c>
      <c r="U553" s="1"/>
      <c r="V553" s="1"/>
      <c r="W553" s="1"/>
      <c r="X553" s="1"/>
      <c r="Y553" s="1"/>
      <c r="Z553" s="1"/>
      <c r="AA553" s="1">
        <f>[76]Shimidzu_etal_2005_Fig1a!B6</f>
        <v>1.20518358531317E-7</v>
      </c>
      <c r="AE553" s="2"/>
      <c r="AF553" s="2"/>
      <c r="AJ553" t="s">
        <v>203</v>
      </c>
    </row>
    <row r="554" spans="1:36" x14ac:dyDescent="0.25">
      <c r="A554" t="s">
        <v>113</v>
      </c>
      <c r="B554" t="s">
        <v>119</v>
      </c>
      <c r="C554" t="s">
        <v>115</v>
      </c>
      <c r="D554" t="s">
        <v>116</v>
      </c>
      <c r="E554" t="s">
        <v>19</v>
      </c>
      <c r="F554" t="s">
        <v>117</v>
      </c>
      <c r="G554" t="s">
        <v>602</v>
      </c>
      <c r="H554" t="s">
        <v>713</v>
      </c>
      <c r="I554">
        <f>6*30+90+90</f>
        <v>360</v>
      </c>
      <c r="J554" t="s">
        <v>671</v>
      </c>
      <c r="K554" t="s">
        <v>39</v>
      </c>
      <c r="L554" t="str">
        <f t="shared" si="79"/>
        <v>Control</v>
      </c>
      <c r="M554" t="s">
        <v>479</v>
      </c>
      <c r="N554" t="s">
        <v>716</v>
      </c>
      <c r="Q554" t="s">
        <v>412</v>
      </c>
      <c r="R554" t="s">
        <v>709</v>
      </c>
      <c r="S554" t="s">
        <v>703</v>
      </c>
      <c r="T554" t="s">
        <v>615</v>
      </c>
      <c r="U554" s="1"/>
      <c r="V554" s="1"/>
      <c r="W554" s="1"/>
      <c r="X554" s="1"/>
      <c r="Y554" s="1"/>
      <c r="Z554" s="1"/>
      <c r="AA554" s="1">
        <f>[76]Shimidzu_etal_2005_Fig1a!B7</f>
        <v>6.6090712742980502E-8</v>
      </c>
      <c r="AE554" s="2"/>
      <c r="AF554" s="2"/>
      <c r="AJ554" t="s">
        <v>203</v>
      </c>
    </row>
    <row r="555" spans="1:36" x14ac:dyDescent="0.25">
      <c r="A555" t="s">
        <v>113</v>
      </c>
      <c r="B555" t="s">
        <v>120</v>
      </c>
      <c r="C555" t="s">
        <v>115</v>
      </c>
      <c r="D555" t="s">
        <v>116</v>
      </c>
      <c r="E555" t="s">
        <v>19</v>
      </c>
      <c r="F555" t="s">
        <v>117</v>
      </c>
      <c r="G555" t="s">
        <v>602</v>
      </c>
      <c r="H555" t="s">
        <v>713</v>
      </c>
      <c r="I555">
        <f>6*30+90</f>
        <v>270</v>
      </c>
      <c r="J555" t="s">
        <v>671</v>
      </c>
      <c r="K555" t="s">
        <v>39</v>
      </c>
      <c r="L555" t="str">
        <f t="shared" si="79"/>
        <v>Control</v>
      </c>
      <c r="M555" t="s">
        <v>478</v>
      </c>
      <c r="N555" t="s">
        <v>716</v>
      </c>
      <c r="Q555" t="s">
        <v>412</v>
      </c>
      <c r="R555" t="s">
        <v>709</v>
      </c>
      <c r="S555" t="s">
        <v>703</v>
      </c>
      <c r="T555" t="s">
        <v>615</v>
      </c>
      <c r="U555" s="1"/>
      <c r="V555" s="1"/>
      <c r="W555" s="1"/>
      <c r="X555" s="1"/>
      <c r="Y555" s="1"/>
      <c r="Z555" s="1"/>
      <c r="AA555" s="1">
        <f>[76]Shimidzu_etal_2005_Fig1a!B8</f>
        <v>8.8120950323973998E-8</v>
      </c>
      <c r="AE555" s="2"/>
      <c r="AF555" s="2"/>
      <c r="AJ555" t="s">
        <v>203</v>
      </c>
    </row>
    <row r="556" spans="1:36" x14ac:dyDescent="0.25">
      <c r="A556" t="s">
        <v>113</v>
      </c>
      <c r="B556" t="s">
        <v>120</v>
      </c>
      <c r="C556" t="s">
        <v>115</v>
      </c>
      <c r="D556" t="s">
        <v>116</v>
      </c>
      <c r="E556" t="s">
        <v>19</v>
      </c>
      <c r="F556" t="s">
        <v>117</v>
      </c>
      <c r="G556" t="s">
        <v>602</v>
      </c>
      <c r="H556" t="s">
        <v>713</v>
      </c>
      <c r="I556">
        <f>6*30+90+90</f>
        <v>360</v>
      </c>
      <c r="J556" t="s">
        <v>671</v>
      </c>
      <c r="K556" t="s">
        <v>39</v>
      </c>
      <c r="L556" t="str">
        <f t="shared" si="79"/>
        <v>Control</v>
      </c>
      <c r="M556" t="s">
        <v>479</v>
      </c>
      <c r="N556" t="s">
        <v>716</v>
      </c>
      <c r="Q556" t="s">
        <v>412</v>
      </c>
      <c r="R556" t="s">
        <v>709</v>
      </c>
      <c r="S556" t="s">
        <v>703</v>
      </c>
      <c r="T556" t="s">
        <v>615</v>
      </c>
      <c r="U556" s="1"/>
      <c r="V556" s="1"/>
      <c r="W556" s="1"/>
      <c r="X556" s="1"/>
      <c r="Y556" s="1"/>
      <c r="Z556" s="1"/>
      <c r="AA556" s="1">
        <f>[76]Shimidzu_etal_2005_Fig1a!B9</f>
        <v>4.2764578833693201E-8</v>
      </c>
      <c r="AE556" s="2"/>
      <c r="AF556" s="2"/>
      <c r="AJ556" t="s">
        <v>203</v>
      </c>
    </row>
    <row r="557" spans="1:36" x14ac:dyDescent="0.25">
      <c r="A557" t="s">
        <v>113</v>
      </c>
      <c r="B557" t="s">
        <v>121</v>
      </c>
      <c r="C557" t="s">
        <v>122</v>
      </c>
      <c r="D557" t="s">
        <v>123</v>
      </c>
      <c r="E557" t="s">
        <v>19</v>
      </c>
      <c r="F557" t="s">
        <v>117</v>
      </c>
      <c r="G557" t="s">
        <v>602</v>
      </c>
      <c r="H557" t="s">
        <v>713</v>
      </c>
      <c r="I557">
        <f>3*30+60</f>
        <v>150</v>
      </c>
      <c r="J557" t="s">
        <v>671</v>
      </c>
      <c r="K557" t="s">
        <v>39</v>
      </c>
      <c r="L557" t="str">
        <f t="shared" si="79"/>
        <v>Control</v>
      </c>
      <c r="M557" t="s">
        <v>478</v>
      </c>
      <c r="N557" t="s">
        <v>716</v>
      </c>
      <c r="Q557" t="s">
        <v>412</v>
      </c>
      <c r="R557" t="s">
        <v>709</v>
      </c>
      <c r="S557" t="s">
        <v>703</v>
      </c>
      <c r="T557" t="s">
        <v>615</v>
      </c>
      <c r="U557" s="1"/>
      <c r="V557" s="1"/>
      <c r="W557" s="1"/>
      <c r="X557" s="1"/>
      <c r="Y557" s="1"/>
      <c r="Z557" s="1"/>
      <c r="AA557" s="1">
        <f>[76]Shimidzu_etal_2005_Fig1a!B10</f>
        <v>1.1403887688984799E-7</v>
      </c>
      <c r="AE557" s="2"/>
      <c r="AF557" s="2"/>
      <c r="AJ557" t="s">
        <v>203</v>
      </c>
    </row>
    <row r="558" spans="1:36" x14ac:dyDescent="0.25">
      <c r="A558" t="s">
        <v>113</v>
      </c>
      <c r="B558" t="s">
        <v>121</v>
      </c>
      <c r="C558" t="s">
        <v>122</v>
      </c>
      <c r="D558" t="s">
        <v>123</v>
      </c>
      <c r="E558" t="s">
        <v>19</v>
      </c>
      <c r="F558" t="s">
        <v>117</v>
      </c>
      <c r="G558" t="s">
        <v>602</v>
      </c>
      <c r="H558" t="s">
        <v>713</v>
      </c>
      <c r="I558">
        <f>3*30+60+60</f>
        <v>210</v>
      </c>
      <c r="J558" t="s">
        <v>671</v>
      </c>
      <c r="K558" t="s">
        <v>39</v>
      </c>
      <c r="L558" t="str">
        <f t="shared" si="79"/>
        <v>Control</v>
      </c>
      <c r="M558" t="s">
        <v>479</v>
      </c>
      <c r="N558" t="s">
        <v>716</v>
      </c>
      <c r="Q558" t="s">
        <v>412</v>
      </c>
      <c r="R558" t="s">
        <v>709</v>
      </c>
      <c r="S558" t="s">
        <v>703</v>
      </c>
      <c r="T558" t="s">
        <v>615</v>
      </c>
      <c r="U558" s="1"/>
      <c r="V558" s="1"/>
      <c r="W558" s="1"/>
      <c r="X558" s="1"/>
      <c r="Y558" s="1"/>
      <c r="Z558" s="1"/>
      <c r="AA558" s="1">
        <f>[76]Shimidzu_etal_2005_Fig1a!B11</f>
        <v>4.7300215982721298E-8</v>
      </c>
      <c r="AE558" s="2"/>
      <c r="AF558" s="2"/>
      <c r="AJ558" t="s">
        <v>203</v>
      </c>
    </row>
    <row r="559" spans="1:36" x14ac:dyDescent="0.25">
      <c r="A559" t="s">
        <v>113</v>
      </c>
      <c r="B559" t="s">
        <v>124</v>
      </c>
      <c r="C559" t="s">
        <v>125</v>
      </c>
      <c r="D559" t="s">
        <v>126</v>
      </c>
      <c r="E559" t="s">
        <v>19</v>
      </c>
      <c r="F559" t="s">
        <v>117</v>
      </c>
      <c r="G559" t="s">
        <v>602</v>
      </c>
      <c r="H559" t="s">
        <v>713</v>
      </c>
      <c r="I559">
        <f>3*30+60</f>
        <v>150</v>
      </c>
      <c r="J559" t="s">
        <v>671</v>
      </c>
      <c r="K559" t="s">
        <v>39</v>
      </c>
      <c r="L559" t="str">
        <f t="shared" si="79"/>
        <v>Control</v>
      </c>
      <c r="M559" t="s">
        <v>478</v>
      </c>
      <c r="N559" t="s">
        <v>716</v>
      </c>
      <c r="Q559" t="s">
        <v>412</v>
      </c>
      <c r="R559" t="s">
        <v>709</v>
      </c>
      <c r="S559" t="s">
        <v>703</v>
      </c>
      <c r="T559" t="s">
        <v>615</v>
      </c>
      <c r="U559" s="1"/>
      <c r="V559" s="1"/>
      <c r="W559" s="1"/>
      <c r="X559" s="1"/>
      <c r="Y559" s="1"/>
      <c r="Z559" s="1"/>
      <c r="AA559" s="1">
        <f>[76]Shimidzu_etal_2005_Fig1a!B12</f>
        <v>1.2570194384449201E-7</v>
      </c>
      <c r="AE559" s="2"/>
      <c r="AF559" s="2"/>
      <c r="AJ559" t="s">
        <v>203</v>
      </c>
    </row>
    <row r="560" spans="1:36" x14ac:dyDescent="0.25">
      <c r="A560" t="s">
        <v>113</v>
      </c>
      <c r="B560" t="s">
        <v>124</v>
      </c>
      <c r="C560" t="s">
        <v>125</v>
      </c>
      <c r="D560" t="s">
        <v>126</v>
      </c>
      <c r="E560" t="s">
        <v>19</v>
      </c>
      <c r="F560" t="s">
        <v>117</v>
      </c>
      <c r="G560" t="s">
        <v>602</v>
      </c>
      <c r="H560" t="s">
        <v>713</v>
      </c>
      <c r="I560">
        <f>3*30+60+60</f>
        <v>210</v>
      </c>
      <c r="J560" t="s">
        <v>671</v>
      </c>
      <c r="K560" t="s">
        <v>39</v>
      </c>
      <c r="L560" t="str">
        <f t="shared" si="79"/>
        <v>Control</v>
      </c>
      <c r="M560" t="s">
        <v>479</v>
      </c>
      <c r="N560" t="s">
        <v>716</v>
      </c>
      <c r="Q560" t="s">
        <v>412</v>
      </c>
      <c r="R560" t="s">
        <v>709</v>
      </c>
      <c r="S560" t="s">
        <v>703</v>
      </c>
      <c r="T560" t="s">
        <v>615</v>
      </c>
      <c r="U560" s="1"/>
      <c r="V560" s="1"/>
      <c r="W560" s="1"/>
      <c r="X560" s="1"/>
      <c r="Y560" s="1"/>
      <c r="Z560" s="1"/>
      <c r="AA560" s="1">
        <f>[76]Shimidzu_etal_2005_Fig1a!B13</f>
        <v>1.9762419006479401E-8</v>
      </c>
      <c r="AE560" s="2"/>
      <c r="AF560" s="2"/>
      <c r="AJ560" t="s">
        <v>203</v>
      </c>
    </row>
    <row r="561" spans="1:36" x14ac:dyDescent="0.25">
      <c r="A561" t="s">
        <v>113</v>
      </c>
      <c r="B561" t="s">
        <v>114</v>
      </c>
      <c r="C561" t="s">
        <v>115</v>
      </c>
      <c r="D561" t="s">
        <v>126</v>
      </c>
      <c r="E561" t="s">
        <v>19</v>
      </c>
      <c r="F561" t="s">
        <v>117</v>
      </c>
      <c r="G561" t="s">
        <v>602</v>
      </c>
      <c r="H561" t="s">
        <v>713</v>
      </c>
      <c r="I561">
        <f>3*30+60</f>
        <v>150</v>
      </c>
      <c r="J561" t="s">
        <v>671</v>
      </c>
      <c r="K561" t="s">
        <v>711</v>
      </c>
      <c r="L561" t="str">
        <f t="shared" si="79"/>
        <v>Stress</v>
      </c>
      <c r="M561" t="s">
        <v>478</v>
      </c>
      <c r="N561" t="s">
        <v>716</v>
      </c>
      <c r="Q561" t="s">
        <v>412</v>
      </c>
      <c r="R561" t="s">
        <v>709</v>
      </c>
      <c r="S561" t="s">
        <v>703</v>
      </c>
      <c r="T561" t="s">
        <v>615</v>
      </c>
      <c r="U561" s="1"/>
      <c r="V561" s="1"/>
      <c r="W561" s="1"/>
      <c r="X561" s="1"/>
      <c r="Y561" s="1"/>
      <c r="Z561" s="1"/>
      <c r="AA561" s="1">
        <f>+AA549*(1-[77]Shimidzu_etal_2005_Fig1d!$B2/100)</f>
        <v>2.6773244643495965E-8</v>
      </c>
      <c r="AB561" s="2"/>
      <c r="AE561" s="2"/>
      <c r="AF561" s="2"/>
      <c r="AJ561" t="s">
        <v>203</v>
      </c>
    </row>
    <row r="562" spans="1:36" x14ac:dyDescent="0.25">
      <c r="A562" t="s">
        <v>113</v>
      </c>
      <c r="B562" t="s">
        <v>114</v>
      </c>
      <c r="C562" t="s">
        <v>115</v>
      </c>
      <c r="D562" t="s">
        <v>126</v>
      </c>
      <c r="E562" t="s">
        <v>19</v>
      </c>
      <c r="F562" t="s">
        <v>117</v>
      </c>
      <c r="G562" t="s">
        <v>602</v>
      </c>
      <c r="H562" t="s">
        <v>713</v>
      </c>
      <c r="I562">
        <f>3*30+60+60</f>
        <v>210</v>
      </c>
      <c r="J562" t="s">
        <v>671</v>
      </c>
      <c r="K562" t="s">
        <v>711</v>
      </c>
      <c r="L562" t="str">
        <f t="shared" si="79"/>
        <v>Stress</v>
      </c>
      <c r="M562" t="s">
        <v>479</v>
      </c>
      <c r="N562" t="s">
        <v>716</v>
      </c>
      <c r="Q562" t="s">
        <v>412</v>
      </c>
      <c r="R562" t="s">
        <v>709</v>
      </c>
      <c r="S562" t="s">
        <v>703</v>
      </c>
      <c r="T562" t="s">
        <v>615</v>
      </c>
      <c r="U562" s="1"/>
      <c r="V562" s="1"/>
      <c r="W562" s="1"/>
      <c r="X562" s="1"/>
      <c r="Y562" s="1"/>
      <c r="Z562" s="1"/>
      <c r="AA562" s="1">
        <f>+AA550*(1-[77]Shimidzu_etal_2005_Fig1d!$B3/100)</f>
        <v>4.2443917370046092E-8</v>
      </c>
      <c r="AE562" s="2"/>
      <c r="AF562" s="2"/>
      <c r="AJ562" t="s">
        <v>203</v>
      </c>
    </row>
    <row r="563" spans="1:36" x14ac:dyDescent="0.25">
      <c r="A563" t="s">
        <v>113</v>
      </c>
      <c r="B563" t="s">
        <v>118</v>
      </c>
      <c r="C563" t="s">
        <v>115</v>
      </c>
      <c r="D563" t="s">
        <v>126</v>
      </c>
      <c r="E563" t="s">
        <v>19</v>
      </c>
      <c r="F563" t="s">
        <v>117</v>
      </c>
      <c r="G563" t="s">
        <v>602</v>
      </c>
      <c r="H563" t="s">
        <v>713</v>
      </c>
      <c r="I563">
        <f>6*30+90</f>
        <v>270</v>
      </c>
      <c r="J563" t="s">
        <v>671</v>
      </c>
      <c r="K563" t="s">
        <v>711</v>
      </c>
      <c r="L563" t="str">
        <f t="shared" si="79"/>
        <v>Stress</v>
      </c>
      <c r="M563" t="s">
        <v>478</v>
      </c>
      <c r="N563" t="s">
        <v>716</v>
      </c>
      <c r="Q563" t="s">
        <v>412</v>
      </c>
      <c r="R563" t="s">
        <v>709</v>
      </c>
      <c r="S563" t="s">
        <v>703</v>
      </c>
      <c r="T563" t="s">
        <v>615</v>
      </c>
      <c r="U563" s="1"/>
      <c r="V563" s="1"/>
      <c r="W563" s="1"/>
      <c r="X563" s="1"/>
      <c r="Y563" s="1"/>
      <c r="Z563" s="1"/>
      <c r="AA563" s="1">
        <f>+AA551*(1-[77]Shimidzu_etal_2005_Fig1d!$B4/100)</f>
        <v>1.7966317295843345E-8</v>
      </c>
      <c r="AE563" s="2"/>
      <c r="AF563" s="2"/>
      <c r="AJ563" t="s">
        <v>203</v>
      </c>
    </row>
    <row r="564" spans="1:36" x14ac:dyDescent="0.25">
      <c r="A564" t="s">
        <v>113</v>
      </c>
      <c r="B564" t="s">
        <v>118</v>
      </c>
      <c r="C564" t="s">
        <v>115</v>
      </c>
      <c r="D564" t="s">
        <v>126</v>
      </c>
      <c r="E564" t="s">
        <v>19</v>
      </c>
      <c r="F564" t="s">
        <v>117</v>
      </c>
      <c r="G564" t="s">
        <v>602</v>
      </c>
      <c r="H564" t="s">
        <v>713</v>
      </c>
      <c r="I564">
        <f>6*30+90+90</f>
        <v>360</v>
      </c>
      <c r="J564" t="s">
        <v>671</v>
      </c>
      <c r="K564" t="s">
        <v>711</v>
      </c>
      <c r="L564" t="str">
        <f t="shared" si="79"/>
        <v>Stress</v>
      </c>
      <c r="M564" t="s">
        <v>479</v>
      </c>
      <c r="N564" t="s">
        <v>716</v>
      </c>
      <c r="Q564" t="s">
        <v>412</v>
      </c>
      <c r="R564" t="s">
        <v>709</v>
      </c>
      <c r="S564" t="s">
        <v>703</v>
      </c>
      <c r="T564" t="s">
        <v>615</v>
      </c>
      <c r="U564" s="1"/>
      <c r="V564" s="1"/>
      <c r="W564" s="1"/>
      <c r="X564" s="1"/>
      <c r="Y564" s="1"/>
      <c r="Z564" s="1"/>
      <c r="AA564" s="1">
        <f>+AA552*(1-[77]Shimidzu_etal_2005_Fig1d!$B5/100)</f>
        <v>1.7029508804939833E-8</v>
      </c>
      <c r="AE564" s="2"/>
      <c r="AF564" s="2"/>
      <c r="AJ564" t="s">
        <v>203</v>
      </c>
    </row>
    <row r="565" spans="1:36" x14ac:dyDescent="0.25">
      <c r="A565" t="s">
        <v>113</v>
      </c>
      <c r="B565" t="s">
        <v>119</v>
      </c>
      <c r="C565" t="s">
        <v>115</v>
      </c>
      <c r="D565" t="s">
        <v>126</v>
      </c>
      <c r="E565" t="s">
        <v>19</v>
      </c>
      <c r="F565" t="s">
        <v>117</v>
      </c>
      <c r="G565" t="s">
        <v>602</v>
      </c>
      <c r="H565" t="s">
        <v>713</v>
      </c>
      <c r="I565">
        <f>6*30+90</f>
        <v>270</v>
      </c>
      <c r="J565" t="s">
        <v>671</v>
      </c>
      <c r="K565" t="s">
        <v>711</v>
      </c>
      <c r="L565" t="str">
        <f t="shared" si="79"/>
        <v>Stress</v>
      </c>
      <c r="M565" t="s">
        <v>478</v>
      </c>
      <c r="N565" t="s">
        <v>716</v>
      </c>
      <c r="Q565" t="s">
        <v>412</v>
      </c>
      <c r="R565" t="s">
        <v>709</v>
      </c>
      <c r="S565" t="s">
        <v>703</v>
      </c>
      <c r="T565" t="s">
        <v>615</v>
      </c>
      <c r="U565" s="1"/>
      <c r="V565" s="1"/>
      <c r="W565" s="1"/>
      <c r="X565" s="1"/>
      <c r="Y565" s="1"/>
      <c r="Z565" s="1"/>
      <c r="AA565" s="1">
        <f>+AA553*(1-[77]Shimidzu_etal_2005_Fig1d!$B6/100)</f>
        <v>7.1226596350819246E-8</v>
      </c>
      <c r="AE565" s="2"/>
      <c r="AF565" s="2"/>
      <c r="AJ565" t="s">
        <v>203</v>
      </c>
    </row>
    <row r="566" spans="1:36" x14ac:dyDescent="0.25">
      <c r="A566" t="s">
        <v>113</v>
      </c>
      <c r="B566" t="s">
        <v>119</v>
      </c>
      <c r="C566" t="s">
        <v>115</v>
      </c>
      <c r="D566" t="s">
        <v>126</v>
      </c>
      <c r="E566" t="s">
        <v>19</v>
      </c>
      <c r="F566" t="s">
        <v>117</v>
      </c>
      <c r="G566" t="s">
        <v>602</v>
      </c>
      <c r="H566" t="s">
        <v>713</v>
      </c>
      <c r="I566">
        <f>6*30+90+90</f>
        <v>360</v>
      </c>
      <c r="J566" t="s">
        <v>671</v>
      </c>
      <c r="K566" t="s">
        <v>711</v>
      </c>
      <c r="L566" t="str">
        <f t="shared" si="79"/>
        <v>Stress</v>
      </c>
      <c r="M566" t="s">
        <v>479</v>
      </c>
      <c r="N566" t="s">
        <v>716</v>
      </c>
      <c r="Q566" t="s">
        <v>412</v>
      </c>
      <c r="R566" t="s">
        <v>709</v>
      </c>
      <c r="S566" t="s">
        <v>703</v>
      </c>
      <c r="T566" t="s">
        <v>615</v>
      </c>
      <c r="U566" s="1"/>
      <c r="V566" s="1"/>
      <c r="W566" s="1"/>
      <c r="X566" s="1"/>
      <c r="Y566" s="1"/>
      <c r="Z566" s="1"/>
      <c r="AA566" s="1">
        <f>+AA554*(1-[77]Shimidzu_etal_2005_Fig1d!$B7/100)</f>
        <v>4.6087797638765506E-8</v>
      </c>
      <c r="AE566" s="2"/>
      <c r="AF566" s="2"/>
      <c r="AJ566" t="s">
        <v>203</v>
      </c>
    </row>
    <row r="567" spans="1:36" x14ac:dyDescent="0.25">
      <c r="A567" t="s">
        <v>113</v>
      </c>
      <c r="B567" t="s">
        <v>120</v>
      </c>
      <c r="C567" t="s">
        <v>115</v>
      </c>
      <c r="D567" t="s">
        <v>126</v>
      </c>
      <c r="E567" t="s">
        <v>19</v>
      </c>
      <c r="F567" t="s">
        <v>117</v>
      </c>
      <c r="G567" t="s">
        <v>602</v>
      </c>
      <c r="H567" t="s">
        <v>713</v>
      </c>
      <c r="I567">
        <f>6*30+90</f>
        <v>270</v>
      </c>
      <c r="J567" t="s">
        <v>671</v>
      </c>
      <c r="K567" t="s">
        <v>711</v>
      </c>
      <c r="L567" t="str">
        <f t="shared" si="79"/>
        <v>Stress</v>
      </c>
      <c r="M567" t="s">
        <v>478</v>
      </c>
      <c r="N567" t="s">
        <v>716</v>
      </c>
      <c r="Q567" t="s">
        <v>412</v>
      </c>
      <c r="R567" t="s">
        <v>709</v>
      </c>
      <c r="S567" t="s">
        <v>703</v>
      </c>
      <c r="T567" t="s">
        <v>615</v>
      </c>
      <c r="U567" s="1"/>
      <c r="V567" s="1"/>
      <c r="W567" s="1"/>
      <c r="X567" s="1"/>
      <c r="Y567" s="1"/>
      <c r="Z567" s="1"/>
      <c r="AA567" s="1">
        <f>+AA555*(1-[77]Shimidzu_etal_2005_Fig1d!$B8/100)</f>
        <v>3.6221494918443386E-8</v>
      </c>
      <c r="AE567" s="2"/>
      <c r="AF567" s="2"/>
      <c r="AJ567" t="s">
        <v>203</v>
      </c>
    </row>
    <row r="568" spans="1:36" x14ac:dyDescent="0.25">
      <c r="A568" t="s">
        <v>113</v>
      </c>
      <c r="B568" t="s">
        <v>120</v>
      </c>
      <c r="C568" t="s">
        <v>115</v>
      </c>
      <c r="D568" t="s">
        <v>126</v>
      </c>
      <c r="E568" t="s">
        <v>19</v>
      </c>
      <c r="F568" t="s">
        <v>117</v>
      </c>
      <c r="G568" t="s">
        <v>602</v>
      </c>
      <c r="H568" t="s">
        <v>713</v>
      </c>
      <c r="I568">
        <f>6*30+90+90</f>
        <v>360</v>
      </c>
      <c r="J568" t="s">
        <v>671</v>
      </c>
      <c r="K568" t="s">
        <v>711</v>
      </c>
      <c r="L568" t="str">
        <f t="shared" si="79"/>
        <v>Stress</v>
      </c>
      <c r="M568" t="s">
        <v>479</v>
      </c>
      <c r="N568" t="s">
        <v>716</v>
      </c>
      <c r="Q568" t="s">
        <v>412</v>
      </c>
      <c r="R568" t="s">
        <v>709</v>
      </c>
      <c r="S568" t="s">
        <v>703</v>
      </c>
      <c r="T568" t="s">
        <v>615</v>
      </c>
      <c r="U568" s="1"/>
      <c r="V568" s="1"/>
      <c r="W568" s="1"/>
      <c r="X568" s="1"/>
      <c r="Y568" s="1"/>
      <c r="Z568" s="1"/>
      <c r="AA568" s="1">
        <f>+AA556*(1-[77]Shimidzu_etal_2005_Fig1d!$B9/100)</f>
        <v>2.3699797267752311E-8</v>
      </c>
      <c r="AE568" s="2"/>
      <c r="AF568" s="2"/>
      <c r="AJ568" t="s">
        <v>203</v>
      </c>
    </row>
    <row r="569" spans="1:36" x14ac:dyDescent="0.25">
      <c r="A569" t="s">
        <v>113</v>
      </c>
      <c r="B569" t="s">
        <v>121</v>
      </c>
      <c r="C569" t="s">
        <v>122</v>
      </c>
      <c r="D569" t="s">
        <v>126</v>
      </c>
      <c r="E569" t="s">
        <v>19</v>
      </c>
      <c r="F569" t="s">
        <v>117</v>
      </c>
      <c r="G569" t="s">
        <v>602</v>
      </c>
      <c r="H569" t="s">
        <v>713</v>
      </c>
      <c r="I569">
        <f>3*30+60</f>
        <v>150</v>
      </c>
      <c r="J569" t="s">
        <v>671</v>
      </c>
      <c r="K569" t="s">
        <v>711</v>
      </c>
      <c r="L569" t="str">
        <f t="shared" si="79"/>
        <v>Stress</v>
      </c>
      <c r="M569" t="s">
        <v>478</v>
      </c>
      <c r="N569" t="s">
        <v>716</v>
      </c>
      <c r="Q569" t="s">
        <v>412</v>
      </c>
      <c r="R569" t="s">
        <v>709</v>
      </c>
      <c r="S569" t="s">
        <v>703</v>
      </c>
      <c r="T569" t="s">
        <v>615</v>
      </c>
      <c r="U569" s="1"/>
      <c r="V569" s="1"/>
      <c r="W569" s="1"/>
      <c r="X569" s="1"/>
      <c r="Y569" s="1"/>
      <c r="Z569" s="1"/>
      <c r="AA569" s="1">
        <f>+AA557*(1-[77]Shimidzu_etal_2005_Fig1d!$B10/100)</f>
        <v>3.2415958870529347E-8</v>
      </c>
      <c r="AE569" s="2"/>
      <c r="AF569" s="2"/>
      <c r="AJ569" t="s">
        <v>203</v>
      </c>
    </row>
    <row r="570" spans="1:36" x14ac:dyDescent="0.25">
      <c r="A570" t="s">
        <v>113</v>
      </c>
      <c r="B570" t="s">
        <v>121</v>
      </c>
      <c r="C570" t="s">
        <v>122</v>
      </c>
      <c r="D570" t="s">
        <v>126</v>
      </c>
      <c r="E570" t="s">
        <v>19</v>
      </c>
      <c r="F570" t="s">
        <v>117</v>
      </c>
      <c r="G570" t="s">
        <v>602</v>
      </c>
      <c r="H570" t="s">
        <v>713</v>
      </c>
      <c r="I570">
        <f>3*30+60+60</f>
        <v>210</v>
      </c>
      <c r="J570" t="s">
        <v>671</v>
      </c>
      <c r="K570" t="s">
        <v>711</v>
      </c>
      <c r="L570" t="str">
        <f t="shared" si="79"/>
        <v>Stress</v>
      </c>
      <c r="M570" t="s">
        <v>479</v>
      </c>
      <c r="N570" t="s">
        <v>716</v>
      </c>
      <c r="Q570" t="s">
        <v>412</v>
      </c>
      <c r="R570" t="s">
        <v>709</v>
      </c>
      <c r="S570" t="s">
        <v>703</v>
      </c>
      <c r="T570" t="s">
        <v>615</v>
      </c>
      <c r="U570" s="1"/>
      <c r="V570" s="1"/>
      <c r="W570" s="1"/>
      <c r="X570" s="1"/>
      <c r="Y570" s="1"/>
      <c r="Z570" s="1"/>
      <c r="AA570" s="1">
        <f>+AA558*(1-[77]Shimidzu_etal_2005_Fig1d!$B11/100)</f>
        <v>2.6600325961653112E-8</v>
      </c>
      <c r="AE570" s="2"/>
      <c r="AF570" s="2"/>
      <c r="AJ570" t="s">
        <v>203</v>
      </c>
    </row>
    <row r="571" spans="1:36" x14ac:dyDescent="0.25">
      <c r="A571" t="s">
        <v>113</v>
      </c>
      <c r="B571" t="s">
        <v>124</v>
      </c>
      <c r="C571" t="s">
        <v>125</v>
      </c>
      <c r="D571" t="s">
        <v>126</v>
      </c>
      <c r="E571" t="s">
        <v>19</v>
      </c>
      <c r="F571" t="s">
        <v>117</v>
      </c>
      <c r="G571" t="s">
        <v>602</v>
      </c>
      <c r="H571" t="s">
        <v>713</v>
      </c>
      <c r="I571">
        <f>3*30+60</f>
        <v>150</v>
      </c>
      <c r="J571" t="s">
        <v>671</v>
      </c>
      <c r="K571" t="s">
        <v>711</v>
      </c>
      <c r="L571" t="str">
        <f t="shared" si="79"/>
        <v>Stress</v>
      </c>
      <c r="M571" t="s">
        <v>478</v>
      </c>
      <c r="N571" t="s">
        <v>716</v>
      </c>
      <c r="Q571" t="s">
        <v>412</v>
      </c>
      <c r="R571" t="s">
        <v>709</v>
      </c>
      <c r="S571" t="s">
        <v>703</v>
      </c>
      <c r="T571" t="s">
        <v>615</v>
      </c>
      <c r="U571" s="1"/>
      <c r="V571" s="1"/>
      <c r="W571" s="1"/>
      <c r="X571" s="1"/>
      <c r="Y571" s="1"/>
      <c r="Z571" s="1"/>
      <c r="AA571" s="1">
        <f>+AA559*(1-[77]Shimidzu_etal_2005_Fig1d!$B12/100)</f>
        <v>9.4597781870701692E-8</v>
      </c>
      <c r="AE571" s="2"/>
      <c r="AF571" s="2"/>
      <c r="AJ571" t="s">
        <v>203</v>
      </c>
    </row>
    <row r="572" spans="1:36" x14ac:dyDescent="0.25">
      <c r="A572" t="s">
        <v>113</v>
      </c>
      <c r="B572" t="s">
        <v>124</v>
      </c>
      <c r="C572" t="s">
        <v>125</v>
      </c>
      <c r="D572" t="s">
        <v>126</v>
      </c>
      <c r="E572" t="s">
        <v>19</v>
      </c>
      <c r="F572" t="s">
        <v>117</v>
      </c>
      <c r="G572" t="s">
        <v>602</v>
      </c>
      <c r="H572" t="s">
        <v>713</v>
      </c>
      <c r="I572">
        <f>3*30+60+60</f>
        <v>210</v>
      </c>
      <c r="J572" t="s">
        <v>671</v>
      </c>
      <c r="K572" t="s">
        <v>711</v>
      </c>
      <c r="L572" t="str">
        <f t="shared" si="79"/>
        <v>Stress</v>
      </c>
      <c r="M572" t="s">
        <v>479</v>
      </c>
      <c r="N572" t="s">
        <v>716</v>
      </c>
      <c r="Q572" t="s">
        <v>412</v>
      </c>
      <c r="R572" t="s">
        <v>709</v>
      </c>
      <c r="S572" t="s">
        <v>703</v>
      </c>
      <c r="T572" t="s">
        <v>615</v>
      </c>
      <c r="U572" s="1"/>
      <c r="V572" s="1"/>
      <c r="W572" s="1"/>
      <c r="X572" s="1"/>
      <c r="Y572" s="1"/>
      <c r="Z572" s="1"/>
      <c r="AA572" s="1">
        <f>+AA560*(1-[77]Shimidzu_etal_2005_Fig1d!$B13/100)</f>
        <v>1.2285839218752021E-8</v>
      </c>
      <c r="AE572" s="2"/>
      <c r="AF572" s="2"/>
      <c r="AJ572" t="s">
        <v>203</v>
      </c>
    </row>
    <row r="573" spans="1:36" x14ac:dyDescent="0.25">
      <c r="A573" t="s">
        <v>258</v>
      </c>
      <c r="B573" t="s">
        <v>259</v>
      </c>
      <c r="C573" t="s">
        <v>70</v>
      </c>
      <c r="D573" t="s">
        <v>71</v>
      </c>
      <c r="E573" t="s">
        <v>19</v>
      </c>
      <c r="F573" t="s">
        <v>72</v>
      </c>
      <c r="G573" t="s">
        <v>624</v>
      </c>
      <c r="H573" t="s">
        <v>713</v>
      </c>
      <c r="I573">
        <f>+(6+6)*7</f>
        <v>84</v>
      </c>
      <c r="J573" t="s">
        <v>213</v>
      </c>
      <c r="K573" s="1" t="s">
        <v>353</v>
      </c>
      <c r="L573" t="s">
        <v>716</v>
      </c>
      <c r="O573" s="1"/>
      <c r="P573" s="1"/>
      <c r="Q573" t="s">
        <v>412</v>
      </c>
      <c r="R573" t="s">
        <v>709</v>
      </c>
      <c r="S573" t="s">
        <v>703</v>
      </c>
      <c r="T573" t="s">
        <v>615</v>
      </c>
      <c r="U573" s="1" t="s">
        <v>754</v>
      </c>
      <c r="V573" s="1">
        <f t="shared" ref="V573:V574" si="80">+AA573*AC573/10000</f>
        <v>4.9081624999999923E-9</v>
      </c>
      <c r="W573" s="1"/>
      <c r="AA573" s="1">
        <f>[78]Marjanovic_etal_2005_Fig1!C2</f>
        <v>5.4821428571428491E-6</v>
      </c>
      <c r="AC573" s="2">
        <f>895.3/100</f>
        <v>8.9529999999999994</v>
      </c>
      <c r="AJ573" t="s">
        <v>47</v>
      </c>
    </row>
    <row r="574" spans="1:36" x14ac:dyDescent="0.25">
      <c r="A574" t="s">
        <v>258</v>
      </c>
      <c r="B574" t="s">
        <v>259</v>
      </c>
      <c r="C574" t="s">
        <v>70</v>
      </c>
      <c r="D574" t="s">
        <v>71</v>
      </c>
      <c r="E574" t="s">
        <v>19</v>
      </c>
      <c r="F574" t="s">
        <v>72</v>
      </c>
      <c r="G574" t="s">
        <v>624</v>
      </c>
      <c r="H574" t="s">
        <v>713</v>
      </c>
      <c r="I574">
        <f>+(6+6)*7</f>
        <v>84</v>
      </c>
      <c r="J574" t="s">
        <v>213</v>
      </c>
      <c r="K574" s="1" t="s">
        <v>214</v>
      </c>
      <c r="L574" t="s">
        <v>716</v>
      </c>
      <c r="O574" s="1"/>
      <c r="P574" s="1"/>
      <c r="Q574" t="s">
        <v>412</v>
      </c>
      <c r="R574" t="s">
        <v>709</v>
      </c>
      <c r="S574" t="s">
        <v>703</v>
      </c>
      <c r="T574" t="s">
        <v>615</v>
      </c>
      <c r="U574" s="1" t="s">
        <v>754</v>
      </c>
      <c r="V574" s="1">
        <f t="shared" si="80"/>
        <v>3.7283464285714271E-9</v>
      </c>
      <c r="W574" s="1"/>
      <c r="X574" s="1"/>
      <c r="AA574" s="1">
        <f>[78]Marjanovic_etal_2005_Fig1!C3</f>
        <v>3.4464285714285696E-6</v>
      </c>
      <c r="AB574" s="1"/>
      <c r="AC574" s="2">
        <f>1081.8/100</f>
        <v>10.818</v>
      </c>
      <c r="AJ574" t="s">
        <v>47</v>
      </c>
    </row>
    <row r="575" spans="1:36" x14ac:dyDescent="0.25">
      <c r="A575" t="s">
        <v>742</v>
      </c>
      <c r="B575" t="s">
        <v>105</v>
      </c>
      <c r="C575" t="s">
        <v>78</v>
      </c>
      <c r="D575" t="s">
        <v>18</v>
      </c>
      <c r="E575" t="s">
        <v>19</v>
      </c>
      <c r="F575" t="s">
        <v>32</v>
      </c>
      <c r="G575" t="s">
        <v>32</v>
      </c>
      <c r="H575" t="s">
        <v>712</v>
      </c>
      <c r="I575">
        <v>7</v>
      </c>
      <c r="J575" t="s">
        <v>778</v>
      </c>
      <c r="K575" s="1"/>
      <c r="M575" s="1"/>
      <c r="O575" s="1"/>
      <c r="P575" s="1"/>
      <c r="Q575" t="s">
        <v>412</v>
      </c>
      <c r="R575" t="s">
        <v>709</v>
      </c>
      <c r="S575" t="s">
        <v>703</v>
      </c>
      <c r="T575" t="s">
        <v>616</v>
      </c>
      <c r="U575" s="1"/>
      <c r="V575" s="1"/>
      <c r="W575" s="1">
        <f>0.1075*0.000000001</f>
        <v>1.075E-10</v>
      </c>
      <c r="Z575" s="1"/>
      <c r="AC575" s="2"/>
      <c r="AF575" s="2"/>
      <c r="AJ575" t="s">
        <v>352</v>
      </c>
    </row>
    <row r="576" spans="1:36" x14ac:dyDescent="0.25">
      <c r="A576" t="s">
        <v>742</v>
      </c>
      <c r="B576" t="s">
        <v>105</v>
      </c>
      <c r="C576" t="s">
        <v>78</v>
      </c>
      <c r="D576" t="s">
        <v>18</v>
      </c>
      <c r="E576" t="s">
        <v>19</v>
      </c>
      <c r="F576" t="s">
        <v>32</v>
      </c>
      <c r="G576" t="s">
        <v>32</v>
      </c>
      <c r="H576" t="s">
        <v>712</v>
      </c>
      <c r="I576">
        <v>7</v>
      </c>
      <c r="J576" t="s">
        <v>778</v>
      </c>
      <c r="K576" s="1"/>
      <c r="M576" s="1"/>
      <c r="O576" s="1"/>
      <c r="P576" s="1"/>
      <c r="Q576" t="s">
        <v>412</v>
      </c>
      <c r="R576" t="s">
        <v>709</v>
      </c>
      <c r="S576" t="s">
        <v>703</v>
      </c>
      <c r="T576" t="s">
        <v>615</v>
      </c>
      <c r="U576" s="1"/>
      <c r="V576" s="1"/>
      <c r="W576" s="1">
        <f>0.173888888888889*0.000000001</f>
        <v>1.7388888888888902E-10</v>
      </c>
      <c r="Z576" s="1"/>
      <c r="AC576" s="2"/>
      <c r="AF576" s="2"/>
      <c r="AJ576" t="s">
        <v>359</v>
      </c>
    </row>
    <row r="577" spans="1:36" x14ac:dyDescent="0.25">
      <c r="A577" t="s">
        <v>575</v>
      </c>
      <c r="B577" t="s">
        <v>128</v>
      </c>
      <c r="C577" t="s">
        <v>70</v>
      </c>
      <c r="D577" t="s">
        <v>71</v>
      </c>
      <c r="E577" t="s">
        <v>19</v>
      </c>
      <c r="F577" t="s">
        <v>129</v>
      </c>
      <c r="G577" t="s">
        <v>624</v>
      </c>
      <c r="H577" t="s">
        <v>713</v>
      </c>
      <c r="I577">
        <f t="shared" ref="I577:I582" si="81">+(6+2)*7</f>
        <v>56</v>
      </c>
      <c r="J577" t="s">
        <v>406</v>
      </c>
      <c r="K577" s="1" t="s">
        <v>39</v>
      </c>
      <c r="L577" t="str">
        <f t="shared" ref="L577:L608" si="82">+IF(K577 = "Control", "Control", "Stress")</f>
        <v>Control</v>
      </c>
      <c r="M577" s="1"/>
      <c r="O577" s="1"/>
      <c r="P577" s="1"/>
      <c r="Q577" t="s">
        <v>412</v>
      </c>
      <c r="R577" t="s">
        <v>709</v>
      </c>
      <c r="S577" t="s">
        <v>703</v>
      </c>
      <c r="T577" t="s">
        <v>615</v>
      </c>
      <c r="U577" s="1"/>
      <c r="V577" s="1"/>
      <c r="W577" s="1"/>
      <c r="Z577" s="1">
        <f>'[79]Voicu&amp;Zwiazek_2004_Fig4'!B2</f>
        <v>5.7857142857142802E-10</v>
      </c>
      <c r="AB577" s="1"/>
      <c r="AC577" s="2"/>
      <c r="AJ577" t="s">
        <v>203</v>
      </c>
    </row>
    <row r="578" spans="1:36" x14ac:dyDescent="0.25">
      <c r="A578" t="s">
        <v>575</v>
      </c>
      <c r="B578" t="s">
        <v>128</v>
      </c>
      <c r="C578" t="s">
        <v>70</v>
      </c>
      <c r="D578" t="s">
        <v>71</v>
      </c>
      <c r="E578" t="s">
        <v>19</v>
      </c>
      <c r="F578" t="s">
        <v>129</v>
      </c>
      <c r="G578" t="s">
        <v>624</v>
      </c>
      <c r="H578" t="s">
        <v>713</v>
      </c>
      <c r="I578">
        <f t="shared" si="81"/>
        <v>56</v>
      </c>
      <c r="J578" t="s">
        <v>406</v>
      </c>
      <c r="K578" s="1" t="s">
        <v>39</v>
      </c>
      <c r="L578" t="str">
        <f t="shared" si="82"/>
        <v>Control</v>
      </c>
      <c r="M578" s="1"/>
      <c r="O578" s="1"/>
      <c r="P578" s="1"/>
      <c r="Q578" t="s">
        <v>412</v>
      </c>
      <c r="R578" t="s">
        <v>709</v>
      </c>
      <c r="S578" t="s">
        <v>703</v>
      </c>
      <c r="T578" t="s">
        <v>615</v>
      </c>
      <c r="U578" s="1"/>
      <c r="V578" s="1"/>
      <c r="W578" s="1"/>
      <c r="Z578" s="1">
        <f>'[79]Voicu&amp;Zwiazek_2004_Fig4'!B3</f>
        <v>5.7272727272727195E-10</v>
      </c>
      <c r="AC578" s="2"/>
      <c r="AJ578" t="s">
        <v>203</v>
      </c>
    </row>
    <row r="579" spans="1:36" x14ac:dyDescent="0.25">
      <c r="A579" t="s">
        <v>575</v>
      </c>
      <c r="B579" t="s">
        <v>128</v>
      </c>
      <c r="C579" t="s">
        <v>70</v>
      </c>
      <c r="D579" t="s">
        <v>71</v>
      </c>
      <c r="E579" t="s">
        <v>19</v>
      </c>
      <c r="F579" t="s">
        <v>129</v>
      </c>
      <c r="G579" t="s">
        <v>624</v>
      </c>
      <c r="H579" t="s">
        <v>713</v>
      </c>
      <c r="I579">
        <f t="shared" si="81"/>
        <v>56</v>
      </c>
      <c r="J579" t="s">
        <v>406</v>
      </c>
      <c r="K579" s="1" t="s">
        <v>39</v>
      </c>
      <c r="L579" t="str">
        <f t="shared" si="82"/>
        <v>Control</v>
      </c>
      <c r="M579" s="1"/>
      <c r="O579" s="1"/>
      <c r="P579" s="1"/>
      <c r="Q579" t="s">
        <v>412</v>
      </c>
      <c r="R579" t="s">
        <v>709</v>
      </c>
      <c r="S579" t="s">
        <v>703</v>
      </c>
      <c r="T579" t="s">
        <v>615</v>
      </c>
      <c r="U579" s="1"/>
      <c r="V579" s="1"/>
      <c r="W579" s="1"/>
      <c r="Z579" s="1">
        <f>'[79]Voicu&amp;Zwiazek_2004_Fig4'!B4</f>
        <v>7.2662337662337603E-10</v>
      </c>
      <c r="AC579" s="2"/>
      <c r="AJ579" t="s">
        <v>203</v>
      </c>
    </row>
    <row r="580" spans="1:36" x14ac:dyDescent="0.25">
      <c r="A580" t="s">
        <v>575</v>
      </c>
      <c r="B580" t="s">
        <v>128</v>
      </c>
      <c r="C580" t="s">
        <v>70</v>
      </c>
      <c r="D580" t="s">
        <v>71</v>
      </c>
      <c r="E580" t="s">
        <v>19</v>
      </c>
      <c r="F580" t="s">
        <v>129</v>
      </c>
      <c r="G580" t="s">
        <v>624</v>
      </c>
      <c r="H580" t="s">
        <v>713</v>
      </c>
      <c r="I580">
        <f t="shared" si="81"/>
        <v>56</v>
      </c>
      <c r="J580" t="s">
        <v>406</v>
      </c>
      <c r="K580" t="s">
        <v>711</v>
      </c>
      <c r="L580" t="str">
        <f t="shared" si="82"/>
        <v>Stress</v>
      </c>
      <c r="M580" s="1"/>
      <c r="O580" s="1"/>
      <c r="P580" s="1"/>
      <c r="Q580" t="s">
        <v>412</v>
      </c>
      <c r="R580" t="s">
        <v>709</v>
      </c>
      <c r="S580" t="s">
        <v>703</v>
      </c>
      <c r="T580" t="s">
        <v>615</v>
      </c>
      <c r="U580" s="1"/>
      <c r="V580" s="1"/>
      <c r="W580" s="1"/>
      <c r="Z580" s="1">
        <f>'[79]Voicu&amp;Zwiazek_2004_Fig4'!B5</f>
        <v>9.9350649350649194E-11</v>
      </c>
      <c r="AC580" s="2"/>
      <c r="AJ580" t="s">
        <v>203</v>
      </c>
    </row>
    <row r="581" spans="1:36" x14ac:dyDescent="0.25">
      <c r="A581" t="s">
        <v>575</v>
      </c>
      <c r="B581" t="s">
        <v>128</v>
      </c>
      <c r="C581" t="s">
        <v>70</v>
      </c>
      <c r="D581" t="s">
        <v>71</v>
      </c>
      <c r="E581" t="s">
        <v>19</v>
      </c>
      <c r="F581" t="s">
        <v>129</v>
      </c>
      <c r="G581" t="s">
        <v>624</v>
      </c>
      <c r="H581" t="s">
        <v>713</v>
      </c>
      <c r="I581">
        <f t="shared" si="81"/>
        <v>56</v>
      </c>
      <c r="J581" t="s">
        <v>406</v>
      </c>
      <c r="K581" s="1" t="s">
        <v>39</v>
      </c>
      <c r="L581" t="str">
        <f t="shared" si="82"/>
        <v>Control</v>
      </c>
      <c r="M581" s="1"/>
      <c r="O581" s="1"/>
      <c r="P581" s="1"/>
      <c r="Q581" t="s">
        <v>412</v>
      </c>
      <c r="R581" t="s">
        <v>709</v>
      </c>
      <c r="S581" t="s">
        <v>703</v>
      </c>
      <c r="T581" t="s">
        <v>615</v>
      </c>
      <c r="U581" s="1"/>
      <c r="V581" s="1"/>
      <c r="W581" s="1"/>
      <c r="Z581" s="1">
        <f>'[79]Voicu&amp;Zwiazek_2004_Fig4'!B6</f>
        <v>6.3116883116883098E-10</v>
      </c>
      <c r="AC581" s="2"/>
      <c r="AJ581" t="s">
        <v>203</v>
      </c>
    </row>
    <row r="582" spans="1:36" x14ac:dyDescent="0.25">
      <c r="A582" t="s">
        <v>575</v>
      </c>
      <c r="B582" t="s">
        <v>128</v>
      </c>
      <c r="C582" t="s">
        <v>70</v>
      </c>
      <c r="D582" t="s">
        <v>71</v>
      </c>
      <c r="E582" t="s">
        <v>19</v>
      </c>
      <c r="F582" t="s">
        <v>129</v>
      </c>
      <c r="G582" t="s">
        <v>624</v>
      </c>
      <c r="H582" t="s">
        <v>713</v>
      </c>
      <c r="I582">
        <f t="shared" si="81"/>
        <v>56</v>
      </c>
      <c r="J582" t="s">
        <v>406</v>
      </c>
      <c r="K582" t="s">
        <v>711</v>
      </c>
      <c r="L582" t="str">
        <f t="shared" si="82"/>
        <v>Stress</v>
      </c>
      <c r="M582" s="1"/>
      <c r="O582" s="1"/>
      <c r="P582" s="1"/>
      <c r="Q582" t="s">
        <v>412</v>
      </c>
      <c r="R582" t="s">
        <v>709</v>
      </c>
      <c r="S582" t="s">
        <v>703</v>
      </c>
      <c r="T582" t="s">
        <v>615</v>
      </c>
      <c r="U582" s="1"/>
      <c r="V582" s="1"/>
      <c r="W582" s="1"/>
      <c r="Z582" s="1">
        <f>'[79]Voicu&amp;Zwiazek_2004_Fig4'!B7</f>
        <v>7.4025974025973799E-11</v>
      </c>
      <c r="AC582" s="2"/>
      <c r="AJ582" t="s">
        <v>203</v>
      </c>
    </row>
    <row r="583" spans="1:36" x14ac:dyDescent="0.25">
      <c r="A583" t="s">
        <v>260</v>
      </c>
      <c r="B583" t="s">
        <v>261</v>
      </c>
      <c r="C583" t="s">
        <v>262</v>
      </c>
      <c r="D583" t="s">
        <v>263</v>
      </c>
      <c r="E583" t="s">
        <v>19</v>
      </c>
      <c r="F583" t="s">
        <v>72</v>
      </c>
      <c r="G583" t="s">
        <v>624</v>
      </c>
      <c r="H583" t="s">
        <v>713</v>
      </c>
      <c r="I583">
        <f>2*365</f>
        <v>730</v>
      </c>
      <c r="J583" t="s">
        <v>51</v>
      </c>
      <c r="K583" s="1" t="s">
        <v>39</v>
      </c>
      <c r="L583" t="str">
        <f t="shared" si="82"/>
        <v>Control</v>
      </c>
      <c r="M583" s="1"/>
      <c r="O583" s="1"/>
      <c r="P583" s="1"/>
      <c r="Q583" t="s">
        <v>412</v>
      </c>
      <c r="R583" t="s">
        <v>709</v>
      </c>
      <c r="S583" t="s">
        <v>703</v>
      </c>
      <c r="T583" t="s">
        <v>615</v>
      </c>
      <c r="U583" s="1" t="s">
        <v>754</v>
      </c>
      <c r="V583" s="1">
        <f t="shared" ref="V583:V588" si="83">+AA583*AC583/10000</f>
        <v>1.05E-8</v>
      </c>
      <c r="W583" s="1"/>
      <c r="AA583" s="1">
        <v>2.4999999999999999E-7</v>
      </c>
      <c r="AB583" s="1"/>
      <c r="AC583">
        <f>0.042*10000</f>
        <v>420</v>
      </c>
      <c r="AH583" s="5">
        <v>0.18099999999999999</v>
      </c>
      <c r="AJ583" t="s">
        <v>47</v>
      </c>
    </row>
    <row r="584" spans="1:36" x14ac:dyDescent="0.25">
      <c r="A584" t="s">
        <v>260</v>
      </c>
      <c r="B584" t="s">
        <v>261</v>
      </c>
      <c r="C584" t="s">
        <v>262</v>
      </c>
      <c r="D584" t="s">
        <v>263</v>
      </c>
      <c r="E584" t="s">
        <v>19</v>
      </c>
      <c r="F584" t="s">
        <v>72</v>
      </c>
      <c r="G584" t="s">
        <v>624</v>
      </c>
      <c r="H584" t="s">
        <v>713</v>
      </c>
      <c r="I584">
        <f>2*365</f>
        <v>730</v>
      </c>
      <c r="J584" t="s">
        <v>51</v>
      </c>
      <c r="K584" t="s">
        <v>477</v>
      </c>
      <c r="L584" t="str">
        <f t="shared" si="82"/>
        <v>Stress</v>
      </c>
      <c r="Q584" t="s">
        <v>412</v>
      </c>
      <c r="R584" t="s">
        <v>709</v>
      </c>
      <c r="S584" t="s">
        <v>703</v>
      </c>
      <c r="T584" t="s">
        <v>615</v>
      </c>
      <c r="U584" s="1" t="s">
        <v>754</v>
      </c>
      <c r="V584" s="1">
        <f t="shared" si="83"/>
        <v>8.0000000000000005E-9</v>
      </c>
      <c r="W584" s="1"/>
      <c r="AA584" s="1">
        <v>1.6E-7</v>
      </c>
      <c r="AB584" s="1"/>
      <c r="AC584">
        <f>0.05*10000</f>
        <v>500</v>
      </c>
      <c r="AH584" s="5">
        <v>0.14899999999999999</v>
      </c>
      <c r="AJ584" t="s">
        <v>47</v>
      </c>
    </row>
    <row r="585" spans="1:36" x14ac:dyDescent="0.25">
      <c r="A585" t="s">
        <v>260</v>
      </c>
      <c r="B585" t="s">
        <v>261</v>
      </c>
      <c r="C585" t="s">
        <v>262</v>
      </c>
      <c r="D585" t="s">
        <v>263</v>
      </c>
      <c r="E585" t="s">
        <v>19</v>
      </c>
      <c r="F585" t="s">
        <v>72</v>
      </c>
      <c r="G585" t="s">
        <v>624</v>
      </c>
      <c r="H585" t="s">
        <v>713</v>
      </c>
      <c r="I585">
        <f>2*365</f>
        <v>730</v>
      </c>
      <c r="J585" t="s">
        <v>51</v>
      </c>
      <c r="K585" t="s">
        <v>477</v>
      </c>
      <c r="L585" t="str">
        <f t="shared" si="82"/>
        <v>Stress</v>
      </c>
      <c r="Q585" t="s">
        <v>412</v>
      </c>
      <c r="R585" t="s">
        <v>709</v>
      </c>
      <c r="S585" t="s">
        <v>703</v>
      </c>
      <c r="T585" t="s">
        <v>615</v>
      </c>
      <c r="U585" s="1" t="s">
        <v>754</v>
      </c>
      <c r="V585" s="1">
        <f t="shared" si="83"/>
        <v>6.1600000000000011E-9</v>
      </c>
      <c r="W585" s="1"/>
      <c r="AA585" s="1">
        <v>1.4000000000000001E-7</v>
      </c>
      <c r="AB585" s="1"/>
      <c r="AC585">
        <f>0.044*10000</f>
        <v>440</v>
      </c>
      <c r="AH585" s="5">
        <v>0.14000000000000001</v>
      </c>
      <c r="AJ585" t="s">
        <v>47</v>
      </c>
    </row>
    <row r="586" spans="1:36" x14ac:dyDescent="0.25">
      <c r="A586" t="s">
        <v>260</v>
      </c>
      <c r="B586" t="s">
        <v>261</v>
      </c>
      <c r="C586" t="s">
        <v>262</v>
      </c>
      <c r="D586" t="s">
        <v>263</v>
      </c>
      <c r="E586" t="s">
        <v>19</v>
      </c>
      <c r="F586" t="s">
        <v>72</v>
      </c>
      <c r="G586" t="s">
        <v>624</v>
      </c>
      <c r="H586" t="s">
        <v>713</v>
      </c>
      <c r="I586">
        <f>2*365</f>
        <v>730</v>
      </c>
      <c r="J586" t="s">
        <v>51</v>
      </c>
      <c r="K586" s="1" t="s">
        <v>480</v>
      </c>
      <c r="L586" t="str">
        <f t="shared" si="82"/>
        <v>Stress</v>
      </c>
      <c r="M586" s="1"/>
      <c r="O586" s="1"/>
      <c r="P586" s="1"/>
      <c r="Q586" t="s">
        <v>412</v>
      </c>
      <c r="R586" t="s">
        <v>709</v>
      </c>
      <c r="S586" t="s">
        <v>703</v>
      </c>
      <c r="T586" t="s">
        <v>615</v>
      </c>
      <c r="U586" s="1" t="s">
        <v>754</v>
      </c>
      <c r="V586" s="1">
        <f t="shared" si="83"/>
        <v>2.9999999999999996E-9</v>
      </c>
      <c r="W586" s="1"/>
      <c r="AA586" s="1">
        <v>7.4999999999999997E-8</v>
      </c>
      <c r="AB586" s="1"/>
      <c r="AC586">
        <f>0.04*10000</f>
        <v>400</v>
      </c>
      <c r="AH586" s="5">
        <v>0.16</v>
      </c>
      <c r="AJ586" t="s">
        <v>47</v>
      </c>
    </row>
    <row r="587" spans="1:36" x14ac:dyDescent="0.25">
      <c r="A587" t="s">
        <v>127</v>
      </c>
      <c r="B587" t="s">
        <v>128</v>
      </c>
      <c r="C587" t="s">
        <v>70</v>
      </c>
      <c r="D587" t="s">
        <v>71</v>
      </c>
      <c r="E587" t="s">
        <v>19</v>
      </c>
      <c r="F587" t="s">
        <v>129</v>
      </c>
      <c r="G587" t="s">
        <v>624</v>
      </c>
      <c r="H587" t="s">
        <v>713</v>
      </c>
      <c r="I587">
        <f>7*6+1*30</f>
        <v>72</v>
      </c>
      <c r="J587" t="s">
        <v>51</v>
      </c>
      <c r="K587" t="s">
        <v>39</v>
      </c>
      <c r="L587" t="str">
        <f t="shared" si="82"/>
        <v>Control</v>
      </c>
      <c r="Q587" t="s">
        <v>412</v>
      </c>
      <c r="R587" t="s">
        <v>709</v>
      </c>
      <c r="S587" t="s">
        <v>703</v>
      </c>
      <c r="T587" t="s">
        <v>615</v>
      </c>
      <c r="U587" s="1" t="s">
        <v>754</v>
      </c>
      <c r="V587" s="1">
        <f t="shared" si="83"/>
        <v>5.1173221757322105E-10</v>
      </c>
      <c r="W587" s="1"/>
      <c r="X587" s="1"/>
      <c r="Y587" s="1"/>
      <c r="Z587" s="1"/>
      <c r="AA587" s="1">
        <f>'[80]Siemens&amp;Zwiazek_2004_Fig1'!B2</f>
        <v>7.0292887029288606E-8</v>
      </c>
      <c r="AC587">
        <v>72.8</v>
      </c>
      <c r="AE587" s="2"/>
      <c r="AF587" s="2"/>
      <c r="AJ587" t="s">
        <v>203</v>
      </c>
    </row>
    <row r="588" spans="1:36" x14ac:dyDescent="0.25">
      <c r="A588" t="s">
        <v>127</v>
      </c>
      <c r="B588" t="s">
        <v>128</v>
      </c>
      <c r="C588" t="s">
        <v>70</v>
      </c>
      <c r="D588" t="s">
        <v>71</v>
      </c>
      <c r="E588" t="s">
        <v>19</v>
      </c>
      <c r="F588" t="s">
        <v>129</v>
      </c>
      <c r="G588" t="s">
        <v>624</v>
      </c>
      <c r="H588" t="s">
        <v>713</v>
      </c>
      <c r="I588">
        <f>7*6+1*30</f>
        <v>72</v>
      </c>
      <c r="J588" t="s">
        <v>51</v>
      </c>
      <c r="K588" s="1" t="s">
        <v>480</v>
      </c>
      <c r="L588" t="str">
        <f t="shared" si="82"/>
        <v>Stress</v>
      </c>
      <c r="M588" s="1"/>
      <c r="O588" s="1"/>
      <c r="P588" s="1"/>
      <c r="Q588" t="s">
        <v>412</v>
      </c>
      <c r="R588" t="s">
        <v>709</v>
      </c>
      <c r="S588" t="s">
        <v>703</v>
      </c>
      <c r="T588" t="s">
        <v>615</v>
      </c>
      <c r="U588" s="1" t="s">
        <v>754</v>
      </c>
      <c r="V588" s="1">
        <f t="shared" si="83"/>
        <v>1.8658995815899573E-10</v>
      </c>
      <c r="W588" s="1"/>
      <c r="X588" s="1"/>
      <c r="Y588" s="1"/>
      <c r="Z588" s="1"/>
      <c r="AA588" s="1">
        <f>'[80]Siemens&amp;Zwiazek_2004_Fig1'!B4</f>
        <v>3.1380753138075303E-8</v>
      </c>
      <c r="AC588">
        <v>59.46</v>
      </c>
      <c r="AE588" s="2"/>
      <c r="AF588" s="2"/>
      <c r="AJ588" t="s">
        <v>203</v>
      </c>
    </row>
    <row r="589" spans="1:36" x14ac:dyDescent="0.25">
      <c r="A589" t="s">
        <v>571</v>
      </c>
      <c r="B589" t="s">
        <v>53</v>
      </c>
      <c r="C589" t="s">
        <v>54</v>
      </c>
      <c r="D589" t="s">
        <v>18</v>
      </c>
      <c r="E589" t="s">
        <v>31</v>
      </c>
      <c r="F589" t="s">
        <v>32</v>
      </c>
      <c r="G589" t="s">
        <v>32</v>
      </c>
      <c r="H589" t="s">
        <v>712</v>
      </c>
      <c r="I589">
        <f t="shared" ref="I589:I594" si="84">21+3</f>
        <v>24</v>
      </c>
      <c r="J589" t="s">
        <v>94</v>
      </c>
      <c r="K589" s="1" t="s">
        <v>39</v>
      </c>
      <c r="L589" t="str">
        <f t="shared" si="82"/>
        <v>Control</v>
      </c>
      <c r="M589" s="1"/>
      <c r="O589" s="1"/>
      <c r="P589" s="1"/>
      <c r="Q589" t="s">
        <v>412</v>
      </c>
      <c r="R589" t="s">
        <v>709</v>
      </c>
      <c r="S589" t="s">
        <v>703</v>
      </c>
      <c r="T589" t="s">
        <v>615</v>
      </c>
      <c r="U589" s="1"/>
      <c r="V589" s="1"/>
      <c r="W589" s="1">
        <f>[81]Melkonian_etal_2004_Fig1d!B2</f>
        <v>1.0136518771331E-9</v>
      </c>
      <c r="X589" s="1"/>
      <c r="Y589" s="1"/>
      <c r="Z589" s="1"/>
      <c r="AE589" s="2"/>
      <c r="AF589" s="2"/>
      <c r="AJ589" t="s">
        <v>203</v>
      </c>
    </row>
    <row r="590" spans="1:36" x14ac:dyDescent="0.25">
      <c r="A590" t="s">
        <v>571</v>
      </c>
      <c r="B590" t="s">
        <v>53</v>
      </c>
      <c r="C590" t="s">
        <v>54</v>
      </c>
      <c r="D590" t="s">
        <v>18</v>
      </c>
      <c r="E590" t="s">
        <v>31</v>
      </c>
      <c r="F590" t="s">
        <v>32</v>
      </c>
      <c r="G590" t="s">
        <v>32</v>
      </c>
      <c r="H590" t="s">
        <v>712</v>
      </c>
      <c r="I590">
        <f t="shared" si="84"/>
        <v>24</v>
      </c>
      <c r="J590" t="s">
        <v>94</v>
      </c>
      <c r="K590" s="1" t="s">
        <v>39</v>
      </c>
      <c r="L590" t="str">
        <f t="shared" si="82"/>
        <v>Control</v>
      </c>
      <c r="M590" s="1"/>
      <c r="O590" s="1"/>
      <c r="P590" s="1"/>
      <c r="Q590" t="s">
        <v>412</v>
      </c>
      <c r="R590" t="s">
        <v>709</v>
      </c>
      <c r="S590" t="s">
        <v>703</v>
      </c>
      <c r="T590" t="s">
        <v>615</v>
      </c>
      <c r="U590" s="1"/>
      <c r="V590" s="1"/>
      <c r="W590" s="1">
        <f>[81]Melkonian_etal_2004_Fig1d!B3</f>
        <v>1.0085324232081901E-9</v>
      </c>
      <c r="X590" s="1"/>
      <c r="Y590" s="1"/>
      <c r="Z590" s="1"/>
      <c r="AE590" s="2"/>
      <c r="AF590" s="2"/>
      <c r="AJ590" t="s">
        <v>203</v>
      </c>
    </row>
    <row r="591" spans="1:36" x14ac:dyDescent="0.25">
      <c r="A591" t="s">
        <v>571</v>
      </c>
      <c r="B591" t="s">
        <v>53</v>
      </c>
      <c r="C591" t="s">
        <v>54</v>
      </c>
      <c r="D591" t="s">
        <v>18</v>
      </c>
      <c r="E591" t="s">
        <v>31</v>
      </c>
      <c r="F591" t="s">
        <v>32</v>
      </c>
      <c r="G591" t="s">
        <v>32</v>
      </c>
      <c r="H591" t="s">
        <v>712</v>
      </c>
      <c r="I591">
        <f t="shared" si="84"/>
        <v>24</v>
      </c>
      <c r="J591" t="s">
        <v>94</v>
      </c>
      <c r="K591" s="1" t="s">
        <v>39</v>
      </c>
      <c r="L591" t="str">
        <f t="shared" si="82"/>
        <v>Control</v>
      </c>
      <c r="M591" s="1"/>
      <c r="O591" s="1"/>
      <c r="P591" s="1"/>
      <c r="Q591" t="s">
        <v>412</v>
      </c>
      <c r="R591" t="s">
        <v>709</v>
      </c>
      <c r="S591" t="s">
        <v>703</v>
      </c>
      <c r="T591" t="s">
        <v>615</v>
      </c>
      <c r="U591" s="1"/>
      <c r="V591" s="1"/>
      <c r="W591" s="1">
        <f>[81]Melkonian_etal_2004_Fig1d!B4</f>
        <v>9.3686006825938504E-10</v>
      </c>
      <c r="X591" s="1"/>
      <c r="Y591" s="1"/>
      <c r="Z591" s="1"/>
      <c r="AE591" s="2"/>
      <c r="AF591" s="2"/>
      <c r="AJ591" t="s">
        <v>203</v>
      </c>
    </row>
    <row r="592" spans="1:36" x14ac:dyDescent="0.25">
      <c r="A592" t="s">
        <v>571</v>
      </c>
      <c r="B592" t="s">
        <v>53</v>
      </c>
      <c r="C592" t="s">
        <v>54</v>
      </c>
      <c r="D592" t="s">
        <v>18</v>
      </c>
      <c r="E592" t="s">
        <v>31</v>
      </c>
      <c r="F592" t="s">
        <v>32</v>
      </c>
      <c r="G592" t="s">
        <v>32</v>
      </c>
      <c r="H592" t="s">
        <v>712</v>
      </c>
      <c r="I592">
        <f t="shared" si="84"/>
        <v>24</v>
      </c>
      <c r="J592" t="s">
        <v>94</v>
      </c>
      <c r="K592" s="1" t="s">
        <v>572</v>
      </c>
      <c r="L592" t="str">
        <f t="shared" si="82"/>
        <v>Stress</v>
      </c>
      <c r="M592" s="1"/>
      <c r="O592" s="1"/>
      <c r="P592" s="1"/>
      <c r="Q592" t="s">
        <v>412</v>
      </c>
      <c r="R592" t="s">
        <v>709</v>
      </c>
      <c r="S592" t="s">
        <v>703</v>
      </c>
      <c r="T592" t="s">
        <v>615</v>
      </c>
      <c r="U592" s="1"/>
      <c r="V592" s="1"/>
      <c r="W592" s="1">
        <f>[81]Melkonian_etal_2004_Fig1d!B5</f>
        <v>2.15017064846418E-10</v>
      </c>
      <c r="X592" s="1"/>
      <c r="Y592" s="1"/>
      <c r="Z592" s="1"/>
      <c r="AE592" s="2"/>
      <c r="AF592" s="2"/>
      <c r="AJ592" t="s">
        <v>203</v>
      </c>
    </row>
    <row r="593" spans="1:36" x14ac:dyDescent="0.25">
      <c r="A593" t="s">
        <v>571</v>
      </c>
      <c r="B593" t="s">
        <v>53</v>
      </c>
      <c r="C593" t="s">
        <v>54</v>
      </c>
      <c r="D593" t="s">
        <v>18</v>
      </c>
      <c r="E593" t="s">
        <v>31</v>
      </c>
      <c r="F593" t="s">
        <v>32</v>
      </c>
      <c r="G593" t="s">
        <v>32</v>
      </c>
      <c r="H593" t="s">
        <v>712</v>
      </c>
      <c r="I593">
        <f t="shared" si="84"/>
        <v>24</v>
      </c>
      <c r="J593" t="s">
        <v>94</v>
      </c>
      <c r="K593" s="1" t="s">
        <v>39</v>
      </c>
      <c r="L593" t="str">
        <f t="shared" si="82"/>
        <v>Control</v>
      </c>
      <c r="M593" s="1"/>
      <c r="O593" s="1"/>
      <c r="P593" s="1"/>
      <c r="Q593" t="s">
        <v>412</v>
      </c>
      <c r="R593" t="s">
        <v>709</v>
      </c>
      <c r="S593" t="s">
        <v>703</v>
      </c>
      <c r="T593" t="s">
        <v>615</v>
      </c>
      <c r="U593" s="1"/>
      <c r="V593" s="1"/>
      <c r="W593" s="1">
        <f>[81]Melkonian_etal_2004_Fig1d!B6</f>
        <v>9.0614334470989798E-10</v>
      </c>
      <c r="X593" s="1"/>
      <c r="Y593" s="1"/>
      <c r="Z593" s="1"/>
      <c r="AE593" s="2"/>
      <c r="AF593" s="2"/>
      <c r="AJ593" t="s">
        <v>203</v>
      </c>
    </row>
    <row r="594" spans="1:36" x14ac:dyDescent="0.25">
      <c r="A594" t="s">
        <v>571</v>
      </c>
      <c r="B594" t="s">
        <v>53</v>
      </c>
      <c r="C594" t="s">
        <v>54</v>
      </c>
      <c r="D594" t="s">
        <v>18</v>
      </c>
      <c r="E594" t="s">
        <v>31</v>
      </c>
      <c r="F594" t="s">
        <v>32</v>
      </c>
      <c r="G594" t="s">
        <v>32</v>
      </c>
      <c r="H594" t="s">
        <v>712</v>
      </c>
      <c r="I594">
        <f t="shared" si="84"/>
        <v>24</v>
      </c>
      <c r="J594" t="s">
        <v>94</v>
      </c>
      <c r="K594" s="1" t="s">
        <v>572</v>
      </c>
      <c r="L594" t="str">
        <f t="shared" si="82"/>
        <v>Stress</v>
      </c>
      <c r="M594" s="1"/>
      <c r="O594" s="1"/>
      <c r="P594" s="1"/>
      <c r="Q594" t="s">
        <v>412</v>
      </c>
      <c r="R594" t="s">
        <v>709</v>
      </c>
      <c r="S594" t="s">
        <v>703</v>
      </c>
      <c r="T594" t="s">
        <v>615</v>
      </c>
      <c r="U594" s="1"/>
      <c r="V594" s="1"/>
      <c r="W594" s="1">
        <f>[81]Melkonian_etal_2004_Fig1d!B7</f>
        <v>3.9931740614334501E-10</v>
      </c>
      <c r="X594" s="1"/>
      <c r="Y594" s="1"/>
      <c r="Z594" s="1"/>
      <c r="AE594" s="2"/>
      <c r="AF594" s="2"/>
      <c r="AJ594" t="s">
        <v>203</v>
      </c>
    </row>
    <row r="595" spans="1:36" x14ac:dyDescent="0.25">
      <c r="A595" t="s">
        <v>329</v>
      </c>
      <c r="B595" t="s">
        <v>56</v>
      </c>
      <c r="C595" t="s">
        <v>57</v>
      </c>
      <c r="D595" t="s">
        <v>18</v>
      </c>
      <c r="E595" t="s">
        <v>19</v>
      </c>
      <c r="F595" t="s">
        <v>20</v>
      </c>
      <c r="G595" t="s">
        <v>20</v>
      </c>
      <c r="H595" t="s">
        <v>712</v>
      </c>
      <c r="I595">
        <f>4*7</f>
        <v>28</v>
      </c>
      <c r="J595" t="s">
        <v>632</v>
      </c>
      <c r="K595" t="s">
        <v>39</v>
      </c>
      <c r="L595" t="str">
        <f t="shared" si="82"/>
        <v>Control</v>
      </c>
      <c r="M595" t="s">
        <v>74</v>
      </c>
      <c r="N595" t="s">
        <v>716</v>
      </c>
      <c r="Q595" t="s">
        <v>412</v>
      </c>
      <c r="R595" t="s">
        <v>709</v>
      </c>
      <c r="S595" t="s">
        <v>703</v>
      </c>
      <c r="T595" t="s">
        <v>616</v>
      </c>
      <c r="U595" s="1"/>
      <c r="V595" s="1"/>
      <c r="W595" s="1"/>
      <c r="X595" s="1"/>
      <c r="Y595" s="1"/>
      <c r="Z595" s="1"/>
      <c r="AA595" s="1">
        <v>4.4899999999999998E-8</v>
      </c>
      <c r="AE595" s="2"/>
      <c r="AF595" s="2"/>
      <c r="AJ595" t="s">
        <v>352</v>
      </c>
    </row>
    <row r="596" spans="1:36" x14ac:dyDescent="0.25">
      <c r="A596" t="s">
        <v>329</v>
      </c>
      <c r="B596" t="s">
        <v>56</v>
      </c>
      <c r="C596" t="s">
        <v>57</v>
      </c>
      <c r="D596" t="s">
        <v>18</v>
      </c>
      <c r="E596" t="s">
        <v>19</v>
      </c>
      <c r="F596" t="s">
        <v>20</v>
      </c>
      <c r="G596" t="s">
        <v>20</v>
      </c>
      <c r="H596" t="s">
        <v>712</v>
      </c>
      <c r="I596">
        <f>4*7</f>
        <v>28</v>
      </c>
      <c r="J596" t="s">
        <v>632</v>
      </c>
      <c r="K596" t="s">
        <v>39</v>
      </c>
      <c r="L596" t="str">
        <f t="shared" si="82"/>
        <v>Control</v>
      </c>
      <c r="M596" t="s">
        <v>355</v>
      </c>
      <c r="N596" t="s">
        <v>716</v>
      </c>
      <c r="Q596" t="s">
        <v>412</v>
      </c>
      <c r="R596" t="s">
        <v>709</v>
      </c>
      <c r="S596" t="s">
        <v>703</v>
      </c>
      <c r="T596" t="s">
        <v>616</v>
      </c>
      <c r="U596" s="1"/>
      <c r="V596" s="1"/>
      <c r="W596" s="1"/>
      <c r="X596" s="1"/>
      <c r="Y596" s="1"/>
      <c r="Z596" s="1"/>
      <c r="AA596" s="1">
        <v>4.14E-8</v>
      </c>
      <c r="AE596" s="2"/>
      <c r="AF596" s="2"/>
      <c r="AJ596" t="s">
        <v>352</v>
      </c>
    </row>
    <row r="597" spans="1:36" x14ac:dyDescent="0.25">
      <c r="A597" t="s">
        <v>329</v>
      </c>
      <c r="B597" t="s">
        <v>56</v>
      </c>
      <c r="C597" t="s">
        <v>57</v>
      </c>
      <c r="D597" t="s">
        <v>18</v>
      </c>
      <c r="E597" t="s">
        <v>19</v>
      </c>
      <c r="F597" t="s">
        <v>20</v>
      </c>
      <c r="G597" t="s">
        <v>20</v>
      </c>
      <c r="H597" t="s">
        <v>712</v>
      </c>
      <c r="I597">
        <f>4*7</f>
        <v>28</v>
      </c>
      <c r="J597" t="s">
        <v>632</v>
      </c>
      <c r="K597" t="s">
        <v>51</v>
      </c>
      <c r="L597" t="str">
        <f t="shared" si="82"/>
        <v>Stress</v>
      </c>
      <c r="M597" t="s">
        <v>74</v>
      </c>
      <c r="N597" t="s">
        <v>716</v>
      </c>
      <c r="Q597" t="s">
        <v>412</v>
      </c>
      <c r="R597" t="s">
        <v>709</v>
      </c>
      <c r="S597" t="s">
        <v>703</v>
      </c>
      <c r="T597" t="s">
        <v>616</v>
      </c>
      <c r="U597" s="1"/>
      <c r="V597" s="1"/>
      <c r="W597" s="1"/>
      <c r="X597" s="1"/>
      <c r="Y597" s="1"/>
      <c r="Z597" s="1"/>
      <c r="AA597" s="1">
        <v>5.1100000000000001E-8</v>
      </c>
      <c r="AE597" s="2"/>
      <c r="AF597" s="2"/>
      <c r="AJ597" t="s">
        <v>352</v>
      </c>
    </row>
    <row r="598" spans="1:36" x14ac:dyDescent="0.25">
      <c r="A598" t="s">
        <v>329</v>
      </c>
      <c r="B598" t="s">
        <v>56</v>
      </c>
      <c r="C598" t="s">
        <v>57</v>
      </c>
      <c r="D598" t="s">
        <v>18</v>
      </c>
      <c r="E598" t="s">
        <v>19</v>
      </c>
      <c r="F598" t="s">
        <v>20</v>
      </c>
      <c r="G598" t="s">
        <v>20</v>
      </c>
      <c r="H598" t="s">
        <v>712</v>
      </c>
      <c r="I598">
        <f>4*7</f>
        <v>28</v>
      </c>
      <c r="J598" t="s">
        <v>632</v>
      </c>
      <c r="K598" t="s">
        <v>51</v>
      </c>
      <c r="L598" t="str">
        <f t="shared" si="82"/>
        <v>Stress</v>
      </c>
      <c r="M598" t="s">
        <v>355</v>
      </c>
      <c r="N598" t="s">
        <v>716</v>
      </c>
      <c r="Q598" t="s">
        <v>412</v>
      </c>
      <c r="R598" t="s">
        <v>709</v>
      </c>
      <c r="S598" t="s">
        <v>703</v>
      </c>
      <c r="T598" t="s">
        <v>616</v>
      </c>
      <c r="U598" s="1"/>
      <c r="V598" s="1"/>
      <c r="W598" s="1"/>
      <c r="X598" s="1"/>
      <c r="Y598" s="1"/>
      <c r="Z598" s="1"/>
      <c r="AA598" s="1">
        <v>6.7000000000000004E-8</v>
      </c>
      <c r="AE598" s="2"/>
      <c r="AF598" s="2"/>
      <c r="AJ598" t="s">
        <v>352</v>
      </c>
    </row>
    <row r="599" spans="1:36" x14ac:dyDescent="0.25">
      <c r="A599" t="s">
        <v>400</v>
      </c>
      <c r="B599" t="s">
        <v>403</v>
      </c>
      <c r="C599" t="s">
        <v>401</v>
      </c>
      <c r="D599" t="s">
        <v>402</v>
      </c>
      <c r="E599" t="s">
        <v>19</v>
      </c>
      <c r="F599" t="s">
        <v>37</v>
      </c>
      <c r="G599" t="s">
        <v>622</v>
      </c>
      <c r="H599" t="s">
        <v>714</v>
      </c>
      <c r="I599">
        <f>+AVERAGE(13,15)</f>
        <v>14</v>
      </c>
      <c r="J599" t="s">
        <v>94</v>
      </c>
      <c r="K599" t="s">
        <v>39</v>
      </c>
      <c r="L599" t="str">
        <f t="shared" si="82"/>
        <v>Control</v>
      </c>
      <c r="Q599" t="s">
        <v>412</v>
      </c>
      <c r="R599" t="s">
        <v>709</v>
      </c>
      <c r="S599" t="s">
        <v>703</v>
      </c>
      <c r="T599" t="s">
        <v>615</v>
      </c>
      <c r="U599" s="1"/>
      <c r="V599" s="1"/>
      <c r="W599" s="1"/>
      <c r="X599" s="1"/>
      <c r="Y599" s="1"/>
      <c r="Z599" s="1"/>
      <c r="AA599" s="1">
        <v>7.9000000000000006E-8</v>
      </c>
      <c r="AE599" s="2"/>
      <c r="AF599" s="2"/>
      <c r="AJ599" t="s">
        <v>202</v>
      </c>
    </row>
    <row r="600" spans="1:36" x14ac:dyDescent="0.25">
      <c r="A600" t="s">
        <v>400</v>
      </c>
      <c r="B600" t="s">
        <v>403</v>
      </c>
      <c r="C600" t="s">
        <v>401</v>
      </c>
      <c r="D600" t="s">
        <v>402</v>
      </c>
      <c r="E600" t="s">
        <v>19</v>
      </c>
      <c r="F600" t="s">
        <v>37</v>
      </c>
      <c r="G600" t="s">
        <v>622</v>
      </c>
      <c r="H600" t="s">
        <v>714</v>
      </c>
      <c r="I600">
        <f>+AVERAGE(13,15)</f>
        <v>14</v>
      </c>
      <c r="J600" t="s">
        <v>94</v>
      </c>
      <c r="K600" t="s">
        <v>500</v>
      </c>
      <c r="L600" t="str">
        <f t="shared" si="82"/>
        <v>Stress</v>
      </c>
      <c r="Q600" t="s">
        <v>412</v>
      </c>
      <c r="R600" t="s">
        <v>709</v>
      </c>
      <c r="S600" t="s">
        <v>703</v>
      </c>
      <c r="T600" t="s">
        <v>615</v>
      </c>
      <c r="U600" s="1"/>
      <c r="V600" s="1"/>
      <c r="W600" s="1"/>
      <c r="X600" s="1"/>
      <c r="Y600" s="1"/>
      <c r="Z600" s="1"/>
      <c r="AA600" s="1">
        <v>5.2000000000000002E-8</v>
      </c>
      <c r="AE600" s="2"/>
      <c r="AF600" s="2"/>
      <c r="AJ600" t="s">
        <v>202</v>
      </c>
    </row>
    <row r="601" spans="1:36" x14ac:dyDescent="0.25">
      <c r="A601" t="s">
        <v>400</v>
      </c>
      <c r="B601" t="s">
        <v>403</v>
      </c>
      <c r="C601" t="s">
        <v>401</v>
      </c>
      <c r="D601" t="s">
        <v>402</v>
      </c>
      <c r="E601" t="s">
        <v>19</v>
      </c>
      <c r="F601" t="s">
        <v>37</v>
      </c>
      <c r="G601" t="s">
        <v>622</v>
      </c>
      <c r="H601" t="s">
        <v>714</v>
      </c>
      <c r="I601">
        <f>+AVERAGE(13,15)</f>
        <v>14</v>
      </c>
      <c r="J601" t="s">
        <v>94</v>
      </c>
      <c r="K601" t="s">
        <v>39</v>
      </c>
      <c r="L601" t="str">
        <f t="shared" si="82"/>
        <v>Control</v>
      </c>
      <c r="Q601" t="s">
        <v>412</v>
      </c>
      <c r="R601" t="s">
        <v>709</v>
      </c>
      <c r="S601" t="s">
        <v>703</v>
      </c>
      <c r="T601" t="s">
        <v>616</v>
      </c>
      <c r="U601" s="1"/>
      <c r="V601" s="1"/>
      <c r="W601" s="1"/>
      <c r="X601" s="1"/>
      <c r="Y601" s="1"/>
      <c r="Z601" s="1"/>
      <c r="AA601" s="1">
        <v>1.7E-8</v>
      </c>
      <c r="AE601" s="2"/>
      <c r="AF601" s="2"/>
      <c r="AJ601" t="s">
        <v>202</v>
      </c>
    </row>
    <row r="602" spans="1:36" x14ac:dyDescent="0.25">
      <c r="A602" t="s">
        <v>400</v>
      </c>
      <c r="B602" t="s">
        <v>403</v>
      </c>
      <c r="C602" t="s">
        <v>401</v>
      </c>
      <c r="D602" t="s">
        <v>402</v>
      </c>
      <c r="E602" t="s">
        <v>19</v>
      </c>
      <c r="F602" t="s">
        <v>37</v>
      </c>
      <c r="G602" t="s">
        <v>622</v>
      </c>
      <c r="H602" t="s">
        <v>714</v>
      </c>
      <c r="I602">
        <f>+AVERAGE(13,15)</f>
        <v>14</v>
      </c>
      <c r="J602" t="s">
        <v>94</v>
      </c>
      <c r="K602" t="s">
        <v>500</v>
      </c>
      <c r="L602" t="str">
        <f t="shared" si="82"/>
        <v>Stress</v>
      </c>
      <c r="Q602" t="s">
        <v>412</v>
      </c>
      <c r="R602" t="s">
        <v>709</v>
      </c>
      <c r="S602" t="s">
        <v>703</v>
      </c>
      <c r="T602" t="s">
        <v>616</v>
      </c>
      <c r="U602" s="1"/>
      <c r="V602" s="1"/>
      <c r="W602" s="1"/>
      <c r="X602" s="1"/>
      <c r="Y602" s="1"/>
      <c r="Z602" s="1"/>
      <c r="AA602" s="1">
        <v>4.0000000000000002E-9</v>
      </c>
      <c r="AE602" s="2"/>
      <c r="AF602" s="2"/>
      <c r="AJ602" t="s">
        <v>202</v>
      </c>
    </row>
    <row r="603" spans="1:36" x14ac:dyDescent="0.25">
      <c r="A603" t="s">
        <v>264</v>
      </c>
      <c r="B603" t="s">
        <v>267</v>
      </c>
      <c r="C603" t="s">
        <v>268</v>
      </c>
      <c r="D603" t="s">
        <v>200</v>
      </c>
      <c r="E603" t="s">
        <v>19</v>
      </c>
      <c r="F603" t="s">
        <v>269</v>
      </c>
      <c r="G603" t="s">
        <v>627</v>
      </c>
      <c r="H603" t="s">
        <v>713</v>
      </c>
      <c r="I603">
        <f>18*30</f>
        <v>540</v>
      </c>
      <c r="J603" t="s">
        <v>139</v>
      </c>
      <c r="K603" t="s">
        <v>39</v>
      </c>
      <c r="L603" t="str">
        <f t="shared" si="82"/>
        <v>Control</v>
      </c>
      <c r="Q603" t="s">
        <v>412</v>
      </c>
      <c r="R603" t="s">
        <v>709</v>
      </c>
      <c r="S603" t="s">
        <v>703</v>
      </c>
      <c r="T603" t="s">
        <v>615</v>
      </c>
      <c r="U603" s="1" t="s">
        <v>755</v>
      </c>
      <c r="V603" s="1">
        <f>'[82]Islam&amp;Macdonald_2004_Fig2a'!C2</f>
        <v>8.4837905236907698E-9</v>
      </c>
      <c r="W603" s="1"/>
      <c r="AJ603" t="s">
        <v>47</v>
      </c>
    </row>
    <row r="604" spans="1:36" x14ac:dyDescent="0.25">
      <c r="A604" t="s">
        <v>264</v>
      </c>
      <c r="B604" t="s">
        <v>267</v>
      </c>
      <c r="C604" t="s">
        <v>268</v>
      </c>
      <c r="D604" t="s">
        <v>200</v>
      </c>
      <c r="E604" t="s">
        <v>19</v>
      </c>
      <c r="F604" t="s">
        <v>269</v>
      </c>
      <c r="G604" t="s">
        <v>627</v>
      </c>
      <c r="H604" t="s">
        <v>713</v>
      </c>
      <c r="I604">
        <f>18*30</f>
        <v>540</v>
      </c>
      <c r="J604" t="s">
        <v>139</v>
      </c>
      <c r="K604" t="s">
        <v>103</v>
      </c>
      <c r="L604" t="str">
        <f t="shared" si="82"/>
        <v>Stress</v>
      </c>
      <c r="Q604" t="s">
        <v>412</v>
      </c>
      <c r="R604" t="s">
        <v>709</v>
      </c>
      <c r="S604" t="s">
        <v>703</v>
      </c>
      <c r="T604" t="s">
        <v>615</v>
      </c>
      <c r="U604" s="1" t="s">
        <v>755</v>
      </c>
      <c r="V604" s="1">
        <f>'[82]Islam&amp;Macdonald_2004_Fig2a'!C4</f>
        <v>7.9900249376558609E-9</v>
      </c>
      <c r="W604" s="1"/>
      <c r="AJ604" t="s">
        <v>47</v>
      </c>
    </row>
    <row r="605" spans="1:36" x14ac:dyDescent="0.25">
      <c r="A605" t="s">
        <v>264</v>
      </c>
      <c r="B605" t="s">
        <v>265</v>
      </c>
      <c r="C605" t="s">
        <v>199</v>
      </c>
      <c r="D605" t="s">
        <v>200</v>
      </c>
      <c r="E605" t="s">
        <v>19</v>
      </c>
      <c r="F605" t="s">
        <v>266</v>
      </c>
      <c r="G605" t="s">
        <v>620</v>
      </c>
      <c r="H605" t="s">
        <v>713</v>
      </c>
      <c r="I605">
        <f>18*30</f>
        <v>540</v>
      </c>
      <c r="J605" t="s">
        <v>139</v>
      </c>
      <c r="K605" t="s">
        <v>39</v>
      </c>
      <c r="L605" t="str">
        <f t="shared" si="82"/>
        <v>Control</v>
      </c>
      <c r="Q605" t="s">
        <v>412</v>
      </c>
      <c r="R605" t="s">
        <v>709</v>
      </c>
      <c r="S605" t="s">
        <v>703</v>
      </c>
      <c r="T605" t="s">
        <v>615</v>
      </c>
      <c r="U605" s="1" t="s">
        <v>755</v>
      </c>
      <c r="V605" s="1">
        <f>'[82]Islam&amp;Macdonald_2004_Fig2a'!C3</f>
        <v>5.9700748129675803E-9</v>
      </c>
      <c r="W605" s="1"/>
      <c r="AJ605" t="s">
        <v>47</v>
      </c>
    </row>
    <row r="606" spans="1:36" x14ac:dyDescent="0.25">
      <c r="A606" t="s">
        <v>264</v>
      </c>
      <c r="B606" t="s">
        <v>265</v>
      </c>
      <c r="C606" t="s">
        <v>199</v>
      </c>
      <c r="D606" t="s">
        <v>200</v>
      </c>
      <c r="E606" t="s">
        <v>19</v>
      </c>
      <c r="F606" t="s">
        <v>266</v>
      </c>
      <c r="G606" t="s">
        <v>620</v>
      </c>
      <c r="H606" t="s">
        <v>713</v>
      </c>
      <c r="I606">
        <f>18*30</f>
        <v>540</v>
      </c>
      <c r="J606" t="s">
        <v>139</v>
      </c>
      <c r="K606" t="s">
        <v>103</v>
      </c>
      <c r="L606" t="str">
        <f t="shared" si="82"/>
        <v>Stress</v>
      </c>
      <c r="Q606" t="s">
        <v>412</v>
      </c>
      <c r="R606" t="s">
        <v>709</v>
      </c>
      <c r="S606" t="s">
        <v>703</v>
      </c>
      <c r="T606" t="s">
        <v>615</v>
      </c>
      <c r="U606" s="1" t="s">
        <v>755</v>
      </c>
      <c r="V606" s="1">
        <f>'[82]Islam&amp;Macdonald_2004_Fig2a'!C5</f>
        <v>3.7705735660847802E-9</v>
      </c>
      <c r="W606" s="1"/>
      <c r="AJ606" t="s">
        <v>47</v>
      </c>
    </row>
    <row r="607" spans="1:36" x14ac:dyDescent="0.25">
      <c r="A607" t="s">
        <v>563</v>
      </c>
      <c r="B607" t="s">
        <v>564</v>
      </c>
      <c r="C607" t="s">
        <v>232</v>
      </c>
      <c r="D607" t="s">
        <v>200</v>
      </c>
      <c r="E607" t="s">
        <v>19</v>
      </c>
      <c r="F607" t="s">
        <v>201</v>
      </c>
      <c r="G607" t="s">
        <v>620</v>
      </c>
      <c r="H607" t="s">
        <v>713</v>
      </c>
      <c r="I607">
        <f>+(6+1)*30</f>
        <v>210</v>
      </c>
      <c r="J607" t="s">
        <v>565</v>
      </c>
      <c r="K607" t="s">
        <v>39</v>
      </c>
      <c r="L607" t="str">
        <f t="shared" si="82"/>
        <v>Control</v>
      </c>
      <c r="M607" t="s">
        <v>39</v>
      </c>
      <c r="N607" t="str">
        <f>+IF(M607="Control","Control","Stress")</f>
        <v>Control</v>
      </c>
      <c r="Q607" t="s">
        <v>412</v>
      </c>
      <c r="R607" t="s">
        <v>709</v>
      </c>
      <c r="S607" t="s">
        <v>703</v>
      </c>
      <c r="T607" t="s">
        <v>615</v>
      </c>
      <c r="U607" s="1" t="s">
        <v>755</v>
      </c>
      <c r="V607" s="1">
        <f>[83]Apostol_etal_2004_Fig1b!B2</f>
        <v>2.32867132867132E-9</v>
      </c>
      <c r="W607" s="1"/>
      <c r="AF607">
        <v>2.84</v>
      </c>
      <c r="AJ607" t="s">
        <v>47</v>
      </c>
    </row>
    <row r="608" spans="1:36" x14ac:dyDescent="0.25">
      <c r="A608" t="s">
        <v>563</v>
      </c>
      <c r="B608" t="s">
        <v>564</v>
      </c>
      <c r="C608" t="s">
        <v>232</v>
      </c>
      <c r="D608" t="s">
        <v>200</v>
      </c>
      <c r="E608" t="s">
        <v>19</v>
      </c>
      <c r="F608" t="s">
        <v>201</v>
      </c>
      <c r="G608" t="s">
        <v>620</v>
      </c>
      <c r="H608" t="s">
        <v>713</v>
      </c>
      <c r="I608">
        <f>+(6+1)*30</f>
        <v>210</v>
      </c>
      <c r="J608" t="s">
        <v>565</v>
      </c>
      <c r="K608" t="s">
        <v>84</v>
      </c>
      <c r="L608" t="str">
        <f t="shared" si="82"/>
        <v>Stress</v>
      </c>
      <c r="M608" t="s">
        <v>39</v>
      </c>
      <c r="N608" t="str">
        <f>+IF(M608="Control","Control","Stress")</f>
        <v>Control</v>
      </c>
      <c r="Q608" t="s">
        <v>412</v>
      </c>
      <c r="R608" t="s">
        <v>709</v>
      </c>
      <c r="S608" t="s">
        <v>703</v>
      </c>
      <c r="T608" t="s">
        <v>615</v>
      </c>
      <c r="U608" s="1" t="s">
        <v>755</v>
      </c>
      <c r="V608" s="1">
        <f>[83]Apostol_etal_2004_Fig1b!B3</f>
        <v>5.9790209790209597E-10</v>
      </c>
      <c r="W608" s="1"/>
      <c r="AF608">
        <v>2.4900000000000002</v>
      </c>
      <c r="AJ608" t="s">
        <v>47</v>
      </c>
    </row>
    <row r="609" spans="1:36" x14ac:dyDescent="0.25">
      <c r="A609" t="s">
        <v>563</v>
      </c>
      <c r="B609" t="s">
        <v>564</v>
      </c>
      <c r="C609" t="s">
        <v>232</v>
      </c>
      <c r="D609" t="s">
        <v>200</v>
      </c>
      <c r="E609" t="s">
        <v>19</v>
      </c>
      <c r="F609" t="s">
        <v>201</v>
      </c>
      <c r="G609" t="s">
        <v>620</v>
      </c>
      <c r="H609" t="s">
        <v>713</v>
      </c>
      <c r="I609">
        <f>+(6+1)*30</f>
        <v>210</v>
      </c>
      <c r="J609" t="s">
        <v>565</v>
      </c>
      <c r="K609" t="s">
        <v>39</v>
      </c>
      <c r="L609" t="str">
        <f t="shared" ref="L609:L635" si="85">+IF(K609 = "Control", "Control", "Stress")</f>
        <v>Control</v>
      </c>
      <c r="M609" t="s">
        <v>566</v>
      </c>
      <c r="N609" t="str">
        <f>+IF(M609="Control","Control","Stress")</f>
        <v>Stress</v>
      </c>
      <c r="Q609" t="s">
        <v>412</v>
      </c>
      <c r="R609" t="s">
        <v>709</v>
      </c>
      <c r="S609" t="s">
        <v>703</v>
      </c>
      <c r="T609" t="s">
        <v>615</v>
      </c>
      <c r="U609" s="1" t="s">
        <v>755</v>
      </c>
      <c r="V609" s="1">
        <f>[83]Apostol_etal_2004_Fig1b!B4</f>
        <v>5.5594405594405598E-10</v>
      </c>
      <c r="W609" s="1"/>
      <c r="AF609">
        <v>2.86</v>
      </c>
      <c r="AJ609" t="s">
        <v>47</v>
      </c>
    </row>
    <row r="610" spans="1:36" x14ac:dyDescent="0.25">
      <c r="A610" t="s">
        <v>563</v>
      </c>
      <c r="B610" t="s">
        <v>564</v>
      </c>
      <c r="C610" t="s">
        <v>232</v>
      </c>
      <c r="D610" t="s">
        <v>200</v>
      </c>
      <c r="E610" t="s">
        <v>19</v>
      </c>
      <c r="F610" t="s">
        <v>201</v>
      </c>
      <c r="G610" t="s">
        <v>620</v>
      </c>
      <c r="H610" t="s">
        <v>713</v>
      </c>
      <c r="I610">
        <f>+(6+1)*30</f>
        <v>210</v>
      </c>
      <c r="J610" t="s">
        <v>565</v>
      </c>
      <c r="K610" t="s">
        <v>84</v>
      </c>
      <c r="L610" t="str">
        <f t="shared" si="85"/>
        <v>Stress</v>
      </c>
      <c r="M610" t="s">
        <v>566</v>
      </c>
      <c r="N610" t="str">
        <f>+IF(M610="Control","Control","Stress")</f>
        <v>Stress</v>
      </c>
      <c r="Q610" t="s">
        <v>412</v>
      </c>
      <c r="R610" t="s">
        <v>709</v>
      </c>
      <c r="S610" t="s">
        <v>703</v>
      </c>
      <c r="T610" t="s">
        <v>615</v>
      </c>
      <c r="U610" s="1" t="s">
        <v>755</v>
      </c>
      <c r="V610" s="1">
        <f>[83]Apostol_etal_2004_Fig1b!B5</f>
        <v>2.6223776223776201E-10</v>
      </c>
      <c r="W610" s="1"/>
      <c r="AF610">
        <v>2.5499999999999998</v>
      </c>
      <c r="AJ610" t="s">
        <v>47</v>
      </c>
    </row>
    <row r="611" spans="1:36" x14ac:dyDescent="0.25">
      <c r="A611" t="s">
        <v>270</v>
      </c>
      <c r="B611" t="s">
        <v>271</v>
      </c>
      <c r="C611" t="s">
        <v>404</v>
      </c>
      <c r="D611" t="s">
        <v>272</v>
      </c>
      <c r="E611" t="s">
        <v>19</v>
      </c>
      <c r="F611" s="8" t="s">
        <v>117</v>
      </c>
      <c r="G611" t="s">
        <v>602</v>
      </c>
      <c r="H611" t="s">
        <v>713</v>
      </c>
      <c r="I611">
        <f t="shared" ref="I611:I635" si="86">+AVERAGE(12,20)*30</f>
        <v>480</v>
      </c>
      <c r="J611" t="s">
        <v>481</v>
      </c>
      <c r="K611" t="s">
        <v>39</v>
      </c>
      <c r="L611" t="str">
        <f t="shared" si="85"/>
        <v>Control</v>
      </c>
      <c r="Q611" t="s">
        <v>412</v>
      </c>
      <c r="R611" t="s">
        <v>709</v>
      </c>
      <c r="S611" t="s">
        <v>703</v>
      </c>
      <c r="T611" t="s">
        <v>615</v>
      </c>
      <c r="U611" s="1" t="s">
        <v>754</v>
      </c>
      <c r="V611" s="1">
        <f t="shared" ref="V611:V630" si="87">+AB611*AH611</f>
        <v>1.5445655414772767E-9</v>
      </c>
      <c r="W611" s="1"/>
      <c r="AB611" s="1">
        <f>[84]Tyree_etal_2003_Fig4!C2</f>
        <v>5.8688560737034604E-8</v>
      </c>
      <c r="AH611" s="5">
        <f>263.18/10000</f>
        <v>2.6318000000000001E-2</v>
      </c>
      <c r="AJ611" t="s">
        <v>47</v>
      </c>
    </row>
    <row r="612" spans="1:36" x14ac:dyDescent="0.25">
      <c r="A612" t="s">
        <v>270</v>
      </c>
      <c r="B612" t="s">
        <v>273</v>
      </c>
      <c r="C612" t="s">
        <v>274</v>
      </c>
      <c r="D612" t="s">
        <v>275</v>
      </c>
      <c r="E612" t="s">
        <v>19</v>
      </c>
      <c r="F612" s="8" t="s">
        <v>117</v>
      </c>
      <c r="G612" t="s">
        <v>602</v>
      </c>
      <c r="H612" t="s">
        <v>713</v>
      </c>
      <c r="I612">
        <f t="shared" si="86"/>
        <v>480</v>
      </c>
      <c r="J612" t="s">
        <v>481</v>
      </c>
      <c r="K612" t="s">
        <v>39</v>
      </c>
      <c r="L612" t="str">
        <f t="shared" si="85"/>
        <v>Control</v>
      </c>
      <c r="Q612" t="s">
        <v>412</v>
      </c>
      <c r="R612" t="s">
        <v>709</v>
      </c>
      <c r="S612" t="s">
        <v>703</v>
      </c>
      <c r="T612" t="s">
        <v>615</v>
      </c>
      <c r="U612" s="1" t="s">
        <v>754</v>
      </c>
      <c r="V612" s="1">
        <f t="shared" si="87"/>
        <v>2.9220967628737067E-10</v>
      </c>
      <c r="W612" s="1"/>
      <c r="AB612" s="1">
        <f>[84]Tyree_etal_2003_Fig4!C3</f>
        <v>1.7187793440819403E-8</v>
      </c>
      <c r="AH612" s="5">
        <v>1.7000999999999999E-2</v>
      </c>
      <c r="AJ612" t="s">
        <v>47</v>
      </c>
    </row>
    <row r="613" spans="1:36" x14ac:dyDescent="0.25">
      <c r="A613" t="s">
        <v>270</v>
      </c>
      <c r="B613" t="s">
        <v>276</v>
      </c>
      <c r="C613" t="s">
        <v>277</v>
      </c>
      <c r="D613" t="s">
        <v>278</v>
      </c>
      <c r="E613" t="s">
        <v>19</v>
      </c>
      <c r="F613" s="8" t="s">
        <v>117</v>
      </c>
      <c r="G613" t="s">
        <v>602</v>
      </c>
      <c r="H613" t="s">
        <v>713</v>
      </c>
      <c r="I613">
        <f t="shared" si="86"/>
        <v>480</v>
      </c>
      <c r="J613" t="s">
        <v>481</v>
      </c>
      <c r="K613" t="s">
        <v>39</v>
      </c>
      <c r="L613" t="str">
        <f t="shared" si="85"/>
        <v>Control</v>
      </c>
      <c r="Q613" t="s">
        <v>412</v>
      </c>
      <c r="R613" t="s">
        <v>709</v>
      </c>
      <c r="S613" t="s">
        <v>703</v>
      </c>
      <c r="T613" t="s">
        <v>615</v>
      </c>
      <c r="U613" s="1" t="s">
        <v>754</v>
      </c>
      <c r="V613" s="1">
        <f t="shared" si="87"/>
        <v>9.1064869650641297E-10</v>
      </c>
      <c r="W613" s="1"/>
      <c r="AB613" s="1">
        <f>[84]Tyree_etal_2003_Fig4!C4</f>
        <v>5.5385518580854705E-8</v>
      </c>
      <c r="AH613" s="5">
        <v>1.6441999999999998E-2</v>
      </c>
      <c r="AJ613" t="s">
        <v>47</v>
      </c>
    </row>
    <row r="614" spans="1:36" x14ac:dyDescent="0.25">
      <c r="A614" t="s">
        <v>270</v>
      </c>
      <c r="B614" t="s">
        <v>279</v>
      </c>
      <c r="C614" t="s">
        <v>280</v>
      </c>
      <c r="D614" t="s">
        <v>92</v>
      </c>
      <c r="E614" t="s">
        <v>19</v>
      </c>
      <c r="F614" s="8" t="s">
        <v>117</v>
      </c>
      <c r="G614" t="s">
        <v>602</v>
      </c>
      <c r="H614" t="s">
        <v>713</v>
      </c>
      <c r="I614">
        <f t="shared" si="86"/>
        <v>480</v>
      </c>
      <c r="J614" t="s">
        <v>481</v>
      </c>
      <c r="K614" t="s">
        <v>39</v>
      </c>
      <c r="L614" t="str">
        <f t="shared" si="85"/>
        <v>Control</v>
      </c>
      <c r="Q614" t="s">
        <v>412</v>
      </c>
      <c r="R614" t="s">
        <v>709</v>
      </c>
      <c r="S614" t="s">
        <v>703</v>
      </c>
      <c r="T614" t="s">
        <v>615</v>
      </c>
      <c r="U614" s="1" t="s">
        <v>754</v>
      </c>
      <c r="V614" s="1">
        <f t="shared" si="87"/>
        <v>3.7211572799374007E-10</v>
      </c>
      <c r="W614" s="1"/>
      <c r="AB614" s="1">
        <f>[84]Tyree_etal_2003_Fig4!C5</f>
        <v>1.7187793440819403E-8</v>
      </c>
      <c r="AH614" s="5">
        <v>2.1649999999999999E-2</v>
      </c>
      <c r="AJ614" t="s">
        <v>47</v>
      </c>
    </row>
    <row r="615" spans="1:36" x14ac:dyDescent="0.25">
      <c r="A615" t="s">
        <v>270</v>
      </c>
      <c r="B615" t="s">
        <v>281</v>
      </c>
      <c r="C615" t="s">
        <v>405</v>
      </c>
      <c r="D615" t="s">
        <v>282</v>
      </c>
      <c r="E615" t="s">
        <v>19</v>
      </c>
      <c r="F615" s="8" t="s">
        <v>117</v>
      </c>
      <c r="G615" t="s">
        <v>602</v>
      </c>
      <c r="H615" t="s">
        <v>713</v>
      </c>
      <c r="I615">
        <f t="shared" si="86"/>
        <v>480</v>
      </c>
      <c r="J615" t="s">
        <v>481</v>
      </c>
      <c r="K615" t="s">
        <v>39</v>
      </c>
      <c r="L615" t="str">
        <f t="shared" si="85"/>
        <v>Control</v>
      </c>
      <c r="Q615" t="s">
        <v>412</v>
      </c>
      <c r="R615" t="s">
        <v>709</v>
      </c>
      <c r="S615" t="s">
        <v>703</v>
      </c>
      <c r="T615" t="s">
        <v>615</v>
      </c>
      <c r="U615" s="1" t="s">
        <v>754</v>
      </c>
      <c r="V615" s="1">
        <f t="shared" si="87"/>
        <v>2.5569851096514568E-11</v>
      </c>
      <c r="W615" s="1"/>
      <c r="AB615" s="1">
        <f>[84]Tyree_etal_2003_Fig4!C6</f>
        <v>9.3015100387466607E-9</v>
      </c>
      <c r="AH615" s="5">
        <v>2.7489999999999997E-3</v>
      </c>
      <c r="AJ615" t="s">
        <v>47</v>
      </c>
    </row>
    <row r="616" spans="1:36" x14ac:dyDescent="0.25">
      <c r="A616" t="s">
        <v>270</v>
      </c>
      <c r="B616" t="s">
        <v>271</v>
      </c>
      <c r="C616" t="s">
        <v>404</v>
      </c>
      <c r="D616" t="s">
        <v>272</v>
      </c>
      <c r="E616" t="s">
        <v>19</v>
      </c>
      <c r="F616" s="8" t="s">
        <v>117</v>
      </c>
      <c r="G616" t="s">
        <v>602</v>
      </c>
      <c r="H616" t="s">
        <v>713</v>
      </c>
      <c r="I616">
        <f t="shared" si="86"/>
        <v>480</v>
      </c>
      <c r="J616" t="s">
        <v>481</v>
      </c>
      <c r="K616" t="s">
        <v>483</v>
      </c>
      <c r="L616" t="str">
        <f t="shared" si="85"/>
        <v>Stress</v>
      </c>
      <c r="Q616" t="s">
        <v>412</v>
      </c>
      <c r="R616" t="s">
        <v>709</v>
      </c>
      <c r="S616" t="s">
        <v>703</v>
      </c>
      <c r="T616" t="s">
        <v>615</v>
      </c>
      <c r="U616" s="1" t="s">
        <v>754</v>
      </c>
      <c r="V616" s="1">
        <f t="shared" si="87"/>
        <v>1.4408463227390314E-9</v>
      </c>
      <c r="W616" s="1"/>
      <c r="AB616" s="1">
        <f>[84]Tyree_etal_2003_Fig4!C7</f>
        <v>5.4747561468919799E-8</v>
      </c>
      <c r="AH616" s="5">
        <v>2.6318000000000001E-2</v>
      </c>
      <c r="AJ616" t="s">
        <v>47</v>
      </c>
    </row>
    <row r="617" spans="1:36" x14ac:dyDescent="0.25">
      <c r="A617" t="s">
        <v>270</v>
      </c>
      <c r="B617" t="s">
        <v>273</v>
      </c>
      <c r="C617" t="s">
        <v>274</v>
      </c>
      <c r="D617" t="s">
        <v>275</v>
      </c>
      <c r="E617" t="s">
        <v>19</v>
      </c>
      <c r="F617" s="8" t="s">
        <v>117</v>
      </c>
      <c r="G617" t="s">
        <v>602</v>
      </c>
      <c r="H617" t="s">
        <v>713</v>
      </c>
      <c r="I617">
        <f t="shared" si="86"/>
        <v>480</v>
      </c>
      <c r="J617" t="s">
        <v>481</v>
      </c>
      <c r="K617" t="s">
        <v>483</v>
      </c>
      <c r="L617" t="str">
        <f t="shared" si="85"/>
        <v>Stress</v>
      </c>
      <c r="Q617" t="s">
        <v>412</v>
      </c>
      <c r="R617" t="s">
        <v>709</v>
      </c>
      <c r="S617" t="s">
        <v>703</v>
      </c>
      <c r="T617" t="s">
        <v>615</v>
      </c>
      <c r="U617" s="1" t="s">
        <v>754</v>
      </c>
      <c r="V617" s="1">
        <f t="shared" si="87"/>
        <v>1.7349201807579048E-10</v>
      </c>
      <c r="W617" s="1"/>
      <c r="AB617" s="1">
        <f>[84]Tyree_etal_2003_Fig4!C8</f>
        <v>1.02048125448968E-8</v>
      </c>
      <c r="AH617" s="5">
        <v>1.7000999999999999E-2</v>
      </c>
      <c r="AJ617" t="s">
        <v>47</v>
      </c>
    </row>
    <row r="618" spans="1:36" x14ac:dyDescent="0.25">
      <c r="A618" t="s">
        <v>270</v>
      </c>
      <c r="B618" t="s">
        <v>276</v>
      </c>
      <c r="C618" t="s">
        <v>277</v>
      </c>
      <c r="D618" t="s">
        <v>278</v>
      </c>
      <c r="E618" t="s">
        <v>19</v>
      </c>
      <c r="F618" s="8" t="s">
        <v>117</v>
      </c>
      <c r="G618" t="s">
        <v>602</v>
      </c>
      <c r="H618" t="s">
        <v>713</v>
      </c>
      <c r="I618">
        <f t="shared" si="86"/>
        <v>480</v>
      </c>
      <c r="J618" t="s">
        <v>481</v>
      </c>
      <c r="K618" t="s">
        <v>483</v>
      </c>
      <c r="L618" t="str">
        <f t="shared" si="85"/>
        <v>Stress</v>
      </c>
      <c r="Q618" t="s">
        <v>412</v>
      </c>
      <c r="R618" t="s">
        <v>709</v>
      </c>
      <c r="S618" t="s">
        <v>703</v>
      </c>
      <c r="T618" t="s">
        <v>615</v>
      </c>
      <c r="U618" s="1" t="s">
        <v>754</v>
      </c>
      <c r="V618" s="1">
        <f t="shared" si="87"/>
        <v>9.1064869650641297E-10</v>
      </c>
      <c r="W618" s="1"/>
      <c r="AB618" s="1">
        <f>[84]Tyree_etal_2003_Fig4!C9</f>
        <v>5.5385518580854705E-8</v>
      </c>
      <c r="AH618" s="5">
        <v>1.6441999999999998E-2</v>
      </c>
      <c r="AJ618" t="s">
        <v>47</v>
      </c>
    </row>
    <row r="619" spans="1:36" x14ac:dyDescent="0.25">
      <c r="A619" t="s">
        <v>270</v>
      </c>
      <c r="B619" t="s">
        <v>279</v>
      </c>
      <c r="C619" t="s">
        <v>280</v>
      </c>
      <c r="D619" t="s">
        <v>92</v>
      </c>
      <c r="E619" t="s">
        <v>19</v>
      </c>
      <c r="F619" s="8" t="s">
        <v>117</v>
      </c>
      <c r="G619" t="s">
        <v>602</v>
      </c>
      <c r="H619" t="s">
        <v>713</v>
      </c>
      <c r="I619">
        <f t="shared" si="86"/>
        <v>480</v>
      </c>
      <c r="J619" t="s">
        <v>481</v>
      </c>
      <c r="K619" t="s">
        <v>483</v>
      </c>
      <c r="L619" t="str">
        <f t="shared" si="85"/>
        <v>Stress</v>
      </c>
      <c r="Q619" t="s">
        <v>412</v>
      </c>
      <c r="R619" t="s">
        <v>709</v>
      </c>
      <c r="S619" t="s">
        <v>703</v>
      </c>
      <c r="T619" t="s">
        <v>615</v>
      </c>
      <c r="U619" s="1" t="s">
        <v>754</v>
      </c>
      <c r="V619" s="1">
        <f t="shared" si="87"/>
        <v>3.1275648846778615E-10</v>
      </c>
      <c r="W619" s="1"/>
      <c r="AB619" s="1">
        <f>[84]Tyree_etal_2003_Fig4!C10</f>
        <v>1.44460271809601E-8</v>
      </c>
      <c r="AH619" s="5">
        <v>2.1649999999999999E-2</v>
      </c>
      <c r="AJ619" t="s">
        <v>47</v>
      </c>
    </row>
    <row r="620" spans="1:36" x14ac:dyDescent="0.25">
      <c r="A620" t="s">
        <v>270</v>
      </c>
      <c r="B620" t="s">
        <v>281</v>
      </c>
      <c r="C620" t="s">
        <v>405</v>
      </c>
      <c r="D620" t="s">
        <v>282</v>
      </c>
      <c r="E620" t="s">
        <v>19</v>
      </c>
      <c r="F620" s="8" t="s">
        <v>117</v>
      </c>
      <c r="G620" t="s">
        <v>602</v>
      </c>
      <c r="H620" t="s">
        <v>713</v>
      </c>
      <c r="I620">
        <f t="shared" si="86"/>
        <v>480</v>
      </c>
      <c r="J620" t="s">
        <v>481</v>
      </c>
      <c r="K620" t="s">
        <v>483</v>
      </c>
      <c r="L620" t="str">
        <f t="shared" si="85"/>
        <v>Stress</v>
      </c>
      <c r="Q620" t="s">
        <v>412</v>
      </c>
      <c r="R620" t="s">
        <v>709</v>
      </c>
      <c r="S620" t="s">
        <v>703</v>
      </c>
      <c r="T620" t="s">
        <v>615</v>
      </c>
      <c r="U620" s="1" t="s">
        <v>754</v>
      </c>
      <c r="V620" s="1">
        <f t="shared" si="87"/>
        <v>5.2441835573718645E-11</v>
      </c>
      <c r="W620" s="1"/>
      <c r="AB620" s="1">
        <f>[84]Tyree_etal_2003_Fig4!C11</f>
        <v>1.9076695370577902E-8</v>
      </c>
      <c r="AH620" s="5">
        <v>2.7489999999999997E-3</v>
      </c>
      <c r="AJ620" t="s">
        <v>47</v>
      </c>
    </row>
    <row r="621" spans="1:36" x14ac:dyDescent="0.25">
      <c r="A621" t="s">
        <v>270</v>
      </c>
      <c r="B621" t="s">
        <v>271</v>
      </c>
      <c r="C621" t="s">
        <v>404</v>
      </c>
      <c r="D621" t="s">
        <v>272</v>
      </c>
      <c r="E621" t="s">
        <v>19</v>
      </c>
      <c r="F621" s="8" t="s">
        <v>117</v>
      </c>
      <c r="G621" t="s">
        <v>602</v>
      </c>
      <c r="H621" t="s">
        <v>713</v>
      </c>
      <c r="I621">
        <f t="shared" si="86"/>
        <v>480</v>
      </c>
      <c r="J621" t="s">
        <v>481</v>
      </c>
      <c r="K621" t="s">
        <v>39</v>
      </c>
      <c r="L621" t="str">
        <f t="shared" si="85"/>
        <v>Control</v>
      </c>
      <c r="Q621" t="s">
        <v>412</v>
      </c>
      <c r="R621" t="s">
        <v>709</v>
      </c>
      <c r="S621" t="s">
        <v>703</v>
      </c>
      <c r="T621" t="s">
        <v>615</v>
      </c>
      <c r="U621" s="1" t="s">
        <v>754</v>
      </c>
      <c r="V621" s="1">
        <f t="shared" si="87"/>
        <v>1.8807927105121298E-9</v>
      </c>
      <c r="W621" s="1"/>
      <c r="AB621" s="1">
        <f>[84]Tyree_etal_2003_Fig4!C12</f>
        <v>7.1464120013379808E-8</v>
      </c>
      <c r="AH621" s="5">
        <v>2.6318000000000001E-2</v>
      </c>
      <c r="AJ621" t="s">
        <v>47</v>
      </c>
    </row>
    <row r="622" spans="1:36" x14ac:dyDescent="0.25">
      <c r="A622" t="s">
        <v>270</v>
      </c>
      <c r="B622" t="s">
        <v>273</v>
      </c>
      <c r="C622" t="s">
        <v>274</v>
      </c>
      <c r="D622" t="s">
        <v>275</v>
      </c>
      <c r="E622" t="s">
        <v>19</v>
      </c>
      <c r="F622" s="8" t="s">
        <v>117</v>
      </c>
      <c r="G622" t="s">
        <v>602</v>
      </c>
      <c r="H622" t="s">
        <v>713</v>
      </c>
      <c r="I622">
        <f t="shared" si="86"/>
        <v>480</v>
      </c>
      <c r="J622" t="s">
        <v>481</v>
      </c>
      <c r="K622" t="s">
        <v>39</v>
      </c>
      <c r="L622" t="str">
        <f t="shared" si="85"/>
        <v>Control</v>
      </c>
      <c r="Q622" t="s">
        <v>412</v>
      </c>
      <c r="R622" t="s">
        <v>709</v>
      </c>
      <c r="S622" t="s">
        <v>703</v>
      </c>
      <c r="T622" t="s">
        <v>615</v>
      </c>
      <c r="U622" s="1" t="s">
        <v>754</v>
      </c>
      <c r="V622" s="1">
        <f t="shared" si="87"/>
        <v>2.7576386696610403E-10</v>
      </c>
      <c r="W622" s="1"/>
      <c r="AB622" s="1">
        <f>[84]Tyree_etal_2003_Fig4!C13</f>
        <v>1.6220449795076998E-8</v>
      </c>
      <c r="AH622" s="5">
        <v>1.7000999999999999E-2</v>
      </c>
      <c r="AJ622" t="s">
        <v>47</v>
      </c>
    </row>
    <row r="623" spans="1:36" x14ac:dyDescent="0.25">
      <c r="A623" t="s">
        <v>270</v>
      </c>
      <c r="B623" t="s">
        <v>276</v>
      </c>
      <c r="C623" t="s">
        <v>277</v>
      </c>
      <c r="D623" t="s">
        <v>278</v>
      </c>
      <c r="E623" t="s">
        <v>19</v>
      </c>
      <c r="F623" s="8" t="s">
        <v>117</v>
      </c>
      <c r="G623" t="s">
        <v>602</v>
      </c>
      <c r="H623" t="s">
        <v>713</v>
      </c>
      <c r="I623">
        <f t="shared" si="86"/>
        <v>480</v>
      </c>
      <c r="J623" t="s">
        <v>481</v>
      </c>
      <c r="K623" t="s">
        <v>39</v>
      </c>
      <c r="L623" t="str">
        <f t="shared" si="85"/>
        <v>Control</v>
      </c>
      <c r="Q623" t="s">
        <v>412</v>
      </c>
      <c r="R623" t="s">
        <v>709</v>
      </c>
      <c r="S623" t="s">
        <v>703</v>
      </c>
      <c r="T623" t="s">
        <v>615</v>
      </c>
      <c r="U623" s="1" t="s">
        <v>754</v>
      </c>
      <c r="V623" s="1">
        <f t="shared" si="87"/>
        <v>4.1420229940058221E-10</v>
      </c>
      <c r="W623" s="1"/>
      <c r="AB623" s="1">
        <f>[84]Tyree_etal_2003_Fig4!C14</f>
        <v>2.5191722381740801E-8</v>
      </c>
      <c r="AH623" s="5">
        <v>1.6441999999999998E-2</v>
      </c>
      <c r="AJ623" t="s">
        <v>47</v>
      </c>
    </row>
    <row r="624" spans="1:36" x14ac:dyDescent="0.25">
      <c r="A624" t="s">
        <v>270</v>
      </c>
      <c r="B624" t="s">
        <v>279</v>
      </c>
      <c r="C624" t="s">
        <v>280</v>
      </c>
      <c r="D624" t="s">
        <v>92</v>
      </c>
      <c r="E624" t="s">
        <v>19</v>
      </c>
      <c r="F624" s="8" t="s">
        <v>117</v>
      </c>
      <c r="G624" t="s">
        <v>602</v>
      </c>
      <c r="H624" t="s">
        <v>713</v>
      </c>
      <c r="I624">
        <f t="shared" si="86"/>
        <v>480</v>
      </c>
      <c r="J624" t="s">
        <v>481</v>
      </c>
      <c r="K624" t="s">
        <v>39</v>
      </c>
      <c r="L624" t="str">
        <f t="shared" si="85"/>
        <v>Control</v>
      </c>
      <c r="Q624" t="s">
        <v>412</v>
      </c>
      <c r="R624" t="s">
        <v>709</v>
      </c>
      <c r="S624" t="s">
        <v>703</v>
      </c>
      <c r="T624" t="s">
        <v>615</v>
      </c>
      <c r="U624" s="1" t="s">
        <v>754</v>
      </c>
      <c r="V624" s="1">
        <f t="shared" si="87"/>
        <v>2.1838936503566366E-10</v>
      </c>
      <c r="W624" s="1"/>
      <c r="AB624" s="1">
        <f>[84]Tyree_etal_2003_Fig4!C15</f>
        <v>1.00872685928713E-8</v>
      </c>
      <c r="AH624" s="5">
        <v>2.1649999999999999E-2</v>
      </c>
      <c r="AJ624" t="s">
        <v>47</v>
      </c>
    </row>
    <row r="625" spans="1:36" x14ac:dyDescent="0.25">
      <c r="A625" t="s">
        <v>270</v>
      </c>
      <c r="B625" t="s">
        <v>281</v>
      </c>
      <c r="C625" t="s">
        <v>405</v>
      </c>
      <c r="D625" t="s">
        <v>282</v>
      </c>
      <c r="E625" t="s">
        <v>19</v>
      </c>
      <c r="F625" s="8" t="s">
        <v>117</v>
      </c>
      <c r="G625" t="s">
        <v>602</v>
      </c>
      <c r="H625" t="s">
        <v>713</v>
      </c>
      <c r="I625">
        <f t="shared" si="86"/>
        <v>480</v>
      </c>
      <c r="J625" t="s">
        <v>481</v>
      </c>
      <c r="K625" t="s">
        <v>39</v>
      </c>
      <c r="L625" t="str">
        <f t="shared" si="85"/>
        <v>Control</v>
      </c>
      <c r="Q625" t="s">
        <v>412</v>
      </c>
      <c r="R625" t="s">
        <v>709</v>
      </c>
      <c r="S625" t="s">
        <v>703</v>
      </c>
      <c r="T625" t="s">
        <v>615</v>
      </c>
      <c r="U625" s="1" t="s">
        <v>754</v>
      </c>
      <c r="V625" s="1">
        <f t="shared" si="87"/>
        <v>6.0263623754156964E-11</v>
      </c>
      <c r="W625" s="1"/>
      <c r="AB625" s="1">
        <f>[84]Tyree_etal_2003_Fig4!C16</f>
        <v>2.19220166439276E-8</v>
      </c>
      <c r="AH625" s="5">
        <v>2.7489999999999997E-3</v>
      </c>
      <c r="AJ625" t="s">
        <v>47</v>
      </c>
    </row>
    <row r="626" spans="1:36" x14ac:dyDescent="0.25">
      <c r="A626" t="s">
        <v>270</v>
      </c>
      <c r="B626" t="s">
        <v>271</v>
      </c>
      <c r="C626" t="s">
        <v>404</v>
      </c>
      <c r="D626" t="s">
        <v>272</v>
      </c>
      <c r="E626" t="s">
        <v>19</v>
      </c>
      <c r="F626" s="8" t="s">
        <v>117</v>
      </c>
      <c r="G626" t="s">
        <v>602</v>
      </c>
      <c r="H626" t="s">
        <v>713</v>
      </c>
      <c r="I626">
        <f t="shared" si="86"/>
        <v>480</v>
      </c>
      <c r="J626" t="s">
        <v>481</v>
      </c>
      <c r="K626" t="s">
        <v>482</v>
      </c>
      <c r="L626" t="str">
        <f t="shared" si="85"/>
        <v>Stress</v>
      </c>
      <c r="Q626" t="s">
        <v>412</v>
      </c>
      <c r="R626" t="s">
        <v>709</v>
      </c>
      <c r="S626" t="s">
        <v>703</v>
      </c>
      <c r="T626" t="s">
        <v>615</v>
      </c>
      <c r="U626" s="1" t="s">
        <v>754</v>
      </c>
      <c r="V626" s="1">
        <f t="shared" si="87"/>
        <v>1.8165468089298383E-9</v>
      </c>
      <c r="W626" s="1"/>
      <c r="AB626" s="1">
        <f>[84]Tyree_etal_2003_Fig4!C17</f>
        <v>6.9022980808945901E-8</v>
      </c>
      <c r="AH626" s="5">
        <v>2.6318000000000001E-2</v>
      </c>
      <c r="AJ626" t="s">
        <v>47</v>
      </c>
    </row>
    <row r="627" spans="1:36" x14ac:dyDescent="0.25">
      <c r="A627" t="s">
        <v>270</v>
      </c>
      <c r="B627" t="s">
        <v>273</v>
      </c>
      <c r="C627" t="s">
        <v>274</v>
      </c>
      <c r="D627" t="s">
        <v>275</v>
      </c>
      <c r="E627" t="s">
        <v>19</v>
      </c>
      <c r="F627" s="8" t="s">
        <v>117</v>
      </c>
      <c r="G627" t="s">
        <v>602</v>
      </c>
      <c r="H627" t="s">
        <v>713</v>
      </c>
      <c r="I627">
        <f t="shared" si="86"/>
        <v>480</v>
      </c>
      <c r="J627" t="s">
        <v>481</v>
      </c>
      <c r="K627" t="s">
        <v>482</v>
      </c>
      <c r="L627" t="str">
        <f t="shared" si="85"/>
        <v>Stress</v>
      </c>
      <c r="Q627" t="s">
        <v>412</v>
      </c>
      <c r="R627" t="s">
        <v>709</v>
      </c>
      <c r="S627" t="s">
        <v>703</v>
      </c>
      <c r="T627" t="s">
        <v>615</v>
      </c>
      <c r="U627" s="1" t="s">
        <v>754</v>
      </c>
      <c r="V627" s="1">
        <f t="shared" si="87"/>
        <v>2.9220967628737067E-10</v>
      </c>
      <c r="W627" s="1"/>
      <c r="AB627" s="1">
        <f>[84]Tyree_etal_2003_Fig4!C18</f>
        <v>1.7187793440819403E-8</v>
      </c>
      <c r="AH627" s="5">
        <v>1.7000999999999999E-2</v>
      </c>
      <c r="AJ627" t="s">
        <v>47</v>
      </c>
    </row>
    <row r="628" spans="1:36" x14ac:dyDescent="0.25">
      <c r="A628" t="s">
        <v>270</v>
      </c>
      <c r="B628" t="s">
        <v>276</v>
      </c>
      <c r="C628" t="s">
        <v>277</v>
      </c>
      <c r="D628" t="s">
        <v>278</v>
      </c>
      <c r="E628" t="s">
        <v>19</v>
      </c>
      <c r="F628" s="8" t="s">
        <v>117</v>
      </c>
      <c r="G628" t="s">
        <v>602</v>
      </c>
      <c r="H628" t="s">
        <v>713</v>
      </c>
      <c r="I628">
        <f t="shared" si="86"/>
        <v>480</v>
      </c>
      <c r="J628" t="s">
        <v>481</v>
      </c>
      <c r="K628" t="s">
        <v>482</v>
      </c>
      <c r="L628" t="str">
        <f t="shared" si="85"/>
        <v>Stress</v>
      </c>
      <c r="Q628" t="s">
        <v>412</v>
      </c>
      <c r="R628" t="s">
        <v>709</v>
      </c>
      <c r="S628" t="s">
        <v>703</v>
      </c>
      <c r="T628" t="s">
        <v>615</v>
      </c>
      <c r="U628" s="1" t="s">
        <v>754</v>
      </c>
      <c r="V628" s="1">
        <f t="shared" si="87"/>
        <v>4.0005358433287896E-10</v>
      </c>
      <c r="W628" s="1"/>
      <c r="AB628" s="1">
        <f>[84]Tyree_etal_2003_Fig4!C19</f>
        <v>2.4331199630998602E-8</v>
      </c>
      <c r="AH628" s="5">
        <v>1.6441999999999998E-2</v>
      </c>
      <c r="AJ628" t="s">
        <v>47</v>
      </c>
    </row>
    <row r="629" spans="1:36" x14ac:dyDescent="0.25">
      <c r="A629" t="s">
        <v>270</v>
      </c>
      <c r="B629" t="s">
        <v>279</v>
      </c>
      <c r="C629" t="s">
        <v>280</v>
      </c>
      <c r="D629" t="s">
        <v>92</v>
      </c>
      <c r="E629" t="s">
        <v>19</v>
      </c>
      <c r="F629" s="8" t="s">
        <v>117</v>
      </c>
      <c r="G629" t="s">
        <v>602</v>
      </c>
      <c r="H629" t="s">
        <v>713</v>
      </c>
      <c r="I629">
        <f t="shared" si="86"/>
        <v>480</v>
      </c>
      <c r="J629" t="s">
        <v>481</v>
      </c>
      <c r="K629" t="s">
        <v>482</v>
      </c>
      <c r="L629" t="str">
        <f t="shared" si="85"/>
        <v>Stress</v>
      </c>
      <c r="Q629" t="s">
        <v>412</v>
      </c>
      <c r="R629" t="s">
        <v>709</v>
      </c>
      <c r="S629" t="s">
        <v>703</v>
      </c>
      <c r="T629" t="s">
        <v>615</v>
      </c>
      <c r="U629" s="1" t="s">
        <v>754</v>
      </c>
      <c r="V629" s="1">
        <f t="shared" si="87"/>
        <v>3.0915400841100873E-10</v>
      </c>
      <c r="W629" s="1"/>
      <c r="AB629" s="1">
        <f>[84]Tyree_etal_2003_Fig4!C20</f>
        <v>1.4279630873487701E-8</v>
      </c>
      <c r="AH629" s="5">
        <v>2.1649999999999999E-2</v>
      </c>
      <c r="AJ629" t="s">
        <v>47</v>
      </c>
    </row>
    <row r="630" spans="1:36" x14ac:dyDescent="0.25">
      <c r="A630" t="s">
        <v>270</v>
      </c>
      <c r="B630" t="s">
        <v>281</v>
      </c>
      <c r="C630" t="s">
        <v>405</v>
      </c>
      <c r="D630" t="s">
        <v>282</v>
      </c>
      <c r="E630" t="s">
        <v>19</v>
      </c>
      <c r="F630" s="8" t="s">
        <v>117</v>
      </c>
      <c r="G630" t="s">
        <v>602</v>
      </c>
      <c r="H630" t="s">
        <v>713</v>
      </c>
      <c r="I630">
        <f t="shared" si="86"/>
        <v>480</v>
      </c>
      <c r="J630" t="s">
        <v>481</v>
      </c>
      <c r="K630" t="s">
        <v>482</v>
      </c>
      <c r="L630" t="str">
        <f t="shared" si="85"/>
        <v>Stress</v>
      </c>
      <c r="Q630" t="s">
        <v>412</v>
      </c>
      <c r="R630" t="s">
        <v>709</v>
      </c>
      <c r="S630" t="s">
        <v>703</v>
      </c>
      <c r="T630" t="s">
        <v>615</v>
      </c>
      <c r="U630" s="1" t="s">
        <v>754</v>
      </c>
      <c r="V630" s="1">
        <f t="shared" si="87"/>
        <v>3.1498816520297474E-11</v>
      </c>
      <c r="W630" s="1"/>
      <c r="AB630" s="1">
        <f>[84]Tyree_etal_2003_Fig4!C21</f>
        <v>1.1458281746197701E-8</v>
      </c>
      <c r="AH630" s="5">
        <v>2.7489999999999997E-3</v>
      </c>
      <c r="AJ630" t="s">
        <v>47</v>
      </c>
    </row>
    <row r="631" spans="1:36" x14ac:dyDescent="0.25">
      <c r="A631" t="s">
        <v>270</v>
      </c>
      <c r="B631" t="s">
        <v>271</v>
      </c>
      <c r="C631" t="s">
        <v>404</v>
      </c>
      <c r="D631" t="s">
        <v>272</v>
      </c>
      <c r="E631" t="s">
        <v>19</v>
      </c>
      <c r="F631" s="8" t="s">
        <v>117</v>
      </c>
      <c r="G631" t="s">
        <v>602</v>
      </c>
      <c r="H631" t="s">
        <v>713</v>
      </c>
      <c r="I631">
        <f t="shared" si="86"/>
        <v>480</v>
      </c>
      <c r="J631" t="s">
        <v>481</v>
      </c>
      <c r="K631" t="s">
        <v>484</v>
      </c>
      <c r="L631" t="str">
        <f t="shared" si="85"/>
        <v>Stress</v>
      </c>
      <c r="Q631" t="s">
        <v>412</v>
      </c>
      <c r="R631" t="s">
        <v>709</v>
      </c>
      <c r="S631" t="s">
        <v>703</v>
      </c>
      <c r="T631" t="s">
        <v>615</v>
      </c>
      <c r="U631" s="1"/>
      <c r="V631" s="1"/>
      <c r="W631" s="1"/>
      <c r="AJ631" t="s">
        <v>47</v>
      </c>
    </row>
    <row r="632" spans="1:36" x14ac:dyDescent="0.25">
      <c r="A632" t="s">
        <v>270</v>
      </c>
      <c r="B632" t="s">
        <v>273</v>
      </c>
      <c r="C632" t="s">
        <v>274</v>
      </c>
      <c r="D632" t="s">
        <v>275</v>
      </c>
      <c r="E632" t="s">
        <v>19</v>
      </c>
      <c r="F632" s="8" t="s">
        <v>117</v>
      </c>
      <c r="G632" t="s">
        <v>602</v>
      </c>
      <c r="H632" t="s">
        <v>713</v>
      </c>
      <c r="I632">
        <f t="shared" si="86"/>
        <v>480</v>
      </c>
      <c r="J632" t="s">
        <v>481</v>
      </c>
      <c r="K632" t="s">
        <v>484</v>
      </c>
      <c r="L632" t="str">
        <f t="shared" si="85"/>
        <v>Stress</v>
      </c>
      <c r="Q632" t="s">
        <v>412</v>
      </c>
      <c r="R632" t="s">
        <v>709</v>
      </c>
      <c r="S632" t="s">
        <v>703</v>
      </c>
      <c r="T632" t="s">
        <v>615</v>
      </c>
      <c r="U632" s="1" t="s">
        <v>754</v>
      </c>
      <c r="V632" s="1">
        <f t="shared" ref="V632:V635" si="88">+AB632*AH632</f>
        <v>2.8068828865792662E-10</v>
      </c>
      <c r="W632" s="1"/>
      <c r="AB632" s="1">
        <f>[84]Tyree_etal_2003_Fig4!C23</f>
        <v>1.6510104620782698E-8</v>
      </c>
      <c r="AH632" s="5">
        <v>1.7000999999999999E-2</v>
      </c>
      <c r="AJ632" t="s">
        <v>47</v>
      </c>
    </row>
    <row r="633" spans="1:36" x14ac:dyDescent="0.25">
      <c r="A633" t="s">
        <v>270</v>
      </c>
      <c r="B633" t="s">
        <v>276</v>
      </c>
      <c r="C633" t="s">
        <v>277</v>
      </c>
      <c r="D633" t="s">
        <v>278</v>
      </c>
      <c r="E633" t="s">
        <v>19</v>
      </c>
      <c r="F633" s="8" t="s">
        <v>117</v>
      </c>
      <c r="G633" t="s">
        <v>602</v>
      </c>
      <c r="H633" t="s">
        <v>713</v>
      </c>
      <c r="I633">
        <f t="shared" si="86"/>
        <v>480</v>
      </c>
      <c r="J633" t="s">
        <v>481</v>
      </c>
      <c r="K633" t="s">
        <v>484</v>
      </c>
      <c r="L633" t="str">
        <f t="shared" si="85"/>
        <v>Stress</v>
      </c>
      <c r="Q633" t="s">
        <v>412</v>
      </c>
      <c r="R633" t="s">
        <v>709</v>
      </c>
      <c r="S633" t="s">
        <v>703</v>
      </c>
      <c r="T633" t="s">
        <v>615</v>
      </c>
      <c r="U633" s="1" t="s">
        <v>754</v>
      </c>
      <c r="V633" s="1">
        <f t="shared" si="88"/>
        <v>5.8767097103145905E-10</v>
      </c>
      <c r="W633" s="1"/>
      <c r="AB633" s="1">
        <f>[84]Tyree_etal_2003_Fig4!C24</f>
        <v>3.57420612475039E-8</v>
      </c>
      <c r="AH633" s="5">
        <v>1.6441999999999998E-2</v>
      </c>
      <c r="AJ633" t="s">
        <v>47</v>
      </c>
    </row>
    <row r="634" spans="1:36" x14ac:dyDescent="0.25">
      <c r="A634" t="s">
        <v>270</v>
      </c>
      <c r="B634" t="s">
        <v>279</v>
      </c>
      <c r="C634" t="s">
        <v>280</v>
      </c>
      <c r="D634" t="s">
        <v>92</v>
      </c>
      <c r="E634" t="s">
        <v>19</v>
      </c>
      <c r="F634" s="8" t="s">
        <v>117</v>
      </c>
      <c r="G634" t="s">
        <v>602</v>
      </c>
      <c r="H634" t="s">
        <v>713</v>
      </c>
      <c r="I634">
        <f t="shared" si="86"/>
        <v>480</v>
      </c>
      <c r="J634" t="s">
        <v>481</v>
      </c>
      <c r="K634" t="s">
        <v>484</v>
      </c>
      <c r="L634" t="str">
        <f t="shared" si="85"/>
        <v>Stress</v>
      </c>
      <c r="Q634" t="s">
        <v>412</v>
      </c>
      <c r="R634" t="s">
        <v>709</v>
      </c>
      <c r="S634" t="s">
        <v>703</v>
      </c>
      <c r="T634" t="s">
        <v>615</v>
      </c>
      <c r="U634" s="1" t="s">
        <v>754</v>
      </c>
      <c r="V634" s="1">
        <f t="shared" si="88"/>
        <v>2.8079277122358888E-10</v>
      </c>
      <c r="W634" s="1"/>
      <c r="AB634" s="1">
        <f>[84]Tyree_etal_2003_Fig4!C25</f>
        <v>1.2969643012636899E-8</v>
      </c>
      <c r="AH634" s="5">
        <v>2.1649999999999999E-2</v>
      </c>
      <c r="AJ634" t="s">
        <v>47</v>
      </c>
    </row>
    <row r="635" spans="1:36" x14ac:dyDescent="0.25">
      <c r="A635" t="s">
        <v>270</v>
      </c>
      <c r="B635" t="s">
        <v>281</v>
      </c>
      <c r="C635" t="s">
        <v>405</v>
      </c>
      <c r="D635" t="s">
        <v>282</v>
      </c>
      <c r="E635" t="s">
        <v>19</v>
      </c>
      <c r="F635" s="8" t="s">
        <v>117</v>
      </c>
      <c r="G635" t="s">
        <v>602</v>
      </c>
      <c r="H635" t="s">
        <v>713</v>
      </c>
      <c r="I635">
        <f t="shared" si="86"/>
        <v>480</v>
      </c>
      <c r="J635" t="s">
        <v>481</v>
      </c>
      <c r="K635" t="s">
        <v>484</v>
      </c>
      <c r="L635" t="str">
        <f t="shared" si="85"/>
        <v>Stress</v>
      </c>
      <c r="Q635" t="s">
        <v>412</v>
      </c>
      <c r="R635" t="s">
        <v>709</v>
      </c>
      <c r="S635" t="s">
        <v>703</v>
      </c>
      <c r="T635" t="s">
        <v>615</v>
      </c>
      <c r="U635" s="1" t="s">
        <v>754</v>
      </c>
      <c r="V635" s="1">
        <f t="shared" si="88"/>
        <v>2.4037750185157212E-11</v>
      </c>
      <c r="W635" s="1"/>
      <c r="AB635" s="1">
        <f>[84]Tyree_etal_2003_Fig4!C26</f>
        <v>8.7441797690641017E-9</v>
      </c>
      <c r="AH635" s="5">
        <v>2.7489999999999997E-3</v>
      </c>
      <c r="AJ635" t="s">
        <v>47</v>
      </c>
    </row>
    <row r="636" spans="1:36" x14ac:dyDescent="0.25">
      <c r="A636" t="s">
        <v>386</v>
      </c>
      <c r="B636" t="s">
        <v>387</v>
      </c>
      <c r="C636" t="s">
        <v>388</v>
      </c>
      <c r="D636" t="s">
        <v>389</v>
      </c>
      <c r="E636" t="s">
        <v>19</v>
      </c>
      <c r="F636" s="8" t="s">
        <v>25</v>
      </c>
      <c r="G636" t="s">
        <v>625</v>
      </c>
      <c r="H636" t="s">
        <v>713</v>
      </c>
      <c r="J636" t="s">
        <v>778</v>
      </c>
      <c r="Q636" t="s">
        <v>412</v>
      </c>
      <c r="R636" t="s">
        <v>709</v>
      </c>
      <c r="S636" t="s">
        <v>703</v>
      </c>
      <c r="T636" t="s">
        <v>615</v>
      </c>
      <c r="U636" s="1"/>
      <c r="V636" s="1"/>
      <c r="W636" s="1"/>
      <c r="Y636" s="1">
        <v>1.88E-10</v>
      </c>
      <c r="AA636" s="1">
        <v>1.1999999999999999E-7</v>
      </c>
      <c r="AG636" s="2">
        <v>0.5</v>
      </c>
      <c r="AJ636" t="s">
        <v>47</v>
      </c>
    </row>
    <row r="637" spans="1:36" x14ac:dyDescent="0.25">
      <c r="A637" t="s">
        <v>386</v>
      </c>
      <c r="B637" t="s">
        <v>53</v>
      </c>
      <c r="C637" t="s">
        <v>54</v>
      </c>
      <c r="D637" t="s">
        <v>18</v>
      </c>
      <c r="E637" t="s">
        <v>31</v>
      </c>
      <c r="F637" t="s">
        <v>32</v>
      </c>
      <c r="G637" t="s">
        <v>32</v>
      </c>
      <c r="H637" t="s">
        <v>712</v>
      </c>
      <c r="J637" t="s">
        <v>778</v>
      </c>
      <c r="Q637" t="s">
        <v>412</v>
      </c>
      <c r="R637" t="s">
        <v>709</v>
      </c>
      <c r="S637" t="s">
        <v>703</v>
      </c>
      <c r="T637" t="s">
        <v>615</v>
      </c>
      <c r="U637" s="1"/>
      <c r="V637" s="1"/>
      <c r="W637" s="1"/>
      <c r="Y637" s="1">
        <v>1.2500000000000001E-10</v>
      </c>
      <c r="AA637" s="1">
        <v>8.0000000000000002E-8</v>
      </c>
      <c r="AG637" s="2">
        <v>0.5</v>
      </c>
      <c r="AJ637" t="s">
        <v>47</v>
      </c>
    </row>
    <row r="638" spans="1:36" x14ac:dyDescent="0.25">
      <c r="A638" t="s">
        <v>130</v>
      </c>
      <c r="B638" t="s">
        <v>56</v>
      </c>
      <c r="C638" t="s">
        <v>57</v>
      </c>
      <c r="D638" t="s">
        <v>18</v>
      </c>
      <c r="E638" t="s">
        <v>19</v>
      </c>
      <c r="F638" t="s">
        <v>20</v>
      </c>
      <c r="G638" t="s">
        <v>20</v>
      </c>
      <c r="H638" t="s">
        <v>712</v>
      </c>
      <c r="I638">
        <f>+AVERAGE(31,40)</f>
        <v>35.5</v>
      </c>
      <c r="J638" t="s">
        <v>766</v>
      </c>
      <c r="K638" t="s">
        <v>430</v>
      </c>
      <c r="L638" t="s">
        <v>716</v>
      </c>
      <c r="Q638" t="s">
        <v>412</v>
      </c>
      <c r="R638" t="s">
        <v>709</v>
      </c>
      <c r="S638" t="s">
        <v>703</v>
      </c>
      <c r="T638" t="s">
        <v>615</v>
      </c>
      <c r="U638" s="1" t="s">
        <v>754</v>
      </c>
      <c r="V638" s="1">
        <f t="shared" ref="V638:V641" si="89">+AA638*AC638/10000</f>
        <v>9.5999999999999999E-10</v>
      </c>
      <c r="W638" s="1"/>
      <c r="X638" s="1"/>
      <c r="Y638" s="1"/>
      <c r="Z638" s="1"/>
      <c r="AA638" s="1">
        <v>4.0000000000000001E-8</v>
      </c>
      <c r="AC638">
        <f>+AVERAGE(1.8,3)*100</f>
        <v>240</v>
      </c>
      <c r="AE638" s="2"/>
      <c r="AF638" s="2"/>
      <c r="AJ638" t="s">
        <v>203</v>
      </c>
    </row>
    <row r="639" spans="1:36" x14ac:dyDescent="0.25">
      <c r="A639" t="s">
        <v>130</v>
      </c>
      <c r="B639" t="s">
        <v>56</v>
      </c>
      <c r="C639" t="s">
        <v>57</v>
      </c>
      <c r="D639" t="s">
        <v>18</v>
      </c>
      <c r="E639" t="s">
        <v>19</v>
      </c>
      <c r="F639" t="s">
        <v>20</v>
      </c>
      <c r="G639" t="s">
        <v>20</v>
      </c>
      <c r="H639" t="s">
        <v>712</v>
      </c>
      <c r="I639">
        <f>+AVERAGE(31,40)</f>
        <v>35.5</v>
      </c>
      <c r="J639" t="s">
        <v>766</v>
      </c>
      <c r="K639" t="s">
        <v>426</v>
      </c>
      <c r="L639" t="s">
        <v>716</v>
      </c>
      <c r="Q639" t="s">
        <v>412</v>
      </c>
      <c r="R639" t="s">
        <v>709</v>
      </c>
      <c r="S639" t="s">
        <v>703</v>
      </c>
      <c r="T639" t="s">
        <v>615</v>
      </c>
      <c r="U639" s="1" t="s">
        <v>754</v>
      </c>
      <c r="V639" s="1">
        <f t="shared" si="89"/>
        <v>1.2739999999999999E-9</v>
      </c>
      <c r="W639" s="1"/>
      <c r="X639" s="1"/>
      <c r="Y639" s="1"/>
      <c r="Z639" s="1"/>
      <c r="AA639" s="1">
        <v>2.7999999999999999E-8</v>
      </c>
      <c r="AC639">
        <f>+AVERAGE(2.3,6.8)*100</f>
        <v>455</v>
      </c>
      <c r="AE639" s="2"/>
      <c r="AF639" s="2"/>
      <c r="AJ639" t="s">
        <v>203</v>
      </c>
    </row>
    <row r="640" spans="1:36" x14ac:dyDescent="0.25">
      <c r="A640" t="s">
        <v>130</v>
      </c>
      <c r="B640" t="s">
        <v>56</v>
      </c>
      <c r="C640" t="s">
        <v>57</v>
      </c>
      <c r="D640" t="s">
        <v>18</v>
      </c>
      <c r="E640" t="s">
        <v>19</v>
      </c>
      <c r="F640" t="s">
        <v>20</v>
      </c>
      <c r="G640" t="s">
        <v>20</v>
      </c>
      <c r="H640" t="s">
        <v>712</v>
      </c>
      <c r="I640">
        <f>+AVERAGE(31,40)</f>
        <v>35.5</v>
      </c>
      <c r="J640" t="s">
        <v>766</v>
      </c>
      <c r="K640" t="s">
        <v>430</v>
      </c>
      <c r="L640" t="s">
        <v>716</v>
      </c>
      <c r="Q640" t="s">
        <v>412</v>
      </c>
      <c r="R640" t="s">
        <v>709</v>
      </c>
      <c r="S640" t="s">
        <v>703</v>
      </c>
      <c r="T640" t="s">
        <v>616</v>
      </c>
      <c r="U640" s="1" t="s">
        <v>754</v>
      </c>
      <c r="V640" s="1">
        <f t="shared" si="89"/>
        <v>7.4400000000000002E-10</v>
      </c>
      <c r="W640" s="1"/>
      <c r="X640" s="1"/>
      <c r="Y640" s="1"/>
      <c r="Z640" s="1"/>
      <c r="AA640" s="1">
        <v>3.1E-8</v>
      </c>
      <c r="AC640">
        <f>+AVERAGE(1.8,3)*100</f>
        <v>240</v>
      </c>
      <c r="AE640" s="2"/>
      <c r="AF640" s="2"/>
      <c r="AJ640" t="s">
        <v>352</v>
      </c>
    </row>
    <row r="641" spans="1:36" x14ac:dyDescent="0.25">
      <c r="A641" t="s">
        <v>130</v>
      </c>
      <c r="B641" t="s">
        <v>56</v>
      </c>
      <c r="C641" t="s">
        <v>57</v>
      </c>
      <c r="D641" t="s">
        <v>18</v>
      </c>
      <c r="E641" t="s">
        <v>19</v>
      </c>
      <c r="F641" t="s">
        <v>20</v>
      </c>
      <c r="G641" t="s">
        <v>20</v>
      </c>
      <c r="H641" t="s">
        <v>712</v>
      </c>
      <c r="I641">
        <f>+AVERAGE(31,40)</f>
        <v>35.5</v>
      </c>
      <c r="J641" t="s">
        <v>766</v>
      </c>
      <c r="K641" t="s">
        <v>426</v>
      </c>
      <c r="L641" t="s">
        <v>716</v>
      </c>
      <c r="Q641" t="s">
        <v>412</v>
      </c>
      <c r="R641" t="s">
        <v>709</v>
      </c>
      <c r="S641" t="s">
        <v>703</v>
      </c>
      <c r="T641" t="s">
        <v>616</v>
      </c>
      <c r="U641" s="1" t="s">
        <v>754</v>
      </c>
      <c r="V641" s="1">
        <f t="shared" si="89"/>
        <v>1.092E-9</v>
      </c>
      <c r="W641" s="1"/>
      <c r="X641" s="1"/>
      <c r="Y641" s="1"/>
      <c r="Z641" s="1"/>
      <c r="AA641" s="1">
        <v>2.4E-8</v>
      </c>
      <c r="AC641">
        <f>+AVERAGE(2.3,6.8)*100</f>
        <v>455</v>
      </c>
      <c r="AE641" s="2"/>
      <c r="AF641" s="2"/>
      <c r="AJ641" t="s">
        <v>352</v>
      </c>
    </row>
    <row r="642" spans="1:36" x14ac:dyDescent="0.25">
      <c r="A642" t="s">
        <v>330</v>
      </c>
      <c r="B642" t="s">
        <v>356</v>
      </c>
      <c r="C642" t="s">
        <v>302</v>
      </c>
      <c r="D642" t="s">
        <v>36</v>
      </c>
      <c r="E642" t="s">
        <v>19</v>
      </c>
      <c r="F642" t="s">
        <v>37</v>
      </c>
      <c r="G642" t="s">
        <v>622</v>
      </c>
      <c r="H642" t="s">
        <v>714</v>
      </c>
      <c r="I642">
        <f t="shared" ref="I642:I650" si="90">6*7</f>
        <v>42</v>
      </c>
      <c r="J642" t="s">
        <v>743</v>
      </c>
      <c r="K642" t="s">
        <v>737</v>
      </c>
      <c r="L642" t="str">
        <f t="shared" ref="L642:L650" si="91">+IF(K642 = "Control", "Control", "Stress")</f>
        <v>Stress</v>
      </c>
      <c r="Q642" t="s">
        <v>412</v>
      </c>
      <c r="R642" t="s">
        <v>709</v>
      </c>
      <c r="S642" t="s">
        <v>703</v>
      </c>
      <c r="T642" t="s">
        <v>616</v>
      </c>
      <c r="U642" s="1"/>
      <c r="V642" s="1"/>
      <c r="W642" s="1">
        <f>[85]Navarro_etal_2003_Fig4c!C2</f>
        <v>1.5593491696093057E-10</v>
      </c>
      <c r="AJ642" t="s">
        <v>352</v>
      </c>
    </row>
    <row r="643" spans="1:36" x14ac:dyDescent="0.25">
      <c r="A643" t="s">
        <v>330</v>
      </c>
      <c r="B643" t="s">
        <v>356</v>
      </c>
      <c r="C643" t="s">
        <v>302</v>
      </c>
      <c r="D643" t="s">
        <v>36</v>
      </c>
      <c r="E643" t="s">
        <v>19</v>
      </c>
      <c r="F643" t="s">
        <v>37</v>
      </c>
      <c r="G643" t="s">
        <v>622</v>
      </c>
      <c r="H643" t="s">
        <v>714</v>
      </c>
      <c r="I643">
        <f t="shared" si="90"/>
        <v>42</v>
      </c>
      <c r="J643" t="s">
        <v>84</v>
      </c>
      <c r="K643" t="s">
        <v>737</v>
      </c>
      <c r="L643" t="str">
        <f t="shared" si="91"/>
        <v>Stress</v>
      </c>
      <c r="Q643" t="s">
        <v>412</v>
      </c>
      <c r="R643" t="s">
        <v>709</v>
      </c>
      <c r="S643" t="s">
        <v>703</v>
      </c>
      <c r="T643" t="s">
        <v>616</v>
      </c>
      <c r="U643" s="1"/>
      <c r="V643" s="1"/>
      <c r="W643" s="1">
        <f>[85]Navarro_etal_2003_Fig4c!C3</f>
        <v>8.5137757694971114E-11</v>
      </c>
      <c r="AJ643" t="s">
        <v>352</v>
      </c>
    </row>
    <row r="644" spans="1:36" x14ac:dyDescent="0.25">
      <c r="A644" t="s">
        <v>330</v>
      </c>
      <c r="B644" t="s">
        <v>356</v>
      </c>
      <c r="C644" t="s">
        <v>302</v>
      </c>
      <c r="D644" t="s">
        <v>36</v>
      </c>
      <c r="E644" t="s">
        <v>19</v>
      </c>
      <c r="F644" t="s">
        <v>37</v>
      </c>
      <c r="G644" t="s">
        <v>622</v>
      </c>
      <c r="H644" t="s">
        <v>714</v>
      </c>
      <c r="I644">
        <f t="shared" si="90"/>
        <v>42</v>
      </c>
      <c r="J644" t="s">
        <v>84</v>
      </c>
      <c r="K644" t="s">
        <v>737</v>
      </c>
      <c r="L644" t="str">
        <f t="shared" si="91"/>
        <v>Stress</v>
      </c>
      <c r="Q644" t="s">
        <v>412</v>
      </c>
      <c r="R644" t="s">
        <v>709</v>
      </c>
      <c r="S644" t="s">
        <v>703</v>
      </c>
      <c r="T644" t="s">
        <v>616</v>
      </c>
      <c r="U644" s="1"/>
      <c r="V644" s="1"/>
      <c r="W644" s="1">
        <f>[85]Navarro_etal_2003_Fig4c!C4</f>
        <v>6.4664354686236667E-11</v>
      </c>
      <c r="AJ644" t="s">
        <v>352</v>
      </c>
    </row>
    <row r="645" spans="1:36" x14ac:dyDescent="0.25">
      <c r="A645" t="s">
        <v>330</v>
      </c>
      <c r="B645" t="s">
        <v>356</v>
      </c>
      <c r="C645" t="s">
        <v>302</v>
      </c>
      <c r="D645" t="s">
        <v>36</v>
      </c>
      <c r="E645" t="s">
        <v>19</v>
      </c>
      <c r="F645" t="s">
        <v>37</v>
      </c>
      <c r="G645" t="s">
        <v>622</v>
      </c>
      <c r="H645" t="s">
        <v>714</v>
      </c>
      <c r="I645">
        <f t="shared" si="90"/>
        <v>42</v>
      </c>
      <c r="J645" t="s">
        <v>84</v>
      </c>
      <c r="K645" t="s">
        <v>737</v>
      </c>
      <c r="L645" t="str">
        <f t="shared" si="91"/>
        <v>Stress</v>
      </c>
      <c r="Q645" t="s">
        <v>412</v>
      </c>
      <c r="R645" t="s">
        <v>709</v>
      </c>
      <c r="S645" t="s">
        <v>703</v>
      </c>
      <c r="T645" t="s">
        <v>616</v>
      </c>
      <c r="U645" s="1"/>
      <c r="V645" s="1"/>
      <c r="W645" s="1">
        <f>[85]Navarro_etal_2003_Fig4c!C5</f>
        <v>3.9411629946202784E-11</v>
      </c>
      <c r="AJ645" t="s">
        <v>352</v>
      </c>
    </row>
    <row r="646" spans="1:36" x14ac:dyDescent="0.25">
      <c r="A646" t="s">
        <v>330</v>
      </c>
      <c r="B646" t="s">
        <v>356</v>
      </c>
      <c r="C646" t="s">
        <v>302</v>
      </c>
      <c r="D646" t="s">
        <v>36</v>
      </c>
      <c r="E646" t="s">
        <v>19</v>
      </c>
      <c r="F646" t="s">
        <v>37</v>
      </c>
      <c r="G646" t="s">
        <v>622</v>
      </c>
      <c r="H646" t="s">
        <v>714</v>
      </c>
      <c r="I646">
        <f t="shared" si="90"/>
        <v>42</v>
      </c>
      <c r="J646" t="s">
        <v>84</v>
      </c>
      <c r="K646" t="s">
        <v>744</v>
      </c>
      <c r="L646" t="str">
        <f t="shared" si="91"/>
        <v>Stress</v>
      </c>
      <c r="Q646" t="s">
        <v>412</v>
      </c>
      <c r="R646" t="s">
        <v>709</v>
      </c>
      <c r="S646" t="s">
        <v>703</v>
      </c>
      <c r="T646" t="s">
        <v>616</v>
      </c>
      <c r="U646" s="1"/>
      <c r="V646" s="1"/>
      <c r="W646" s="1">
        <f>[85]Navarro_etal_2003_Fig4c!C6</f>
        <v>1.5593360034337361E-10</v>
      </c>
      <c r="AJ646" t="s">
        <v>352</v>
      </c>
    </row>
    <row r="647" spans="1:36" x14ac:dyDescent="0.25">
      <c r="A647" t="s">
        <v>330</v>
      </c>
      <c r="B647" t="s">
        <v>356</v>
      </c>
      <c r="C647" t="s">
        <v>302</v>
      </c>
      <c r="D647" t="s">
        <v>36</v>
      </c>
      <c r="E647" t="s">
        <v>19</v>
      </c>
      <c r="F647" t="s">
        <v>37</v>
      </c>
      <c r="G647" t="s">
        <v>622</v>
      </c>
      <c r="H647" t="s">
        <v>714</v>
      </c>
      <c r="I647">
        <f t="shared" si="90"/>
        <v>42</v>
      </c>
      <c r="J647" t="s">
        <v>84</v>
      </c>
      <c r="K647" t="s">
        <v>744</v>
      </c>
      <c r="L647" t="str">
        <f t="shared" si="91"/>
        <v>Stress</v>
      </c>
      <c r="Q647" t="s">
        <v>412</v>
      </c>
      <c r="R647" t="s">
        <v>709</v>
      </c>
      <c r="S647" t="s">
        <v>703</v>
      </c>
      <c r="T647" t="s">
        <v>616</v>
      </c>
      <c r="U647" s="1"/>
      <c r="V647" s="1"/>
      <c r="W647" s="1">
        <f>[85]Navarro_etal_2003_Fig4c!C7</f>
        <v>9.5419224196270556E-11</v>
      </c>
      <c r="AJ647" t="s">
        <v>352</v>
      </c>
    </row>
    <row r="648" spans="1:36" x14ac:dyDescent="0.25">
      <c r="A648" t="s">
        <v>330</v>
      </c>
      <c r="B648" t="s">
        <v>356</v>
      </c>
      <c r="C648" t="s">
        <v>302</v>
      </c>
      <c r="D648" t="s">
        <v>36</v>
      </c>
      <c r="E648" t="s">
        <v>19</v>
      </c>
      <c r="F648" t="s">
        <v>37</v>
      </c>
      <c r="G648" t="s">
        <v>622</v>
      </c>
      <c r="H648" t="s">
        <v>714</v>
      </c>
      <c r="I648">
        <f t="shared" si="90"/>
        <v>42</v>
      </c>
      <c r="J648" t="s">
        <v>84</v>
      </c>
      <c r="K648" t="s">
        <v>744</v>
      </c>
      <c r="L648" t="str">
        <f t="shared" si="91"/>
        <v>Stress</v>
      </c>
      <c r="Q648" t="s">
        <v>412</v>
      </c>
      <c r="R648" t="s">
        <v>709</v>
      </c>
      <c r="S648" t="s">
        <v>703</v>
      </c>
      <c r="T648" t="s">
        <v>616</v>
      </c>
      <c r="U648" s="1"/>
      <c r="V648" s="1"/>
      <c r="W648" s="1">
        <f>[85]Navarro_etal_2003_Fig4c!C8</f>
        <v>7.2782618541661393E-11</v>
      </c>
      <c r="AJ648" t="s">
        <v>352</v>
      </c>
    </row>
    <row r="649" spans="1:36" x14ac:dyDescent="0.25">
      <c r="A649" t="s">
        <v>330</v>
      </c>
      <c r="B649" t="s">
        <v>356</v>
      </c>
      <c r="C649" t="s">
        <v>302</v>
      </c>
      <c r="D649" t="s">
        <v>36</v>
      </c>
      <c r="E649" t="s">
        <v>19</v>
      </c>
      <c r="F649" t="s">
        <v>37</v>
      </c>
      <c r="G649" t="s">
        <v>622</v>
      </c>
      <c r="H649" t="s">
        <v>714</v>
      </c>
      <c r="I649">
        <f t="shared" si="90"/>
        <v>42</v>
      </c>
      <c r="J649" t="s">
        <v>84</v>
      </c>
      <c r="K649" t="s">
        <v>744</v>
      </c>
      <c r="L649" t="str">
        <f t="shared" si="91"/>
        <v>Stress</v>
      </c>
      <c r="Q649" t="s">
        <v>412</v>
      </c>
      <c r="R649" t="s">
        <v>709</v>
      </c>
      <c r="S649" t="s">
        <v>703</v>
      </c>
      <c r="T649" t="s">
        <v>616</v>
      </c>
      <c r="U649" s="1"/>
      <c r="V649" s="1"/>
      <c r="W649" s="1">
        <f>[85]Navarro_etal_2003_Fig4c!C9</f>
        <v>5.7811360302927223E-11</v>
      </c>
      <c r="X649" s="1"/>
      <c r="Y649" s="1"/>
      <c r="Z649" s="1"/>
      <c r="AE649" s="2"/>
      <c r="AF649" s="2"/>
      <c r="AJ649" t="s">
        <v>352</v>
      </c>
    </row>
    <row r="650" spans="1:36" x14ac:dyDescent="0.25">
      <c r="A650" t="s">
        <v>330</v>
      </c>
      <c r="B650" t="s">
        <v>356</v>
      </c>
      <c r="C650" t="s">
        <v>302</v>
      </c>
      <c r="D650" t="s">
        <v>36</v>
      </c>
      <c r="E650" t="s">
        <v>19</v>
      </c>
      <c r="F650" t="s">
        <v>37</v>
      </c>
      <c r="G650" t="s">
        <v>622</v>
      </c>
      <c r="H650" t="s">
        <v>714</v>
      </c>
      <c r="I650">
        <f t="shared" si="90"/>
        <v>42</v>
      </c>
      <c r="J650" t="s">
        <v>84</v>
      </c>
      <c r="K650" t="s">
        <v>744</v>
      </c>
      <c r="L650" t="str">
        <f t="shared" si="91"/>
        <v>Stress</v>
      </c>
      <c r="Q650" t="s">
        <v>412</v>
      </c>
      <c r="R650" t="s">
        <v>709</v>
      </c>
      <c r="S650" t="s">
        <v>703</v>
      </c>
      <c r="T650" t="s">
        <v>616</v>
      </c>
      <c r="U650" s="1"/>
      <c r="V650" s="1"/>
      <c r="W650" s="1">
        <f>[85]Navarro_etal_2003_Fig4c!C10</f>
        <v>4.3921045078351663E-11</v>
      </c>
      <c r="X650" s="1"/>
      <c r="Y650" s="1"/>
      <c r="Z650" s="1"/>
      <c r="AE650" s="2"/>
      <c r="AF650" s="2"/>
      <c r="AJ650" t="s">
        <v>352</v>
      </c>
    </row>
    <row r="651" spans="1:36" x14ac:dyDescent="0.25">
      <c r="A651" t="s">
        <v>745</v>
      </c>
      <c r="B651" t="s">
        <v>34</v>
      </c>
      <c r="C651" t="s">
        <v>35</v>
      </c>
      <c r="D651" t="s">
        <v>36</v>
      </c>
      <c r="E651" t="s">
        <v>19</v>
      </c>
      <c r="F651" t="s">
        <v>37</v>
      </c>
      <c r="G651" t="s">
        <v>622</v>
      </c>
      <c r="H651" t="s">
        <v>714</v>
      </c>
      <c r="J651" t="s">
        <v>355</v>
      </c>
      <c r="L651" t="s">
        <v>716</v>
      </c>
      <c r="Q651" t="s">
        <v>412</v>
      </c>
      <c r="R651" t="s">
        <v>709</v>
      </c>
      <c r="S651" t="s">
        <v>703</v>
      </c>
      <c r="T651" t="s">
        <v>615</v>
      </c>
      <c r="U651" s="1" t="s">
        <v>755</v>
      </c>
      <c r="V651" s="1">
        <f>3.47/60*0.000001</f>
        <v>5.7833333333333328E-8</v>
      </c>
      <c r="W651" s="1"/>
      <c r="X651" s="1"/>
      <c r="Y651" s="1"/>
      <c r="Z651" s="1"/>
      <c r="AE651" s="2"/>
      <c r="AF651" s="2"/>
      <c r="AJ651" t="s">
        <v>203</v>
      </c>
    </row>
    <row r="652" spans="1:36" x14ac:dyDescent="0.25">
      <c r="A652" t="s">
        <v>745</v>
      </c>
      <c r="B652" t="s">
        <v>34</v>
      </c>
      <c r="C652" t="s">
        <v>35</v>
      </c>
      <c r="D652" t="s">
        <v>36</v>
      </c>
      <c r="E652" t="s">
        <v>19</v>
      </c>
      <c r="F652" t="s">
        <v>37</v>
      </c>
      <c r="G652" t="s">
        <v>622</v>
      </c>
      <c r="H652" t="s">
        <v>714</v>
      </c>
      <c r="J652" t="s">
        <v>355</v>
      </c>
      <c r="L652" t="s">
        <v>716</v>
      </c>
      <c r="Q652" t="s">
        <v>412</v>
      </c>
      <c r="R652" t="s">
        <v>709</v>
      </c>
      <c r="S652" t="s">
        <v>703</v>
      </c>
      <c r="T652" t="s">
        <v>615</v>
      </c>
      <c r="U652" s="1" t="s">
        <v>755</v>
      </c>
      <c r="V652" s="1">
        <f>1.4/60*0.000001</f>
        <v>2.3333333333333331E-8</v>
      </c>
      <c r="W652" s="1"/>
      <c r="X652" s="1"/>
      <c r="Y652" s="1"/>
      <c r="Z652" s="1"/>
      <c r="AE652" s="2"/>
      <c r="AF652" s="2"/>
      <c r="AJ652" t="s">
        <v>203</v>
      </c>
    </row>
    <row r="653" spans="1:36" x14ac:dyDescent="0.25">
      <c r="A653" t="s">
        <v>283</v>
      </c>
      <c r="B653" t="s">
        <v>284</v>
      </c>
      <c r="C653" t="s">
        <v>285</v>
      </c>
      <c r="D653" t="s">
        <v>286</v>
      </c>
      <c r="E653" t="s">
        <v>19</v>
      </c>
      <c r="F653" s="8" t="s">
        <v>117</v>
      </c>
      <c r="G653" t="s">
        <v>602</v>
      </c>
      <c r="H653" t="s">
        <v>713</v>
      </c>
      <c r="I653">
        <f t="shared" ref="I653:I672" si="92">4*30</f>
        <v>120</v>
      </c>
      <c r="J653" t="s">
        <v>774</v>
      </c>
      <c r="K653" t="s">
        <v>485</v>
      </c>
      <c r="L653" t="s">
        <v>716</v>
      </c>
      <c r="M653" t="s">
        <v>353</v>
      </c>
      <c r="N653" t="s">
        <v>716</v>
      </c>
      <c r="Q653" t="s">
        <v>412</v>
      </c>
      <c r="R653" t="s">
        <v>709</v>
      </c>
      <c r="S653" t="s">
        <v>703</v>
      </c>
      <c r="T653" t="s">
        <v>615</v>
      </c>
      <c r="U653" s="1" t="s">
        <v>754</v>
      </c>
      <c r="V653" s="1">
        <f t="shared" ref="V653:V672" si="93">+AA653*AC653/10000</f>
        <v>1.774011381172838E-9</v>
      </c>
      <c r="W653" s="1"/>
      <c r="X653" s="1">
        <f>[86]Kyllo_etal_2003_Fig2b!C2</f>
        <v>1.5662650602409601E-9</v>
      </c>
      <c r="AA653" s="1">
        <f>[87]Kyllo_etal_2003_Fig2a!C2</f>
        <v>4.0015294312169307E-8</v>
      </c>
      <c r="AB653" s="1">
        <f>[88]Kyllo_etal_2003_Fig2c!C2</f>
        <v>5.9195402298850605E-8</v>
      </c>
      <c r="AC653" s="2">
        <f>[89]Kyllo_etal_2003_Fig1!B2</f>
        <v>443.33333333333297</v>
      </c>
      <c r="AE653">
        <f>[90]Kyllo_etal_2003_Fig1b!B2</f>
        <v>1.12788259958071</v>
      </c>
      <c r="AJ653" t="s">
        <v>47</v>
      </c>
    </row>
    <row r="654" spans="1:36" x14ac:dyDescent="0.25">
      <c r="A654" t="s">
        <v>283</v>
      </c>
      <c r="B654" t="s">
        <v>284</v>
      </c>
      <c r="C654" t="s">
        <v>285</v>
      </c>
      <c r="D654" t="s">
        <v>286</v>
      </c>
      <c r="E654" t="s">
        <v>19</v>
      </c>
      <c r="F654" s="8" t="s">
        <v>117</v>
      </c>
      <c r="G654" t="s">
        <v>602</v>
      </c>
      <c r="H654" t="s">
        <v>713</v>
      </c>
      <c r="I654">
        <f t="shared" si="92"/>
        <v>120</v>
      </c>
      <c r="J654" t="s">
        <v>774</v>
      </c>
      <c r="K654" t="s">
        <v>485</v>
      </c>
      <c r="L654" t="s">
        <v>716</v>
      </c>
      <c r="M654" t="s">
        <v>214</v>
      </c>
      <c r="N654" t="s">
        <v>716</v>
      </c>
      <c r="Q654" t="s">
        <v>412</v>
      </c>
      <c r="R654" t="s">
        <v>709</v>
      </c>
      <c r="S654" t="s">
        <v>703</v>
      </c>
      <c r="T654" t="s">
        <v>615</v>
      </c>
      <c r="U654" s="1" t="s">
        <v>754</v>
      </c>
      <c r="V654" s="1">
        <f t="shared" si="93"/>
        <v>7.6477724226091284E-10</v>
      </c>
      <c r="W654" s="1"/>
      <c r="X654" s="1">
        <f>[86]Kyllo_etal_2003_Fig2b!C3</f>
        <v>2.6265060240963803E-9</v>
      </c>
      <c r="AA654" s="1">
        <f>[87]Kyllo_etal_2003_Fig2a!C3</f>
        <v>5.9635416666666603E-8</v>
      </c>
      <c r="AB654" s="1">
        <f>[88]Kyllo_etal_2003_Fig2c!C3</f>
        <v>5.6321839080459697E-8</v>
      </c>
      <c r="AC654" s="2">
        <f>[89]Kyllo_etal_2003_Fig1!B3</f>
        <v>128.242122719734</v>
      </c>
      <c r="AE654">
        <f>[90]Kyllo_etal_2003_Fig1b!B3</f>
        <v>0.30188679245283001</v>
      </c>
      <c r="AJ654" t="s">
        <v>47</v>
      </c>
    </row>
    <row r="655" spans="1:36" x14ac:dyDescent="0.25">
      <c r="A655" t="s">
        <v>283</v>
      </c>
      <c r="B655" t="s">
        <v>284</v>
      </c>
      <c r="C655" t="s">
        <v>285</v>
      </c>
      <c r="D655" t="s">
        <v>286</v>
      </c>
      <c r="E655" t="s">
        <v>19</v>
      </c>
      <c r="F655" s="8" t="s">
        <v>117</v>
      </c>
      <c r="G655" t="s">
        <v>602</v>
      </c>
      <c r="H655" t="s">
        <v>713</v>
      </c>
      <c r="I655">
        <f t="shared" si="92"/>
        <v>120</v>
      </c>
      <c r="J655" t="s">
        <v>774</v>
      </c>
      <c r="K655" t="s">
        <v>486</v>
      </c>
      <c r="L655" t="s">
        <v>716</v>
      </c>
      <c r="M655" t="s">
        <v>353</v>
      </c>
      <c r="N655" t="s">
        <v>716</v>
      </c>
      <c r="Q655" t="s">
        <v>412</v>
      </c>
      <c r="R655" t="s">
        <v>709</v>
      </c>
      <c r="S655" t="s">
        <v>703</v>
      </c>
      <c r="T655" t="s">
        <v>615</v>
      </c>
      <c r="U655" s="1" t="s">
        <v>754</v>
      </c>
      <c r="V655" s="1">
        <f t="shared" si="93"/>
        <v>1.4696867843323027E-9</v>
      </c>
      <c r="W655" s="1"/>
      <c r="X655" s="1">
        <f>[86]Kyllo_etal_2003_Fig2b!C4</f>
        <v>3.1566265060240903E-9</v>
      </c>
      <c r="AA655" s="1">
        <f>[87]Kyllo_etal_2003_Fig2a!C4</f>
        <v>6.0152116402116298E-8</v>
      </c>
      <c r="AB655" s="1">
        <f>[88]Kyllo_etal_2003_Fig2c!C4</f>
        <v>3.1034482758620601E-8</v>
      </c>
      <c r="AC655" s="2">
        <f>[89]Kyllo_etal_2003_Fig1!B4</f>
        <v>244.328358208955</v>
      </c>
      <c r="AE655">
        <f>[90]Kyllo_etal_2003_Fig1b!B4</f>
        <v>0.46960167714884599</v>
      </c>
      <c r="AJ655" t="s">
        <v>47</v>
      </c>
    </row>
    <row r="656" spans="1:36" x14ac:dyDescent="0.25">
      <c r="A656" t="s">
        <v>283</v>
      </c>
      <c r="B656" t="s">
        <v>284</v>
      </c>
      <c r="C656" t="s">
        <v>285</v>
      </c>
      <c r="D656" t="s">
        <v>286</v>
      </c>
      <c r="E656" t="s">
        <v>19</v>
      </c>
      <c r="F656" s="8" t="s">
        <v>117</v>
      </c>
      <c r="G656" t="s">
        <v>602</v>
      </c>
      <c r="H656" t="s">
        <v>713</v>
      </c>
      <c r="I656">
        <f t="shared" si="92"/>
        <v>120</v>
      </c>
      <c r="J656" t="s">
        <v>774</v>
      </c>
      <c r="K656" t="s">
        <v>486</v>
      </c>
      <c r="L656" t="s">
        <v>716</v>
      </c>
      <c r="M656" t="s">
        <v>214</v>
      </c>
      <c r="N656" t="s">
        <v>716</v>
      </c>
      <c r="Q656" t="s">
        <v>412</v>
      </c>
      <c r="R656" t="s">
        <v>709</v>
      </c>
      <c r="S656" t="s">
        <v>703</v>
      </c>
      <c r="T656" t="s">
        <v>615</v>
      </c>
      <c r="U656" s="1" t="s">
        <v>754</v>
      </c>
      <c r="V656" s="1">
        <f t="shared" si="93"/>
        <v>8.2478039147296258E-10</v>
      </c>
      <c r="W656" s="1"/>
      <c r="X656" s="1">
        <f>[86]Kyllo_etal_2003_Fig2b!C5</f>
        <v>3.0843373493975901E-9</v>
      </c>
      <c r="AA656" s="1">
        <f>[87]Kyllo_etal_2003_Fig2a!C5</f>
        <v>6.9969411375661301E-8</v>
      </c>
      <c r="AB656" s="1">
        <f>[88]Kyllo_etal_2003_Fig2c!C5</f>
        <v>3.7931034482758601E-8</v>
      </c>
      <c r="AC656" s="2">
        <f>[89]Kyllo_etal_2003_Fig1!B5</f>
        <v>117.877280265339</v>
      </c>
      <c r="AE656">
        <f>[90]Kyllo_etal_2003_Fig1b!B5</f>
        <v>0.26834381551362602</v>
      </c>
      <c r="AJ656" t="s">
        <v>47</v>
      </c>
    </row>
    <row r="657" spans="1:36" x14ac:dyDescent="0.25">
      <c r="A657" t="s">
        <v>283</v>
      </c>
      <c r="B657" t="s">
        <v>287</v>
      </c>
      <c r="C657" t="s">
        <v>285</v>
      </c>
      <c r="D657" t="s">
        <v>286</v>
      </c>
      <c r="E657" t="s">
        <v>19</v>
      </c>
      <c r="F657" s="8" t="s">
        <v>117</v>
      </c>
      <c r="G657" t="s">
        <v>602</v>
      </c>
      <c r="H657" t="s">
        <v>713</v>
      </c>
      <c r="I657">
        <f t="shared" si="92"/>
        <v>120</v>
      </c>
      <c r="J657" t="s">
        <v>774</v>
      </c>
      <c r="K657" t="s">
        <v>485</v>
      </c>
      <c r="L657" t="s">
        <v>716</v>
      </c>
      <c r="M657" t="s">
        <v>353</v>
      </c>
      <c r="N657" t="s">
        <v>716</v>
      </c>
      <c r="Q657" t="s">
        <v>412</v>
      </c>
      <c r="R657" t="s">
        <v>709</v>
      </c>
      <c r="S657" t="s">
        <v>703</v>
      </c>
      <c r="T657" t="s">
        <v>615</v>
      </c>
      <c r="U657" s="1" t="s">
        <v>754</v>
      </c>
      <c r="V657" s="1">
        <f t="shared" si="93"/>
        <v>1.8692627717891957E-9</v>
      </c>
      <c r="W657" s="1"/>
      <c r="X657" s="1">
        <f>[86]Kyllo_etal_2003_Fig2b!C6</f>
        <v>1.8353413654618401E-9</v>
      </c>
      <c r="AA657" s="1">
        <f>[87]Kyllo_etal_2003_Fig2a!C6</f>
        <v>8.1336805555555506E-8</v>
      </c>
      <c r="AB657" s="1">
        <f>[88]Kyllo_etal_2003_Fig2c!C6</f>
        <v>6.6666666666666602E-8</v>
      </c>
      <c r="AC657" s="2">
        <f>[89]Kyllo_etal_2003_Fig1!B6</f>
        <v>229.81757877280199</v>
      </c>
      <c r="AE657">
        <f>[90]Kyllo_etal_2003_Fig1b!B6</f>
        <v>0.94339622641509402</v>
      </c>
      <c r="AJ657" t="s">
        <v>47</v>
      </c>
    </row>
    <row r="658" spans="1:36" x14ac:dyDescent="0.25">
      <c r="A658" t="s">
        <v>283</v>
      </c>
      <c r="B658" t="s">
        <v>287</v>
      </c>
      <c r="C658" t="s">
        <v>285</v>
      </c>
      <c r="D658" t="s">
        <v>286</v>
      </c>
      <c r="E658" t="s">
        <v>19</v>
      </c>
      <c r="F658" s="8" t="s">
        <v>117</v>
      </c>
      <c r="G658" t="s">
        <v>602</v>
      </c>
      <c r="H658" t="s">
        <v>713</v>
      </c>
      <c r="I658">
        <f t="shared" si="92"/>
        <v>120</v>
      </c>
      <c r="J658" t="s">
        <v>774</v>
      </c>
      <c r="K658" t="s">
        <v>485</v>
      </c>
      <c r="L658" t="s">
        <v>716</v>
      </c>
      <c r="M658" t="s">
        <v>214</v>
      </c>
      <c r="N658" t="s">
        <v>716</v>
      </c>
      <c r="Q658" t="s">
        <v>412</v>
      </c>
      <c r="R658" t="s">
        <v>709</v>
      </c>
      <c r="S658" t="s">
        <v>703</v>
      </c>
      <c r="T658" t="s">
        <v>615</v>
      </c>
      <c r="U658" s="1" t="s">
        <v>754</v>
      </c>
      <c r="V658" s="1">
        <f t="shared" si="93"/>
        <v>6.3030849253511891E-10</v>
      </c>
      <c r="W658" s="1"/>
      <c r="X658" s="1">
        <f>[86]Kyllo_etal_2003_Fig2b!C7</f>
        <v>2.0763052208835303E-9</v>
      </c>
      <c r="AA658" s="1">
        <f>[87]Kyllo_etal_2003_Fig2a!C7</f>
        <v>8.0303406084656011E-8</v>
      </c>
      <c r="AB658" s="1">
        <f>[88]Kyllo_etal_2003_Fig2c!C7</f>
        <v>5.6321839080459697E-8</v>
      </c>
      <c r="AC658" s="2">
        <f>[89]Kyllo_etal_2003_Fig1!B7</f>
        <v>78.490878938640094</v>
      </c>
      <c r="AE658">
        <f>[90]Kyllo_etal_2003_Fig1b!B7</f>
        <v>0.23899371069182401</v>
      </c>
      <c r="AJ658" t="s">
        <v>47</v>
      </c>
    </row>
    <row r="659" spans="1:36" x14ac:dyDescent="0.25">
      <c r="A659" t="s">
        <v>283</v>
      </c>
      <c r="B659" t="s">
        <v>287</v>
      </c>
      <c r="C659" t="s">
        <v>285</v>
      </c>
      <c r="D659" t="s">
        <v>286</v>
      </c>
      <c r="E659" t="s">
        <v>19</v>
      </c>
      <c r="F659" s="8" t="s">
        <v>117</v>
      </c>
      <c r="G659" t="s">
        <v>602</v>
      </c>
      <c r="H659" t="s">
        <v>713</v>
      </c>
      <c r="I659">
        <f t="shared" si="92"/>
        <v>120</v>
      </c>
      <c r="J659" t="s">
        <v>774</v>
      </c>
      <c r="K659" t="s">
        <v>486</v>
      </c>
      <c r="L659" t="s">
        <v>716</v>
      </c>
      <c r="M659" t="s">
        <v>353</v>
      </c>
      <c r="N659" t="s">
        <v>716</v>
      </c>
      <c r="Q659" t="s">
        <v>412</v>
      </c>
      <c r="R659" t="s">
        <v>709</v>
      </c>
      <c r="S659" t="s">
        <v>703</v>
      </c>
      <c r="T659" t="s">
        <v>615</v>
      </c>
      <c r="U659" s="1" t="s">
        <v>754</v>
      </c>
      <c r="V659" s="1">
        <f t="shared" si="93"/>
        <v>4.2469027492607367E-10</v>
      </c>
      <c r="W659" s="1"/>
      <c r="X659" s="1">
        <f>[86]Kyllo_etal_2003_Fig2b!C8</f>
        <v>4.2449799196787098E-9</v>
      </c>
      <c r="AA659" s="1">
        <f>[87]Kyllo_etal_2003_Fig2a!C8</f>
        <v>8.9604001322751307E-8</v>
      </c>
      <c r="AB659" s="1">
        <f>[88]Kyllo_etal_2003_Fig2c!C8</f>
        <v>3.0459770114942506E-8</v>
      </c>
      <c r="AC659" s="2">
        <f>[89]Kyllo_etal_2003_Fig1!B8</f>
        <v>47.396351575455903</v>
      </c>
      <c r="AE659">
        <f>[90]Kyllo_etal_2003_Fig1b!B8</f>
        <v>0.10482180293501001</v>
      </c>
      <c r="AJ659" t="s">
        <v>47</v>
      </c>
    </row>
    <row r="660" spans="1:36" x14ac:dyDescent="0.25">
      <c r="A660" t="s">
        <v>283</v>
      </c>
      <c r="B660" t="s">
        <v>287</v>
      </c>
      <c r="C660" t="s">
        <v>285</v>
      </c>
      <c r="D660" t="s">
        <v>286</v>
      </c>
      <c r="E660" t="s">
        <v>19</v>
      </c>
      <c r="F660" s="8" t="s">
        <v>117</v>
      </c>
      <c r="G660" t="s">
        <v>602</v>
      </c>
      <c r="H660" t="s">
        <v>713</v>
      </c>
      <c r="I660">
        <f t="shared" si="92"/>
        <v>120</v>
      </c>
      <c r="J660" t="s">
        <v>774</v>
      </c>
      <c r="K660" t="s">
        <v>486</v>
      </c>
      <c r="L660" t="s">
        <v>716</v>
      </c>
      <c r="M660" t="s">
        <v>214</v>
      </c>
      <c r="N660" t="s">
        <v>716</v>
      </c>
      <c r="Q660" t="s">
        <v>412</v>
      </c>
      <c r="R660" t="s">
        <v>709</v>
      </c>
      <c r="S660" t="s">
        <v>703</v>
      </c>
      <c r="T660" t="s">
        <v>615</v>
      </c>
      <c r="U660" s="1" t="s">
        <v>754</v>
      </c>
      <c r="V660" s="1">
        <f t="shared" si="93"/>
        <v>2.8095263458939799E-10</v>
      </c>
      <c r="W660" s="1"/>
      <c r="X660" s="1">
        <f>[86]Kyllo_etal_2003_Fig2b!C9</f>
        <v>2.0963855421686703E-9</v>
      </c>
      <c r="AA660" s="1">
        <f>[87]Kyllo_etal_2003_Fig2a!C9</f>
        <v>5.2401620370370304E-8</v>
      </c>
      <c r="AB660" s="1">
        <f>[88]Kyllo_etal_2003_Fig2c!C9</f>
        <v>3.7068965517241402E-8</v>
      </c>
      <c r="AC660" s="2">
        <f>[89]Kyllo_etal_2003_Fig1!B9</f>
        <v>53.615257048092801</v>
      </c>
      <c r="AE660">
        <f>[90]Kyllo_etal_2003_Fig1b!B9</f>
        <v>0.12997903563941299</v>
      </c>
      <c r="AJ660" t="s">
        <v>47</v>
      </c>
    </row>
    <row r="661" spans="1:36" x14ac:dyDescent="0.25">
      <c r="A661" t="s">
        <v>283</v>
      </c>
      <c r="B661" t="s">
        <v>288</v>
      </c>
      <c r="C661" t="s">
        <v>289</v>
      </c>
      <c r="D661" t="s">
        <v>290</v>
      </c>
      <c r="E661" t="s">
        <v>19</v>
      </c>
      <c r="F661" s="8" t="s">
        <v>117</v>
      </c>
      <c r="G661" t="s">
        <v>602</v>
      </c>
      <c r="H661" t="s">
        <v>713</v>
      </c>
      <c r="I661">
        <f t="shared" si="92"/>
        <v>120</v>
      </c>
      <c r="J661" t="s">
        <v>774</v>
      </c>
      <c r="K661" t="s">
        <v>485</v>
      </c>
      <c r="L661" t="s">
        <v>716</v>
      </c>
      <c r="M661" t="s">
        <v>353</v>
      </c>
      <c r="N661" t="s">
        <v>716</v>
      </c>
      <c r="Q661" t="s">
        <v>412</v>
      </c>
      <c r="R661" t="s">
        <v>709</v>
      </c>
      <c r="S661" t="s">
        <v>703</v>
      </c>
      <c r="T661" t="s">
        <v>615</v>
      </c>
      <c r="U661" s="1" t="s">
        <v>754</v>
      </c>
      <c r="V661" s="1">
        <f t="shared" si="93"/>
        <v>2.9680320427185044E-9</v>
      </c>
      <c r="W661" s="1"/>
      <c r="X661" s="1">
        <f>[86]Kyllo_etal_2003_Fig2b!C10</f>
        <v>1.65461847389558E-9</v>
      </c>
      <c r="AA661" s="1">
        <f>[87]Kyllo_etal_2003_Fig2a!C10</f>
        <v>5.4468419312169307E-8</v>
      </c>
      <c r="AB661" s="1">
        <f>[88]Kyllo_etal_2003_Fig2c!C10</f>
        <v>1.2557471264367802E-7</v>
      </c>
      <c r="AC661" s="2">
        <f>[89]Kyllo_etal_2003_Fig1!B10</f>
        <v>544.90878938640105</v>
      </c>
      <c r="AE661">
        <f>[90]Kyllo_etal_2003_Fig1b!B10</f>
        <v>1.7945492662473701</v>
      </c>
      <c r="AJ661" t="s">
        <v>47</v>
      </c>
    </row>
    <row r="662" spans="1:36" x14ac:dyDescent="0.25">
      <c r="A662" t="s">
        <v>283</v>
      </c>
      <c r="B662" t="s">
        <v>288</v>
      </c>
      <c r="C662" t="s">
        <v>289</v>
      </c>
      <c r="D662" t="s">
        <v>290</v>
      </c>
      <c r="E662" t="s">
        <v>19</v>
      </c>
      <c r="F662" s="8" t="s">
        <v>117</v>
      </c>
      <c r="G662" t="s">
        <v>602</v>
      </c>
      <c r="H662" t="s">
        <v>713</v>
      </c>
      <c r="I662">
        <f t="shared" si="92"/>
        <v>120</v>
      </c>
      <c r="J662" t="s">
        <v>774</v>
      </c>
      <c r="K662" t="s">
        <v>485</v>
      </c>
      <c r="L662" t="s">
        <v>716</v>
      </c>
      <c r="M662" t="s">
        <v>214</v>
      </c>
      <c r="N662" t="s">
        <v>716</v>
      </c>
      <c r="Q662" t="s">
        <v>412</v>
      </c>
      <c r="R662" t="s">
        <v>709</v>
      </c>
      <c r="S662" t="s">
        <v>703</v>
      </c>
      <c r="T662" t="s">
        <v>615</v>
      </c>
      <c r="U662" s="1" t="s">
        <v>754</v>
      </c>
      <c r="V662" s="1">
        <f t="shared" si="93"/>
        <v>2.4765426271968985E-9</v>
      </c>
      <c r="W662" s="1"/>
      <c r="X662" s="1">
        <f>[86]Kyllo_etal_2003_Fig2b!C11</f>
        <v>2.13654618473895E-9</v>
      </c>
      <c r="AA662" s="1">
        <f>[87]Kyllo_etal_2003_Fig2a!C11</f>
        <v>5.8602017195767102E-8</v>
      </c>
      <c r="AB662" s="1">
        <f>[88]Kyllo_etal_2003_Fig2c!C11</f>
        <v>1.4770114942528703E-7</v>
      </c>
      <c r="AC662" s="2">
        <f>[89]Kyllo_etal_2003_Fig1!B11</f>
        <v>422.603648424543</v>
      </c>
      <c r="AE662">
        <f>[90]Kyllo_etal_2003_Fig1b!B11</f>
        <v>1.29979035639413</v>
      </c>
      <c r="AJ662" t="s">
        <v>47</v>
      </c>
    </row>
    <row r="663" spans="1:36" x14ac:dyDescent="0.25">
      <c r="A663" t="s">
        <v>283</v>
      </c>
      <c r="B663" t="s">
        <v>288</v>
      </c>
      <c r="C663" t="s">
        <v>289</v>
      </c>
      <c r="D663" t="s">
        <v>290</v>
      </c>
      <c r="E663" t="s">
        <v>19</v>
      </c>
      <c r="F663" s="8" t="s">
        <v>117</v>
      </c>
      <c r="G663" t="s">
        <v>602</v>
      </c>
      <c r="H663" t="s">
        <v>713</v>
      </c>
      <c r="I663">
        <f t="shared" si="92"/>
        <v>120</v>
      </c>
      <c r="J663" t="s">
        <v>774</v>
      </c>
      <c r="K663" t="s">
        <v>486</v>
      </c>
      <c r="L663" t="s">
        <v>716</v>
      </c>
      <c r="M663" t="s">
        <v>353</v>
      </c>
      <c r="N663" t="s">
        <v>716</v>
      </c>
      <c r="Q663" t="s">
        <v>412</v>
      </c>
      <c r="R663" t="s">
        <v>709</v>
      </c>
      <c r="S663" t="s">
        <v>703</v>
      </c>
      <c r="T663" t="s">
        <v>615</v>
      </c>
      <c r="U663" s="1" t="s">
        <v>754</v>
      </c>
      <c r="V663" s="1">
        <f t="shared" si="93"/>
        <v>5.2805626248305068E-9</v>
      </c>
      <c r="W663" s="1"/>
      <c r="X663" s="1">
        <f>[86]Kyllo_etal_2003_Fig2b!C12</f>
        <v>5.7710843373493905E-9</v>
      </c>
      <c r="AA663" s="1">
        <f>[87]Kyllo_etal_2003_Fig2a!C12</f>
        <v>1.1828083664021102E-7</v>
      </c>
      <c r="AB663" s="1">
        <f>[88]Kyllo_etal_2003_Fig2c!C12</f>
        <v>1.1925287356321802E-7</v>
      </c>
      <c r="AC663" s="2">
        <f>[89]Kyllo_etal_2003_Fig1!B12</f>
        <v>446.44278606965099</v>
      </c>
      <c r="AE663">
        <f>[90]Kyllo_etal_2003_Fig1b!B12</f>
        <v>0.98113207547169801</v>
      </c>
      <c r="AJ663" t="s">
        <v>47</v>
      </c>
    </row>
    <row r="664" spans="1:36" x14ac:dyDescent="0.25">
      <c r="A664" t="s">
        <v>283</v>
      </c>
      <c r="B664" t="s">
        <v>288</v>
      </c>
      <c r="C664" t="s">
        <v>289</v>
      </c>
      <c r="D664" t="s">
        <v>290</v>
      </c>
      <c r="E664" t="s">
        <v>19</v>
      </c>
      <c r="F664" s="8" t="s">
        <v>117</v>
      </c>
      <c r="G664" t="s">
        <v>602</v>
      </c>
      <c r="H664" t="s">
        <v>713</v>
      </c>
      <c r="I664">
        <f t="shared" si="92"/>
        <v>120</v>
      </c>
      <c r="J664" t="s">
        <v>774</v>
      </c>
      <c r="K664" t="s">
        <v>486</v>
      </c>
      <c r="L664" t="s">
        <v>716</v>
      </c>
      <c r="M664" t="s">
        <v>214</v>
      </c>
      <c r="N664" t="s">
        <v>716</v>
      </c>
      <c r="Q664" t="s">
        <v>412</v>
      </c>
      <c r="R664" t="s">
        <v>709</v>
      </c>
      <c r="S664" t="s">
        <v>703</v>
      </c>
      <c r="T664" t="s">
        <v>615</v>
      </c>
      <c r="U664" s="1" t="s">
        <v>754</v>
      </c>
      <c r="V664" s="1">
        <f t="shared" si="93"/>
        <v>1.9886666822961893E-9</v>
      </c>
      <c r="W664" s="1"/>
      <c r="X664" s="1">
        <f>[86]Kyllo_etal_2003_Fig2b!C13</f>
        <v>4.4156626506024105E-9</v>
      </c>
      <c r="AA664" s="1">
        <f>[87]Kyllo_etal_2003_Fig2a!C13</f>
        <v>6.7385912698412696E-8</v>
      </c>
      <c r="AB664" s="1">
        <f>[88]Kyllo_etal_2003_Fig2c!C13</f>
        <v>1.4482758620689601E-7</v>
      </c>
      <c r="AC664" s="2">
        <f>[89]Kyllo_etal_2003_Fig1!B13</f>
        <v>295.11608623548898</v>
      </c>
      <c r="AE664">
        <f>[90]Kyllo_etal_2003_Fig1b!B13</f>
        <v>0.82180293501048196</v>
      </c>
      <c r="AJ664" t="s">
        <v>47</v>
      </c>
    </row>
    <row r="665" spans="1:36" x14ac:dyDescent="0.25">
      <c r="A665" t="s">
        <v>283</v>
      </c>
      <c r="B665" t="s">
        <v>291</v>
      </c>
      <c r="C665" t="s">
        <v>289</v>
      </c>
      <c r="D665" t="s">
        <v>290</v>
      </c>
      <c r="E665" t="s">
        <v>19</v>
      </c>
      <c r="F665" s="8" t="s">
        <v>117</v>
      </c>
      <c r="G665" t="s">
        <v>602</v>
      </c>
      <c r="H665" t="s">
        <v>713</v>
      </c>
      <c r="I665">
        <f t="shared" si="92"/>
        <v>120</v>
      </c>
      <c r="J665" t="s">
        <v>774</v>
      </c>
      <c r="K665" t="s">
        <v>485</v>
      </c>
      <c r="L665" t="s">
        <v>716</v>
      </c>
      <c r="M665" t="s">
        <v>353</v>
      </c>
      <c r="N665" t="s">
        <v>716</v>
      </c>
      <c r="Q665" t="s">
        <v>412</v>
      </c>
      <c r="R665" t="s">
        <v>709</v>
      </c>
      <c r="S665" t="s">
        <v>703</v>
      </c>
      <c r="T665" t="s">
        <v>615</v>
      </c>
      <c r="U665" s="1" t="s">
        <v>754</v>
      </c>
      <c r="V665" s="1">
        <f t="shared" si="93"/>
        <v>2.5738908281838127E-9</v>
      </c>
      <c r="W665" s="1"/>
      <c r="X665" s="1">
        <f>[86]Kyllo_etal_2003_Fig2b!C14</f>
        <v>2.3975903614457803E-9</v>
      </c>
      <c r="AA665" s="1">
        <f>[87]Kyllo_etal_2003_Fig2a!C14</f>
        <v>7.2036210317460304E-8</v>
      </c>
      <c r="AB665" s="1">
        <f>[88]Kyllo_etal_2003_Fig2c!C14</f>
        <v>9.3103448275862002E-8</v>
      </c>
      <c r="AC665" s="2">
        <f>[89]Kyllo_etal_2003_Fig1!B14</f>
        <v>357.30514096185698</v>
      </c>
      <c r="AE665">
        <f>[90]Kyllo_etal_2003_Fig1b!B14</f>
        <v>1.0817610062892999</v>
      </c>
      <c r="AJ665" t="s">
        <v>47</v>
      </c>
    </row>
    <row r="666" spans="1:36" x14ac:dyDescent="0.25">
      <c r="A666" t="s">
        <v>283</v>
      </c>
      <c r="B666" t="s">
        <v>291</v>
      </c>
      <c r="C666" t="s">
        <v>289</v>
      </c>
      <c r="D666" t="s">
        <v>290</v>
      </c>
      <c r="E666" t="s">
        <v>19</v>
      </c>
      <c r="F666" s="8" t="s">
        <v>117</v>
      </c>
      <c r="G666" t="s">
        <v>602</v>
      </c>
      <c r="H666" t="s">
        <v>713</v>
      </c>
      <c r="I666">
        <f t="shared" si="92"/>
        <v>120</v>
      </c>
      <c r="J666" t="s">
        <v>774</v>
      </c>
      <c r="K666" t="s">
        <v>485</v>
      </c>
      <c r="L666" t="s">
        <v>716</v>
      </c>
      <c r="M666" t="s">
        <v>214</v>
      </c>
      <c r="N666" t="s">
        <v>716</v>
      </c>
      <c r="Q666" t="s">
        <v>412</v>
      </c>
      <c r="R666" t="s">
        <v>709</v>
      </c>
      <c r="S666" t="s">
        <v>703</v>
      </c>
      <c r="T666" t="s">
        <v>615</v>
      </c>
      <c r="U666" s="1" t="s">
        <v>754</v>
      </c>
      <c r="V666" s="1">
        <f t="shared" si="93"/>
        <v>1.8794947975620096E-9</v>
      </c>
      <c r="W666" s="1"/>
      <c r="X666" s="1">
        <f>[86]Kyllo_etal_2003_Fig2b!C15</f>
        <v>2.15662650602409E-9</v>
      </c>
      <c r="AA666" s="1">
        <f>[87]Kyllo_etal_2003_Fig2a!C15</f>
        <v>5.9118716931216909E-8</v>
      </c>
      <c r="AB666" s="1">
        <f>[88]Kyllo_etal_2003_Fig2c!C15</f>
        <v>8.7356321839080398E-8</v>
      </c>
      <c r="AC666" s="2">
        <f>[89]Kyllo_etal_2003_Fig1!B15</f>
        <v>317.91873963515701</v>
      </c>
      <c r="AE666">
        <f>[90]Kyllo_etal_2003_Fig1b!B15</f>
        <v>0.88050314465408797</v>
      </c>
      <c r="AJ666" t="s">
        <v>47</v>
      </c>
    </row>
    <row r="667" spans="1:36" x14ac:dyDescent="0.25">
      <c r="A667" t="s">
        <v>283</v>
      </c>
      <c r="B667" t="s">
        <v>291</v>
      </c>
      <c r="C667" t="s">
        <v>289</v>
      </c>
      <c r="D667" t="s">
        <v>290</v>
      </c>
      <c r="E667" t="s">
        <v>19</v>
      </c>
      <c r="F667" s="8" t="s">
        <v>117</v>
      </c>
      <c r="G667" t="s">
        <v>602</v>
      </c>
      <c r="H667" t="s">
        <v>713</v>
      </c>
      <c r="I667">
        <f t="shared" si="92"/>
        <v>120</v>
      </c>
      <c r="J667" t="s">
        <v>774</v>
      </c>
      <c r="K667" t="s">
        <v>486</v>
      </c>
      <c r="L667" t="s">
        <v>716</v>
      </c>
      <c r="M667" t="s">
        <v>353</v>
      </c>
      <c r="N667" t="s">
        <v>716</v>
      </c>
      <c r="Q667" t="s">
        <v>412</v>
      </c>
      <c r="R667" t="s">
        <v>709</v>
      </c>
      <c r="S667" t="s">
        <v>703</v>
      </c>
      <c r="T667" t="s">
        <v>615</v>
      </c>
      <c r="U667" s="1" t="s">
        <v>754</v>
      </c>
      <c r="V667" s="1">
        <f t="shared" si="93"/>
        <v>2.7240589381136606E-9</v>
      </c>
      <c r="W667" s="1"/>
      <c r="X667" s="1">
        <f>[86]Kyllo_etal_2003_Fig2b!C16</f>
        <v>4.3052208835341299E-9</v>
      </c>
      <c r="AA667" s="1">
        <f>[87]Kyllo_etal_2003_Fig2a!C16</f>
        <v>9.8904596560846509E-8</v>
      </c>
      <c r="AB667" s="1">
        <f>[88]Kyllo_etal_2003_Fig2c!C16</f>
        <v>6.954022988505751E-8</v>
      </c>
      <c r="AC667" s="2">
        <f>[89]Kyllo_etal_2003_Fig1!B16</f>
        <v>275.42288557213902</v>
      </c>
      <c r="AE667">
        <f>[90]Kyllo_etal_2003_Fig1b!B16</f>
        <v>0.62893081761006198</v>
      </c>
      <c r="AJ667" t="s">
        <v>47</v>
      </c>
    </row>
    <row r="668" spans="1:36" x14ac:dyDescent="0.25">
      <c r="A668" t="s">
        <v>283</v>
      </c>
      <c r="B668" t="s">
        <v>291</v>
      </c>
      <c r="C668" t="s">
        <v>289</v>
      </c>
      <c r="D668" t="s">
        <v>290</v>
      </c>
      <c r="E668" t="s">
        <v>19</v>
      </c>
      <c r="F668" s="8" t="s">
        <v>117</v>
      </c>
      <c r="G668" t="s">
        <v>602</v>
      </c>
      <c r="H668" t="s">
        <v>713</v>
      </c>
      <c r="I668">
        <f t="shared" si="92"/>
        <v>120</v>
      </c>
      <c r="J668" t="s">
        <v>774</v>
      </c>
      <c r="K668" t="s">
        <v>486</v>
      </c>
      <c r="L668" t="s">
        <v>716</v>
      </c>
      <c r="M668" t="s">
        <v>214</v>
      </c>
      <c r="N668" t="s">
        <v>716</v>
      </c>
      <c r="Q668" t="s">
        <v>412</v>
      </c>
      <c r="R668" t="s">
        <v>709</v>
      </c>
      <c r="S668" t="s">
        <v>703</v>
      </c>
      <c r="T668" t="s">
        <v>615</v>
      </c>
      <c r="U668" s="1" t="s">
        <v>754</v>
      </c>
      <c r="V668" s="1">
        <f t="shared" si="93"/>
        <v>1.6743050208612966E-9</v>
      </c>
      <c r="W668" s="1"/>
      <c r="X668" s="1">
        <f>[86]Kyllo_etal_2003_Fig2b!C17</f>
        <v>2.3072289156626502E-9</v>
      </c>
      <c r="AA668" s="1">
        <f>[87]Kyllo_etal_2003_Fig2a!C17</f>
        <v>5.6535218253968204E-8</v>
      </c>
      <c r="AB668" s="1">
        <f>[88]Kyllo_etal_2003_Fig2c!C17</f>
        <v>4.9999999999999905E-8</v>
      </c>
      <c r="AC668" s="2">
        <f>[89]Kyllo_etal_2003_Fig1!B17</f>
        <v>296.15257048092798</v>
      </c>
      <c r="AE668">
        <f>[90]Kyllo_etal_2003_Fig1b!B17</f>
        <v>0.70440251572326995</v>
      </c>
      <c r="AJ668" t="s">
        <v>47</v>
      </c>
    </row>
    <row r="669" spans="1:36" x14ac:dyDescent="0.25">
      <c r="A669" t="s">
        <v>283</v>
      </c>
      <c r="B669" t="s">
        <v>292</v>
      </c>
      <c r="C669" t="s">
        <v>289</v>
      </c>
      <c r="D669" t="s">
        <v>290</v>
      </c>
      <c r="E669" t="s">
        <v>19</v>
      </c>
      <c r="F669" s="8" t="s">
        <v>117</v>
      </c>
      <c r="G669" t="s">
        <v>602</v>
      </c>
      <c r="H669" t="s">
        <v>713</v>
      </c>
      <c r="I669">
        <f t="shared" si="92"/>
        <v>120</v>
      </c>
      <c r="J669" t="s">
        <v>774</v>
      </c>
      <c r="K669" t="s">
        <v>485</v>
      </c>
      <c r="L669" t="s">
        <v>716</v>
      </c>
      <c r="M669" t="s">
        <v>353</v>
      </c>
      <c r="N669" t="s">
        <v>716</v>
      </c>
      <c r="Q669" t="s">
        <v>412</v>
      </c>
      <c r="R669" t="s">
        <v>709</v>
      </c>
      <c r="S669" t="s">
        <v>703</v>
      </c>
      <c r="T669" t="s">
        <v>615</v>
      </c>
      <c r="U669" s="1" t="s">
        <v>754</v>
      </c>
      <c r="V669" s="1">
        <f t="shared" si="93"/>
        <v>4.0394068019689616E-9</v>
      </c>
      <c r="W669" s="1"/>
      <c r="X669" s="1">
        <f>[86]Kyllo_etal_2003_Fig2b!C18</f>
        <v>3.3413654618473802E-9</v>
      </c>
      <c r="AA669" s="1">
        <f>[87]Kyllo_etal_2003_Fig2a!C18</f>
        <v>1.2422288359788301E-7</v>
      </c>
      <c r="AB669" s="1">
        <f>[88]Kyllo_etal_2003_Fig2c!C18</f>
        <v>1.8534482758620602E-7</v>
      </c>
      <c r="AC669" s="2">
        <f>[89]Kyllo_etal_2003_Fig1!B18</f>
        <v>325.17412935323301</v>
      </c>
      <c r="AE669">
        <f>[90]Kyllo_etal_2003_Fig1b!B18</f>
        <v>1.1572327044025099</v>
      </c>
      <c r="AJ669" t="s">
        <v>47</v>
      </c>
    </row>
    <row r="670" spans="1:36" x14ac:dyDescent="0.25">
      <c r="A670" t="s">
        <v>283</v>
      </c>
      <c r="B670" t="s">
        <v>292</v>
      </c>
      <c r="C670" t="s">
        <v>289</v>
      </c>
      <c r="D670" t="s">
        <v>290</v>
      </c>
      <c r="E670" t="s">
        <v>19</v>
      </c>
      <c r="F670" s="8" t="s">
        <v>117</v>
      </c>
      <c r="G670" t="s">
        <v>602</v>
      </c>
      <c r="H670" t="s">
        <v>713</v>
      </c>
      <c r="I670">
        <f t="shared" si="92"/>
        <v>120</v>
      </c>
      <c r="J670" t="s">
        <v>774</v>
      </c>
      <c r="K670" t="s">
        <v>485</v>
      </c>
      <c r="L670" t="s">
        <v>716</v>
      </c>
      <c r="M670" t="s">
        <v>214</v>
      </c>
      <c r="N670" t="s">
        <v>716</v>
      </c>
      <c r="Q670" t="s">
        <v>412</v>
      </c>
      <c r="R670" t="s">
        <v>709</v>
      </c>
      <c r="S670" t="s">
        <v>703</v>
      </c>
      <c r="T670" t="s">
        <v>615</v>
      </c>
      <c r="U670" s="1" t="s">
        <v>754</v>
      </c>
      <c r="V670" s="1">
        <f t="shared" si="93"/>
        <v>1.9747273573435679E-9</v>
      </c>
      <c r="W670" s="1"/>
      <c r="X670" s="1">
        <f>[86]Kyllo_etal_2003_Fig2b!C19</f>
        <v>2.7590361445783101E-9</v>
      </c>
      <c r="AA670" s="1">
        <f>[87]Kyllo_etal_2003_Fig2a!C19</f>
        <v>8.3661954365079304E-8</v>
      </c>
      <c r="AB670" s="1">
        <f>[88]Kyllo_etal_2003_Fig2c!C19</f>
        <v>1.6839080459770101E-7</v>
      </c>
      <c r="AC670" s="2">
        <f>[89]Kyllo_etal_2003_Fig1!B19</f>
        <v>236.036484245439</v>
      </c>
      <c r="AE670">
        <f>[90]Kyllo_etal_2003_Fig1b!B19</f>
        <v>0.75052410901467503</v>
      </c>
      <c r="AJ670" t="s">
        <v>47</v>
      </c>
    </row>
    <row r="671" spans="1:36" x14ac:dyDescent="0.25">
      <c r="A671" t="s">
        <v>283</v>
      </c>
      <c r="B671" t="s">
        <v>292</v>
      </c>
      <c r="C671" t="s">
        <v>289</v>
      </c>
      <c r="D671" t="s">
        <v>290</v>
      </c>
      <c r="E671" t="s">
        <v>19</v>
      </c>
      <c r="F671" s="8" t="s">
        <v>117</v>
      </c>
      <c r="G671" t="s">
        <v>602</v>
      </c>
      <c r="H671" t="s">
        <v>713</v>
      </c>
      <c r="I671">
        <f t="shared" si="92"/>
        <v>120</v>
      </c>
      <c r="J671" t="s">
        <v>774</v>
      </c>
      <c r="K671" t="s">
        <v>486</v>
      </c>
      <c r="L671" t="s">
        <v>716</v>
      </c>
      <c r="M671" t="s">
        <v>353</v>
      </c>
      <c r="N671" t="s">
        <v>716</v>
      </c>
      <c r="Q671" t="s">
        <v>412</v>
      </c>
      <c r="R671" t="s">
        <v>709</v>
      </c>
      <c r="S671" t="s">
        <v>703</v>
      </c>
      <c r="T671" t="s">
        <v>615</v>
      </c>
      <c r="U671" s="1" t="s">
        <v>754</v>
      </c>
      <c r="V671" s="1">
        <f t="shared" si="93"/>
        <v>2.7458314481933199E-9</v>
      </c>
      <c r="W671" s="1"/>
      <c r="X671" s="1">
        <f>[86]Kyllo_etal_2003_Fig2b!C20</f>
        <v>6.01204819277108E-9</v>
      </c>
      <c r="AA671" s="1">
        <f>[87]Kyllo_etal_2003_Fig2a!C20</f>
        <v>1.3817377645502601E-7</v>
      </c>
      <c r="AB671" s="1">
        <f>[88]Kyllo_etal_2003_Fig2c!C20</f>
        <v>9.6551724137931012E-8</v>
      </c>
      <c r="AC671" s="2">
        <f>[89]Kyllo_etal_2003_Fig1!B20</f>
        <v>198.72305140961799</v>
      </c>
      <c r="AE671">
        <f>[90]Kyllo_etal_2003_Fig1b!B20</f>
        <v>0.44863731656184402</v>
      </c>
      <c r="AJ671" t="s">
        <v>47</v>
      </c>
    </row>
    <row r="672" spans="1:36" x14ac:dyDescent="0.25">
      <c r="A672" t="s">
        <v>283</v>
      </c>
      <c r="B672" t="s">
        <v>292</v>
      </c>
      <c r="C672" t="s">
        <v>289</v>
      </c>
      <c r="D672" t="s">
        <v>290</v>
      </c>
      <c r="E672" t="s">
        <v>19</v>
      </c>
      <c r="F672" s="8" t="s">
        <v>117</v>
      </c>
      <c r="G672" t="s">
        <v>602</v>
      </c>
      <c r="H672" t="s">
        <v>713</v>
      </c>
      <c r="I672">
        <f t="shared" si="92"/>
        <v>120</v>
      </c>
      <c r="J672" t="s">
        <v>774</v>
      </c>
      <c r="K672" t="s">
        <v>486</v>
      </c>
      <c r="L672" t="s">
        <v>716</v>
      </c>
      <c r="M672" t="s">
        <v>214</v>
      </c>
      <c r="N672" t="s">
        <v>716</v>
      </c>
      <c r="Q672" t="s">
        <v>412</v>
      </c>
      <c r="R672" t="s">
        <v>709</v>
      </c>
      <c r="S672" t="s">
        <v>703</v>
      </c>
      <c r="T672" t="s">
        <v>615</v>
      </c>
      <c r="U672" s="1" t="s">
        <v>754</v>
      </c>
      <c r="V672" s="1">
        <f t="shared" si="93"/>
        <v>1.5111221614590173E-9</v>
      </c>
      <c r="W672" s="1"/>
      <c r="X672" s="1">
        <f>[86]Kyllo_etal_2003_Fig2b!C21</f>
        <v>3.9638554216867402E-9</v>
      </c>
      <c r="AA672" s="1">
        <f>[87]Kyllo_etal_2003_Fig2a!C21</f>
        <v>8.3920304232804204E-8</v>
      </c>
      <c r="AB672" s="1">
        <f>[88]Kyllo_etal_2003_Fig2c!C21</f>
        <v>9.4827586206896599E-8</v>
      </c>
      <c r="AC672" s="2">
        <f>[89]Kyllo_etal_2003_Fig1!B21</f>
        <v>180.066334991708</v>
      </c>
      <c r="AE672">
        <f>[90]Kyllo_etal_2003_Fig1b!B21</f>
        <v>0.40251572327044</v>
      </c>
      <c r="AJ672" t="s">
        <v>47</v>
      </c>
    </row>
    <row r="673" spans="1:36" x14ac:dyDescent="0.25">
      <c r="A673" t="s">
        <v>529</v>
      </c>
      <c r="B673" t="s">
        <v>530</v>
      </c>
      <c r="C673" t="s">
        <v>277</v>
      </c>
      <c r="D673" t="s">
        <v>531</v>
      </c>
      <c r="E673" t="s">
        <v>19</v>
      </c>
      <c r="F673" t="s">
        <v>117</v>
      </c>
      <c r="G673" t="s">
        <v>602</v>
      </c>
      <c r="H673" t="s">
        <v>713</v>
      </c>
      <c r="I673">
        <f t="shared" ref="I673:I676" si="94">15*30</f>
        <v>450</v>
      </c>
      <c r="J673" t="s">
        <v>481</v>
      </c>
      <c r="K673" t="s">
        <v>39</v>
      </c>
      <c r="L673" t="str">
        <f t="shared" ref="L673:L698" si="95">+IF(K673 = "Control", "Control", "Stress")</f>
        <v>Control</v>
      </c>
      <c r="Q673" t="s">
        <v>412</v>
      </c>
      <c r="R673" t="s">
        <v>709</v>
      </c>
      <c r="S673" t="s">
        <v>703</v>
      </c>
      <c r="T673" t="s">
        <v>615</v>
      </c>
      <c r="U673" s="1" t="s">
        <v>754</v>
      </c>
      <c r="V673" s="1">
        <f t="shared" ref="V673:V676" si="96">+AB673*AH673</f>
        <v>1.4252379110251414E-9</v>
      </c>
      <c r="W673" s="1"/>
      <c r="X673" s="1"/>
      <c r="Y673" s="1"/>
      <c r="Z673" s="1"/>
      <c r="AB673" s="1">
        <f>[91]Tyree_etal_2002_Fig5c!B2</f>
        <v>5.5241779497098502E-8</v>
      </c>
      <c r="AE673" s="2"/>
      <c r="AF673" s="2"/>
      <c r="AH673" s="10">
        <f t="shared" ref="AH673:AH676" si="97">258/10000</f>
        <v>2.58E-2</v>
      </c>
      <c r="AJ673" t="s">
        <v>47</v>
      </c>
    </row>
    <row r="674" spans="1:36" x14ac:dyDescent="0.25">
      <c r="A674" t="s">
        <v>529</v>
      </c>
      <c r="B674" t="s">
        <v>530</v>
      </c>
      <c r="C674" t="s">
        <v>277</v>
      </c>
      <c r="D674" t="s">
        <v>531</v>
      </c>
      <c r="E674" t="s">
        <v>19</v>
      </c>
      <c r="F674" t="s">
        <v>117</v>
      </c>
      <c r="G674" t="s">
        <v>602</v>
      </c>
      <c r="H674" t="s">
        <v>713</v>
      </c>
      <c r="I674">
        <f t="shared" si="94"/>
        <v>450</v>
      </c>
      <c r="J674" t="s">
        <v>481</v>
      </c>
      <c r="K674" t="s">
        <v>483</v>
      </c>
      <c r="L674" t="str">
        <f t="shared" si="95"/>
        <v>Stress</v>
      </c>
      <c r="Q674" t="s">
        <v>412</v>
      </c>
      <c r="R674" t="s">
        <v>709</v>
      </c>
      <c r="S674" t="s">
        <v>703</v>
      </c>
      <c r="T674" t="s">
        <v>615</v>
      </c>
      <c r="U674" s="1" t="s">
        <v>754</v>
      </c>
      <c r="V674" s="1">
        <f t="shared" si="96"/>
        <v>1.4092688588007733E-9</v>
      </c>
      <c r="W674" s="1"/>
      <c r="X674" s="1"/>
      <c r="Y674" s="1"/>
      <c r="Z674" s="1"/>
      <c r="AB674" s="1">
        <f>[91]Tyree_etal_2002_Fig5c!B3</f>
        <v>5.46228239845261E-8</v>
      </c>
      <c r="AE674" s="2"/>
      <c r="AF674" s="2"/>
      <c r="AH674" s="10">
        <f t="shared" si="97"/>
        <v>2.58E-2</v>
      </c>
      <c r="AJ674" t="s">
        <v>47</v>
      </c>
    </row>
    <row r="675" spans="1:36" x14ac:dyDescent="0.25">
      <c r="A675" t="s">
        <v>529</v>
      </c>
      <c r="B675" t="s">
        <v>530</v>
      </c>
      <c r="C675" t="s">
        <v>277</v>
      </c>
      <c r="D675" t="s">
        <v>531</v>
      </c>
      <c r="E675" t="s">
        <v>19</v>
      </c>
      <c r="F675" t="s">
        <v>117</v>
      </c>
      <c r="G675" t="s">
        <v>602</v>
      </c>
      <c r="H675" t="s">
        <v>713</v>
      </c>
      <c r="I675">
        <f t="shared" si="94"/>
        <v>450</v>
      </c>
      <c r="J675" t="s">
        <v>481</v>
      </c>
      <c r="K675" t="s">
        <v>482</v>
      </c>
      <c r="L675" t="str">
        <f t="shared" si="95"/>
        <v>Stress</v>
      </c>
      <c r="Q675" t="s">
        <v>412</v>
      </c>
      <c r="R675" t="s">
        <v>709</v>
      </c>
      <c r="S675" t="s">
        <v>703</v>
      </c>
      <c r="T675" t="s">
        <v>615</v>
      </c>
      <c r="U675" s="1" t="s">
        <v>754</v>
      </c>
      <c r="V675" s="1">
        <f t="shared" si="96"/>
        <v>6.5073887814313198E-10</v>
      </c>
      <c r="W675" s="1"/>
      <c r="X675" s="1"/>
      <c r="Y675" s="1"/>
      <c r="Z675" s="1"/>
      <c r="AB675" s="1">
        <f>[91]Tyree_etal_2002_Fig5c!B4</f>
        <v>2.5222437137330699E-8</v>
      </c>
      <c r="AE675" s="2"/>
      <c r="AF675" s="2"/>
      <c r="AH675" s="10">
        <f t="shared" si="97"/>
        <v>2.58E-2</v>
      </c>
      <c r="AJ675" t="s">
        <v>47</v>
      </c>
    </row>
    <row r="676" spans="1:36" x14ac:dyDescent="0.25">
      <c r="A676" t="s">
        <v>529</v>
      </c>
      <c r="B676" t="s">
        <v>530</v>
      </c>
      <c r="C676" t="s">
        <v>277</v>
      </c>
      <c r="D676" t="s">
        <v>531</v>
      </c>
      <c r="E676" t="s">
        <v>19</v>
      </c>
      <c r="F676" t="s">
        <v>117</v>
      </c>
      <c r="G676" t="s">
        <v>602</v>
      </c>
      <c r="H676" t="s">
        <v>713</v>
      </c>
      <c r="I676">
        <f t="shared" si="94"/>
        <v>450</v>
      </c>
      <c r="J676" t="s">
        <v>481</v>
      </c>
      <c r="K676" t="s">
        <v>484</v>
      </c>
      <c r="L676" t="str">
        <f t="shared" si="95"/>
        <v>Stress</v>
      </c>
      <c r="Q676" t="s">
        <v>412</v>
      </c>
      <c r="R676" t="s">
        <v>709</v>
      </c>
      <c r="S676" t="s">
        <v>703</v>
      </c>
      <c r="T676" t="s">
        <v>615</v>
      </c>
      <c r="U676" s="1" t="s">
        <v>754</v>
      </c>
      <c r="V676" s="1">
        <f t="shared" si="96"/>
        <v>6.1880077369438847E-10</v>
      </c>
      <c r="W676" s="1"/>
      <c r="X676" s="1"/>
      <c r="Y676" s="1"/>
      <c r="Z676" s="1"/>
      <c r="AB676" s="1">
        <f>[91]Tyree_etal_2002_Fig5c!B5</f>
        <v>2.39845261121856E-8</v>
      </c>
      <c r="AE676" s="2"/>
      <c r="AF676" s="2"/>
      <c r="AH676" s="10">
        <f t="shared" si="97"/>
        <v>2.58E-2</v>
      </c>
      <c r="AJ676" t="s">
        <v>47</v>
      </c>
    </row>
    <row r="677" spans="1:36" x14ac:dyDescent="0.25">
      <c r="A677" t="s">
        <v>293</v>
      </c>
      <c r="B677" t="s">
        <v>294</v>
      </c>
      <c r="C677" t="s">
        <v>295</v>
      </c>
      <c r="D677" t="s">
        <v>36</v>
      </c>
      <c r="E677" t="s">
        <v>19</v>
      </c>
      <c r="F677" t="s">
        <v>37</v>
      </c>
      <c r="G677" t="s">
        <v>622</v>
      </c>
      <c r="H677" t="s">
        <v>714</v>
      </c>
      <c r="J677" t="s">
        <v>406</v>
      </c>
      <c r="K677" t="s">
        <v>39</v>
      </c>
      <c r="L677" t="str">
        <f t="shared" si="95"/>
        <v>Control</v>
      </c>
      <c r="Q677" t="s">
        <v>412</v>
      </c>
      <c r="R677" t="s">
        <v>709</v>
      </c>
      <c r="S677" t="s">
        <v>703</v>
      </c>
      <c r="T677" t="s">
        <v>615</v>
      </c>
      <c r="U677" s="1"/>
      <c r="V677" s="1"/>
      <c r="W677" s="1"/>
      <c r="AA677" s="1">
        <f>25.5*18*0.000000001</f>
        <v>4.5900000000000002E-7</v>
      </c>
      <c r="AJ677" t="s">
        <v>47</v>
      </c>
    </row>
    <row r="678" spans="1:36" x14ac:dyDescent="0.25">
      <c r="A678" t="s">
        <v>293</v>
      </c>
      <c r="B678" t="s">
        <v>294</v>
      </c>
      <c r="C678" t="s">
        <v>295</v>
      </c>
      <c r="D678" t="s">
        <v>36</v>
      </c>
      <c r="E678" t="s">
        <v>19</v>
      </c>
      <c r="F678" t="s">
        <v>37</v>
      </c>
      <c r="G678" t="s">
        <v>622</v>
      </c>
      <c r="H678" t="s">
        <v>714</v>
      </c>
      <c r="J678" t="s">
        <v>406</v>
      </c>
      <c r="K678" t="s">
        <v>711</v>
      </c>
      <c r="L678" t="str">
        <f t="shared" si="95"/>
        <v>Stress</v>
      </c>
      <c r="Q678" t="s">
        <v>412</v>
      </c>
      <c r="R678" t="s">
        <v>709</v>
      </c>
      <c r="S678" t="s">
        <v>703</v>
      </c>
      <c r="T678" t="s">
        <v>615</v>
      </c>
      <c r="U678" s="1"/>
      <c r="V678" s="1"/>
      <c r="W678" s="1"/>
      <c r="AA678" s="1">
        <f>11.9*18*0.000000001</f>
        <v>2.1420000000000003E-7</v>
      </c>
      <c r="AJ678" t="s">
        <v>47</v>
      </c>
    </row>
    <row r="679" spans="1:36" x14ac:dyDescent="0.25">
      <c r="A679" t="s">
        <v>296</v>
      </c>
      <c r="B679" t="s">
        <v>748</v>
      </c>
      <c r="C679" t="s">
        <v>199</v>
      </c>
      <c r="D679" t="s">
        <v>200</v>
      </c>
      <c r="E679" t="s">
        <v>19</v>
      </c>
      <c r="F679" t="s">
        <v>266</v>
      </c>
      <c r="G679" t="s">
        <v>620</v>
      </c>
      <c r="H679" t="s">
        <v>713</v>
      </c>
      <c r="I679">
        <f>10*30+10*7</f>
        <v>370</v>
      </c>
      <c r="J679" t="s">
        <v>665</v>
      </c>
      <c r="K679" t="s">
        <v>39</v>
      </c>
      <c r="L679" t="str">
        <f t="shared" si="95"/>
        <v>Control</v>
      </c>
      <c r="M679" t="s">
        <v>214</v>
      </c>
      <c r="N679" t="s">
        <v>716</v>
      </c>
      <c r="Q679" t="s">
        <v>412</v>
      </c>
      <c r="R679" t="s">
        <v>709</v>
      </c>
      <c r="S679" t="s">
        <v>703</v>
      </c>
      <c r="T679" t="s">
        <v>615</v>
      </c>
      <c r="U679" s="1" t="s">
        <v>755</v>
      </c>
      <c r="V679" s="1">
        <f>[92]Sheet1!A2</f>
        <v>2.4329896907216402E-9</v>
      </c>
      <c r="W679" s="1"/>
      <c r="AE679">
        <v>4.0999999999999996</v>
      </c>
      <c r="AJ679" t="s">
        <v>47</v>
      </c>
    </row>
    <row r="680" spans="1:36" x14ac:dyDescent="0.25">
      <c r="A680" t="s">
        <v>296</v>
      </c>
      <c r="B680" t="s">
        <v>748</v>
      </c>
      <c r="C680" t="s">
        <v>199</v>
      </c>
      <c r="D680" t="s">
        <v>200</v>
      </c>
      <c r="E680" t="s">
        <v>19</v>
      </c>
      <c r="F680" t="s">
        <v>266</v>
      </c>
      <c r="G680" t="s">
        <v>620</v>
      </c>
      <c r="H680" t="s">
        <v>713</v>
      </c>
      <c r="I680">
        <f>10*30+10*7</f>
        <v>370</v>
      </c>
      <c r="J680" t="s">
        <v>665</v>
      </c>
      <c r="K680" t="s">
        <v>84</v>
      </c>
      <c r="L680" t="str">
        <f t="shared" si="95"/>
        <v>Stress</v>
      </c>
      <c r="M680" t="s">
        <v>214</v>
      </c>
      <c r="N680" t="s">
        <v>716</v>
      </c>
      <c r="Q680" t="s">
        <v>412</v>
      </c>
      <c r="R680" t="s">
        <v>709</v>
      </c>
      <c r="S680" t="s">
        <v>703</v>
      </c>
      <c r="T680" t="s">
        <v>615</v>
      </c>
      <c r="U680" s="1" t="s">
        <v>755</v>
      </c>
      <c r="V680" s="1">
        <f>[92]Sheet1!A3</f>
        <v>1.4845360824742201E-9</v>
      </c>
      <c r="W680" s="1"/>
      <c r="AE680">
        <v>4.3</v>
      </c>
      <c r="AJ680" t="s">
        <v>47</v>
      </c>
    </row>
    <row r="681" spans="1:36" x14ac:dyDescent="0.25">
      <c r="A681" t="s">
        <v>296</v>
      </c>
      <c r="B681" t="s">
        <v>748</v>
      </c>
      <c r="C681" t="s">
        <v>199</v>
      </c>
      <c r="D681" t="s">
        <v>200</v>
      </c>
      <c r="E681" t="s">
        <v>19</v>
      </c>
      <c r="F681" t="s">
        <v>266</v>
      </c>
      <c r="G681" t="s">
        <v>620</v>
      </c>
      <c r="H681" t="s">
        <v>713</v>
      </c>
      <c r="I681">
        <f>10*30+10*7</f>
        <v>370</v>
      </c>
      <c r="J681" t="s">
        <v>665</v>
      </c>
      <c r="K681" t="s">
        <v>39</v>
      </c>
      <c r="L681" t="str">
        <f t="shared" si="95"/>
        <v>Control</v>
      </c>
      <c r="M681" t="s">
        <v>353</v>
      </c>
      <c r="N681" t="s">
        <v>716</v>
      </c>
      <c r="Q681" t="s">
        <v>412</v>
      </c>
      <c r="R681" t="s">
        <v>709</v>
      </c>
      <c r="S681" t="s">
        <v>703</v>
      </c>
      <c r="T681" t="s">
        <v>615</v>
      </c>
      <c r="U681" s="1" t="s">
        <v>755</v>
      </c>
      <c r="V681" s="1">
        <f>[92]Sheet1!A4</f>
        <v>8.4123711340206105E-9</v>
      </c>
      <c r="W681" s="1"/>
      <c r="AE681">
        <v>4.5</v>
      </c>
      <c r="AJ681" t="s">
        <v>47</v>
      </c>
    </row>
    <row r="682" spans="1:36" x14ac:dyDescent="0.25">
      <c r="A682" t="s">
        <v>296</v>
      </c>
      <c r="B682" t="s">
        <v>748</v>
      </c>
      <c r="C682" t="s">
        <v>199</v>
      </c>
      <c r="D682" t="s">
        <v>200</v>
      </c>
      <c r="E682" t="s">
        <v>19</v>
      </c>
      <c r="F682" t="s">
        <v>266</v>
      </c>
      <c r="G682" t="s">
        <v>620</v>
      </c>
      <c r="H682" t="s">
        <v>713</v>
      </c>
      <c r="I682">
        <f>10*30+10*7</f>
        <v>370</v>
      </c>
      <c r="J682" t="s">
        <v>665</v>
      </c>
      <c r="K682" t="s">
        <v>84</v>
      </c>
      <c r="L682" t="str">
        <f t="shared" si="95"/>
        <v>Stress</v>
      </c>
      <c r="M682" t="s">
        <v>353</v>
      </c>
      <c r="N682" t="s">
        <v>716</v>
      </c>
      <c r="Q682" t="s">
        <v>412</v>
      </c>
      <c r="R682" t="s">
        <v>709</v>
      </c>
      <c r="S682" t="s">
        <v>703</v>
      </c>
      <c r="T682" t="s">
        <v>615</v>
      </c>
      <c r="U682" s="1" t="s">
        <v>755</v>
      </c>
      <c r="V682" s="1">
        <f>[92]Sheet1!A5</f>
        <v>6.1855670103092703E-9</v>
      </c>
      <c r="W682" s="1"/>
      <c r="AE682">
        <v>4.9000000000000004</v>
      </c>
      <c r="AJ682" t="s">
        <v>47</v>
      </c>
    </row>
    <row r="683" spans="1:36" x14ac:dyDescent="0.25">
      <c r="A683" t="s">
        <v>747</v>
      </c>
      <c r="B683" t="s">
        <v>255</v>
      </c>
      <c r="C683" t="s">
        <v>256</v>
      </c>
      <c r="D683" t="s">
        <v>257</v>
      </c>
      <c r="E683" t="s">
        <v>19</v>
      </c>
      <c r="F683" t="s">
        <v>72</v>
      </c>
      <c r="G683" t="s">
        <v>624</v>
      </c>
      <c r="H683" t="s">
        <v>713</v>
      </c>
      <c r="I683">
        <f t="shared" ref="I683:I696" si="98">+(12+4+8)*7</f>
        <v>168</v>
      </c>
      <c r="J683" t="s">
        <v>672</v>
      </c>
      <c r="K683" t="s">
        <v>39</v>
      </c>
      <c r="L683" t="str">
        <f t="shared" si="95"/>
        <v>Control</v>
      </c>
      <c r="M683" t="s">
        <v>353</v>
      </c>
      <c r="N683" t="s">
        <v>716</v>
      </c>
      <c r="Q683" t="s">
        <v>412</v>
      </c>
      <c r="R683" t="s">
        <v>709</v>
      </c>
      <c r="S683" t="s">
        <v>703</v>
      </c>
      <c r="T683" t="s">
        <v>615</v>
      </c>
      <c r="U683" s="1" t="s">
        <v>755</v>
      </c>
      <c r="V683" s="1">
        <f>'[93]Muhsin&amp;Zwiazek_2002_Fig5'!C2</f>
        <v>5.5587628865979304E-9</v>
      </c>
      <c r="W683" s="1"/>
      <c r="AJ683" t="s">
        <v>47</v>
      </c>
    </row>
    <row r="684" spans="1:36" x14ac:dyDescent="0.25">
      <c r="A684" t="s">
        <v>747</v>
      </c>
      <c r="B684" t="s">
        <v>255</v>
      </c>
      <c r="C684" t="s">
        <v>256</v>
      </c>
      <c r="D684" t="s">
        <v>257</v>
      </c>
      <c r="E684" t="s">
        <v>19</v>
      </c>
      <c r="F684" t="s">
        <v>72</v>
      </c>
      <c r="G684" t="s">
        <v>624</v>
      </c>
      <c r="H684" t="s">
        <v>713</v>
      </c>
      <c r="I684">
        <f t="shared" si="98"/>
        <v>168</v>
      </c>
      <c r="J684" t="s">
        <v>672</v>
      </c>
      <c r="K684" t="s">
        <v>711</v>
      </c>
      <c r="L684" t="str">
        <f t="shared" si="95"/>
        <v>Stress</v>
      </c>
      <c r="M684" t="s">
        <v>353</v>
      </c>
      <c r="N684" t="s">
        <v>716</v>
      </c>
      <c r="Q684" t="s">
        <v>412</v>
      </c>
      <c r="R684" t="s">
        <v>709</v>
      </c>
      <c r="S684" t="s">
        <v>703</v>
      </c>
      <c r="T684" t="s">
        <v>615</v>
      </c>
      <c r="U684" s="1" t="s">
        <v>755</v>
      </c>
      <c r="V684" s="1">
        <f>'[93]Muhsin&amp;Zwiazek_2002_Fig5'!C3</f>
        <v>4.5030927835051505E-9</v>
      </c>
      <c r="W684" s="1"/>
      <c r="AJ684" t="s">
        <v>47</v>
      </c>
    </row>
    <row r="685" spans="1:36" x14ac:dyDescent="0.25">
      <c r="A685" t="s">
        <v>747</v>
      </c>
      <c r="B685" t="s">
        <v>255</v>
      </c>
      <c r="C685" t="s">
        <v>256</v>
      </c>
      <c r="D685" t="s">
        <v>257</v>
      </c>
      <c r="E685" t="s">
        <v>19</v>
      </c>
      <c r="F685" t="s">
        <v>72</v>
      </c>
      <c r="G685" t="s">
        <v>624</v>
      </c>
      <c r="H685" t="s">
        <v>713</v>
      </c>
      <c r="I685">
        <f t="shared" si="98"/>
        <v>168</v>
      </c>
      <c r="J685" t="s">
        <v>672</v>
      </c>
      <c r="K685" t="s">
        <v>39</v>
      </c>
      <c r="L685" t="str">
        <f t="shared" si="95"/>
        <v>Control</v>
      </c>
      <c r="M685" t="s">
        <v>214</v>
      </c>
      <c r="N685" t="s">
        <v>716</v>
      </c>
      <c r="Q685" t="s">
        <v>412</v>
      </c>
      <c r="R685" t="s">
        <v>709</v>
      </c>
      <c r="S685" t="s">
        <v>703</v>
      </c>
      <c r="T685" t="s">
        <v>615</v>
      </c>
      <c r="U685" s="1" t="s">
        <v>755</v>
      </c>
      <c r="V685" s="1">
        <f>'[93]Muhsin&amp;Zwiazek_2002_Fig5'!C4</f>
        <v>2.6721649484536002E-9</v>
      </c>
      <c r="W685" s="1"/>
      <c r="AJ685" t="s">
        <v>47</v>
      </c>
    </row>
    <row r="686" spans="1:36" x14ac:dyDescent="0.25">
      <c r="A686" t="s">
        <v>747</v>
      </c>
      <c r="B686" t="s">
        <v>255</v>
      </c>
      <c r="C686" t="s">
        <v>256</v>
      </c>
      <c r="D686" t="s">
        <v>257</v>
      </c>
      <c r="E686" t="s">
        <v>19</v>
      </c>
      <c r="F686" t="s">
        <v>72</v>
      </c>
      <c r="G686" t="s">
        <v>624</v>
      </c>
      <c r="H686" t="s">
        <v>713</v>
      </c>
      <c r="I686">
        <f t="shared" si="98"/>
        <v>168</v>
      </c>
      <c r="J686" t="s">
        <v>672</v>
      </c>
      <c r="K686" t="s">
        <v>711</v>
      </c>
      <c r="L686" t="str">
        <f t="shared" si="95"/>
        <v>Stress</v>
      </c>
      <c r="M686" t="s">
        <v>214</v>
      </c>
      <c r="N686" t="s">
        <v>716</v>
      </c>
      <c r="Q686" t="s">
        <v>412</v>
      </c>
      <c r="R686" t="s">
        <v>709</v>
      </c>
      <c r="S686" t="s">
        <v>703</v>
      </c>
      <c r="T686" t="s">
        <v>615</v>
      </c>
      <c r="U686" s="1" t="s">
        <v>755</v>
      </c>
      <c r="V686" s="1">
        <f>'[93]Muhsin&amp;Zwiazek_2002_Fig5'!C5</f>
        <v>1.0391752577319501E-9</v>
      </c>
      <c r="W686" s="1"/>
      <c r="AJ686" t="s">
        <v>47</v>
      </c>
    </row>
    <row r="687" spans="1:36" x14ac:dyDescent="0.25">
      <c r="A687" t="s">
        <v>747</v>
      </c>
      <c r="B687" t="s">
        <v>255</v>
      </c>
      <c r="C687" t="s">
        <v>256</v>
      </c>
      <c r="D687" t="s">
        <v>257</v>
      </c>
      <c r="E687" t="s">
        <v>19</v>
      </c>
      <c r="F687" t="s">
        <v>72</v>
      </c>
      <c r="G687" t="s">
        <v>624</v>
      </c>
      <c r="H687" t="s">
        <v>713</v>
      </c>
      <c r="I687">
        <f t="shared" si="98"/>
        <v>168</v>
      </c>
      <c r="J687" t="s">
        <v>746</v>
      </c>
      <c r="K687" t="s">
        <v>353</v>
      </c>
      <c r="L687" t="str">
        <f t="shared" si="95"/>
        <v>Stress</v>
      </c>
      <c r="Q687" t="s">
        <v>412</v>
      </c>
      <c r="R687" t="s">
        <v>709</v>
      </c>
      <c r="S687" t="s">
        <v>703</v>
      </c>
      <c r="T687" t="s">
        <v>615</v>
      </c>
      <c r="U687" s="1"/>
      <c r="V687" s="1"/>
      <c r="W687" s="1"/>
      <c r="AA687" s="1">
        <f>'[94]Muhsin&amp;Zwiazek_2002_Fig4'!C2</f>
        <v>6.2222222222222194E-7</v>
      </c>
      <c r="AJ687" t="s">
        <v>47</v>
      </c>
    </row>
    <row r="688" spans="1:36" x14ac:dyDescent="0.25">
      <c r="A688" t="s">
        <v>747</v>
      </c>
      <c r="B688" t="s">
        <v>255</v>
      </c>
      <c r="C688" t="s">
        <v>256</v>
      </c>
      <c r="D688" t="s">
        <v>257</v>
      </c>
      <c r="E688" t="s">
        <v>19</v>
      </c>
      <c r="F688" t="s">
        <v>72</v>
      </c>
      <c r="G688" t="s">
        <v>624</v>
      </c>
      <c r="H688" t="s">
        <v>713</v>
      </c>
      <c r="I688">
        <f t="shared" si="98"/>
        <v>168</v>
      </c>
      <c r="J688" t="s">
        <v>746</v>
      </c>
      <c r="K688" t="s">
        <v>353</v>
      </c>
      <c r="L688" t="str">
        <f t="shared" si="95"/>
        <v>Stress</v>
      </c>
      <c r="Q688" t="s">
        <v>412</v>
      </c>
      <c r="R688" t="s">
        <v>709</v>
      </c>
      <c r="S688" t="s">
        <v>703</v>
      </c>
      <c r="T688" t="s">
        <v>615</v>
      </c>
      <c r="U688" s="1"/>
      <c r="V688" s="1"/>
      <c r="W688" s="1"/>
      <c r="AA688" s="1">
        <f>'[94]Muhsin&amp;Zwiazek_2002_Fig4'!C3</f>
        <v>7.4188034188034103E-7</v>
      </c>
      <c r="AJ688" t="s">
        <v>47</v>
      </c>
    </row>
    <row r="689" spans="1:36" x14ac:dyDescent="0.25">
      <c r="A689" t="s">
        <v>747</v>
      </c>
      <c r="B689" t="s">
        <v>255</v>
      </c>
      <c r="C689" t="s">
        <v>256</v>
      </c>
      <c r="D689" t="s">
        <v>257</v>
      </c>
      <c r="E689" t="s">
        <v>19</v>
      </c>
      <c r="F689" t="s">
        <v>72</v>
      </c>
      <c r="G689" t="s">
        <v>624</v>
      </c>
      <c r="H689" t="s">
        <v>713</v>
      </c>
      <c r="I689">
        <f t="shared" si="98"/>
        <v>168</v>
      </c>
      <c r="J689" t="s">
        <v>746</v>
      </c>
      <c r="K689" t="s">
        <v>353</v>
      </c>
      <c r="L689" t="str">
        <f t="shared" si="95"/>
        <v>Stress</v>
      </c>
      <c r="Q689" t="s">
        <v>412</v>
      </c>
      <c r="R689" t="s">
        <v>709</v>
      </c>
      <c r="S689" t="s">
        <v>703</v>
      </c>
      <c r="T689" t="s">
        <v>615</v>
      </c>
      <c r="U689" s="1"/>
      <c r="V689" s="1"/>
      <c r="W689" s="1"/>
      <c r="AA689" s="1">
        <f>'[94]Muhsin&amp;Zwiazek_2002_Fig4'!C4</f>
        <v>9.3333333333333301E-7</v>
      </c>
      <c r="AJ689" t="s">
        <v>47</v>
      </c>
    </row>
    <row r="690" spans="1:36" x14ac:dyDescent="0.25">
      <c r="A690" t="s">
        <v>747</v>
      </c>
      <c r="B690" t="s">
        <v>255</v>
      </c>
      <c r="C690" t="s">
        <v>256</v>
      </c>
      <c r="D690" t="s">
        <v>257</v>
      </c>
      <c r="E690" t="s">
        <v>19</v>
      </c>
      <c r="F690" t="s">
        <v>72</v>
      </c>
      <c r="G690" t="s">
        <v>624</v>
      </c>
      <c r="H690" t="s">
        <v>713</v>
      </c>
      <c r="I690">
        <f t="shared" si="98"/>
        <v>168</v>
      </c>
      <c r="J690" t="s">
        <v>746</v>
      </c>
      <c r="K690" t="s">
        <v>353</v>
      </c>
      <c r="L690" t="str">
        <f t="shared" si="95"/>
        <v>Stress</v>
      </c>
      <c r="Q690" t="s">
        <v>412</v>
      </c>
      <c r="R690" t="s">
        <v>709</v>
      </c>
      <c r="S690" t="s">
        <v>703</v>
      </c>
      <c r="T690" t="s">
        <v>615</v>
      </c>
      <c r="U690" s="1"/>
      <c r="V690" s="1"/>
      <c r="W690" s="1"/>
      <c r="AA690" s="1">
        <f>'[94]Muhsin&amp;Zwiazek_2002_Fig4'!C5</f>
        <v>1.32649572649572E-6</v>
      </c>
      <c r="AJ690" t="s">
        <v>47</v>
      </c>
    </row>
    <row r="691" spans="1:36" x14ac:dyDescent="0.25">
      <c r="A691" t="s">
        <v>747</v>
      </c>
      <c r="B691" t="s">
        <v>255</v>
      </c>
      <c r="C691" t="s">
        <v>256</v>
      </c>
      <c r="D691" t="s">
        <v>257</v>
      </c>
      <c r="E691" t="s">
        <v>19</v>
      </c>
      <c r="F691" t="s">
        <v>72</v>
      </c>
      <c r="G691" t="s">
        <v>624</v>
      </c>
      <c r="H691" t="s">
        <v>713</v>
      </c>
      <c r="I691">
        <f t="shared" si="98"/>
        <v>168</v>
      </c>
      <c r="J691" t="s">
        <v>746</v>
      </c>
      <c r="K691" t="s">
        <v>353</v>
      </c>
      <c r="L691" t="str">
        <f t="shared" si="95"/>
        <v>Stress</v>
      </c>
      <c r="Q691" t="s">
        <v>412</v>
      </c>
      <c r="R691" t="s">
        <v>709</v>
      </c>
      <c r="S691" t="s">
        <v>703</v>
      </c>
      <c r="T691" t="s">
        <v>615</v>
      </c>
      <c r="U691" s="1"/>
      <c r="V691" s="1"/>
      <c r="W691" s="1"/>
      <c r="AA691" s="1">
        <f>'[94]Muhsin&amp;Zwiazek_2002_Fig4'!C6</f>
        <v>1.43247863247863E-6</v>
      </c>
      <c r="AJ691" t="s">
        <v>47</v>
      </c>
    </row>
    <row r="692" spans="1:36" x14ac:dyDescent="0.25">
      <c r="A692" t="s">
        <v>747</v>
      </c>
      <c r="B692" t="s">
        <v>255</v>
      </c>
      <c r="C692" t="s">
        <v>256</v>
      </c>
      <c r="D692" t="s">
        <v>257</v>
      </c>
      <c r="E692" t="s">
        <v>19</v>
      </c>
      <c r="F692" t="s">
        <v>72</v>
      </c>
      <c r="G692" t="s">
        <v>624</v>
      </c>
      <c r="H692" t="s">
        <v>713</v>
      </c>
      <c r="I692">
        <f t="shared" si="98"/>
        <v>168</v>
      </c>
      <c r="J692" t="s">
        <v>746</v>
      </c>
      <c r="K692" t="s">
        <v>214</v>
      </c>
      <c r="L692" t="str">
        <f t="shared" si="95"/>
        <v>Stress</v>
      </c>
      <c r="Q692" t="s">
        <v>412</v>
      </c>
      <c r="R692" t="s">
        <v>709</v>
      </c>
      <c r="S692" t="s">
        <v>703</v>
      </c>
      <c r="T692" t="s">
        <v>615</v>
      </c>
      <c r="U692" s="1"/>
      <c r="V692" s="1"/>
      <c r="W692" s="1"/>
      <c r="AA692" s="1">
        <f>'[94]Muhsin&amp;Zwiazek_2002_Fig4'!C7</f>
        <v>2.0170940170940099E-7</v>
      </c>
      <c r="AJ692" t="s">
        <v>47</v>
      </c>
    </row>
    <row r="693" spans="1:36" x14ac:dyDescent="0.25">
      <c r="A693" t="s">
        <v>747</v>
      </c>
      <c r="B693" t="s">
        <v>255</v>
      </c>
      <c r="C693" t="s">
        <v>256</v>
      </c>
      <c r="D693" t="s">
        <v>257</v>
      </c>
      <c r="E693" t="s">
        <v>19</v>
      </c>
      <c r="F693" t="s">
        <v>72</v>
      </c>
      <c r="G693" t="s">
        <v>624</v>
      </c>
      <c r="H693" t="s">
        <v>713</v>
      </c>
      <c r="I693">
        <f t="shared" si="98"/>
        <v>168</v>
      </c>
      <c r="J693" t="s">
        <v>746</v>
      </c>
      <c r="K693" t="s">
        <v>214</v>
      </c>
      <c r="L693" t="str">
        <f t="shared" si="95"/>
        <v>Stress</v>
      </c>
      <c r="Q693" t="s">
        <v>412</v>
      </c>
      <c r="R693" t="s">
        <v>709</v>
      </c>
      <c r="S693" t="s">
        <v>703</v>
      </c>
      <c r="T693" t="s">
        <v>615</v>
      </c>
      <c r="U693" s="1"/>
      <c r="V693" s="1"/>
      <c r="W693" s="1"/>
      <c r="AA693" s="1">
        <f>'[94]Muhsin&amp;Zwiazek_2002_Fig4'!C8</f>
        <v>2.32478632478632E-7</v>
      </c>
      <c r="AJ693" t="s">
        <v>47</v>
      </c>
    </row>
    <row r="694" spans="1:36" x14ac:dyDescent="0.25">
      <c r="A694" t="s">
        <v>747</v>
      </c>
      <c r="B694" t="s">
        <v>255</v>
      </c>
      <c r="C694" t="s">
        <v>256</v>
      </c>
      <c r="D694" t="s">
        <v>257</v>
      </c>
      <c r="E694" t="s">
        <v>19</v>
      </c>
      <c r="F694" t="s">
        <v>72</v>
      </c>
      <c r="G694" t="s">
        <v>624</v>
      </c>
      <c r="H694" t="s">
        <v>713</v>
      </c>
      <c r="I694">
        <f t="shared" si="98"/>
        <v>168</v>
      </c>
      <c r="J694" t="s">
        <v>746</v>
      </c>
      <c r="K694" t="s">
        <v>214</v>
      </c>
      <c r="L694" t="str">
        <f t="shared" si="95"/>
        <v>Stress</v>
      </c>
      <c r="Q694" t="s">
        <v>412</v>
      </c>
      <c r="R694" t="s">
        <v>709</v>
      </c>
      <c r="S694" t="s">
        <v>703</v>
      </c>
      <c r="T694" t="s">
        <v>615</v>
      </c>
      <c r="U694" s="1"/>
      <c r="V694" s="1"/>
      <c r="W694" s="1"/>
      <c r="AA694" s="1">
        <f>'[94]Muhsin&amp;Zwiazek_2002_Fig4'!C9</f>
        <v>3.4871794871794797E-7</v>
      </c>
      <c r="AJ694" t="s">
        <v>47</v>
      </c>
    </row>
    <row r="695" spans="1:36" x14ac:dyDescent="0.25">
      <c r="A695" t="s">
        <v>747</v>
      </c>
      <c r="B695" t="s">
        <v>255</v>
      </c>
      <c r="C695" t="s">
        <v>256</v>
      </c>
      <c r="D695" t="s">
        <v>257</v>
      </c>
      <c r="E695" t="s">
        <v>19</v>
      </c>
      <c r="F695" t="s">
        <v>72</v>
      </c>
      <c r="G695" t="s">
        <v>624</v>
      </c>
      <c r="H695" t="s">
        <v>713</v>
      </c>
      <c r="I695">
        <f t="shared" si="98"/>
        <v>168</v>
      </c>
      <c r="J695" t="s">
        <v>746</v>
      </c>
      <c r="K695" t="s">
        <v>214</v>
      </c>
      <c r="L695" t="str">
        <f t="shared" si="95"/>
        <v>Stress</v>
      </c>
      <c r="Q695" t="s">
        <v>412</v>
      </c>
      <c r="R695" t="s">
        <v>709</v>
      </c>
      <c r="S695" t="s">
        <v>703</v>
      </c>
      <c r="T695" t="s">
        <v>615</v>
      </c>
      <c r="U695" s="1"/>
      <c r="V695" s="1"/>
      <c r="W695" s="1"/>
      <c r="AA695" s="1">
        <f>'[94]Muhsin&amp;Zwiazek_2002_Fig4'!C10</f>
        <v>5.1282051282051199E-7</v>
      </c>
      <c r="AJ695" t="s">
        <v>47</v>
      </c>
    </row>
    <row r="696" spans="1:36" x14ac:dyDescent="0.25">
      <c r="A696" t="s">
        <v>747</v>
      </c>
      <c r="B696" t="s">
        <v>255</v>
      </c>
      <c r="C696" t="s">
        <v>256</v>
      </c>
      <c r="D696" t="s">
        <v>257</v>
      </c>
      <c r="E696" t="s">
        <v>19</v>
      </c>
      <c r="F696" t="s">
        <v>72</v>
      </c>
      <c r="G696" t="s">
        <v>624</v>
      </c>
      <c r="H696" t="s">
        <v>713</v>
      </c>
      <c r="I696">
        <f t="shared" si="98"/>
        <v>168</v>
      </c>
      <c r="J696" t="s">
        <v>746</v>
      </c>
      <c r="K696" t="s">
        <v>214</v>
      </c>
      <c r="L696" t="str">
        <f t="shared" si="95"/>
        <v>Stress</v>
      </c>
      <c r="Q696" t="s">
        <v>412</v>
      </c>
      <c r="R696" t="s">
        <v>709</v>
      </c>
      <c r="S696" t="s">
        <v>703</v>
      </c>
      <c r="T696" t="s">
        <v>615</v>
      </c>
      <c r="U696" s="1"/>
      <c r="V696" s="1"/>
      <c r="W696" s="1"/>
      <c r="AA696" s="1">
        <f>'[94]Muhsin&amp;Zwiazek_2002_Fig4'!C11</f>
        <v>5.4017094017094E-7</v>
      </c>
      <c r="AJ696" t="s">
        <v>47</v>
      </c>
    </row>
    <row r="697" spans="1:36" x14ac:dyDescent="0.25">
      <c r="A697" t="s">
        <v>749</v>
      </c>
      <c r="B697" t="s">
        <v>128</v>
      </c>
      <c r="C697" t="s">
        <v>70</v>
      </c>
      <c r="D697" t="s">
        <v>71</v>
      </c>
      <c r="E697" t="s">
        <v>19</v>
      </c>
      <c r="F697" t="s">
        <v>129</v>
      </c>
      <c r="G697" t="s">
        <v>624</v>
      </c>
      <c r="H697" t="s">
        <v>713</v>
      </c>
      <c r="I697">
        <f>+(6+3)*7+10</f>
        <v>73</v>
      </c>
      <c r="J697" t="s">
        <v>229</v>
      </c>
      <c r="K697" t="s">
        <v>39</v>
      </c>
      <c r="L697" t="str">
        <f t="shared" si="95"/>
        <v>Control</v>
      </c>
      <c r="Q697" t="s">
        <v>412</v>
      </c>
      <c r="R697" t="s">
        <v>709</v>
      </c>
      <c r="S697" t="s">
        <v>703</v>
      </c>
      <c r="T697" t="s">
        <v>615</v>
      </c>
      <c r="U697" s="1"/>
      <c r="V697" s="1"/>
      <c r="W697" s="1"/>
      <c r="Z697" s="1">
        <f>[95]Sheet1!A2</f>
        <v>4.30534351145038E-10</v>
      </c>
      <c r="AJ697" t="s">
        <v>47</v>
      </c>
    </row>
    <row r="698" spans="1:36" x14ac:dyDescent="0.25">
      <c r="A698" t="s">
        <v>749</v>
      </c>
      <c r="B698" t="s">
        <v>128</v>
      </c>
      <c r="C698" t="s">
        <v>70</v>
      </c>
      <c r="D698" t="s">
        <v>71</v>
      </c>
      <c r="E698" t="s">
        <v>19</v>
      </c>
      <c r="F698" t="s">
        <v>129</v>
      </c>
      <c r="G698" t="s">
        <v>624</v>
      </c>
      <c r="H698" t="s">
        <v>713</v>
      </c>
      <c r="I698">
        <f>+(6+3)*7+10</f>
        <v>73</v>
      </c>
      <c r="J698" t="s">
        <v>229</v>
      </c>
      <c r="K698" t="s">
        <v>229</v>
      </c>
      <c r="L698" t="str">
        <f t="shared" si="95"/>
        <v>Stress</v>
      </c>
      <c r="Q698" t="s">
        <v>412</v>
      </c>
      <c r="R698" t="s">
        <v>709</v>
      </c>
      <c r="S698" t="s">
        <v>703</v>
      </c>
      <c r="T698" t="s">
        <v>615</v>
      </c>
      <c r="U698" s="1"/>
      <c r="V698" s="1"/>
      <c r="W698" s="1"/>
      <c r="Z698" s="1">
        <f>[95]Sheet1!A3</f>
        <v>1.2480916030534301E-10</v>
      </c>
      <c r="AJ698" t="s">
        <v>47</v>
      </c>
    </row>
    <row r="699" spans="1:36" x14ac:dyDescent="0.25">
      <c r="A699" t="s">
        <v>297</v>
      </c>
      <c r="B699" t="s">
        <v>298</v>
      </c>
      <c r="C699" t="s">
        <v>142</v>
      </c>
      <c r="D699" t="s">
        <v>143</v>
      </c>
      <c r="E699" t="s">
        <v>19</v>
      </c>
      <c r="F699" t="s">
        <v>72</v>
      </c>
      <c r="G699" t="s">
        <v>624</v>
      </c>
      <c r="H699" t="s">
        <v>713</v>
      </c>
      <c r="I699">
        <f>5*30</f>
        <v>150</v>
      </c>
      <c r="J699" t="s">
        <v>778</v>
      </c>
      <c r="Q699" t="s">
        <v>412</v>
      </c>
      <c r="R699" t="s">
        <v>709</v>
      </c>
      <c r="S699" t="s">
        <v>703</v>
      </c>
      <c r="T699" t="s">
        <v>615</v>
      </c>
      <c r="U699" s="1" t="s">
        <v>755</v>
      </c>
      <c r="V699" s="1">
        <f>0.29*18*0.000000001</f>
        <v>5.2199999999999998E-9</v>
      </c>
      <c r="W699" s="1"/>
      <c r="AA699" s="1">
        <f>1.02*18*0.000000001</f>
        <v>1.836E-8</v>
      </c>
      <c r="AC699" s="3">
        <f>+V699/AA699*10000</f>
        <v>2843.1372549019607</v>
      </c>
      <c r="AJ699" t="s">
        <v>47</v>
      </c>
    </row>
    <row r="700" spans="1:36" x14ac:dyDescent="0.25">
      <c r="A700" t="s">
        <v>297</v>
      </c>
      <c r="B700" t="s">
        <v>168</v>
      </c>
      <c r="C700" t="s">
        <v>169</v>
      </c>
      <c r="D700" t="s">
        <v>143</v>
      </c>
      <c r="E700" t="s">
        <v>19</v>
      </c>
      <c r="F700" t="s">
        <v>72</v>
      </c>
      <c r="G700" t="s">
        <v>624</v>
      </c>
      <c r="H700" t="s">
        <v>713</v>
      </c>
      <c r="I700">
        <f>1*365</f>
        <v>365</v>
      </c>
      <c r="J700" t="s">
        <v>778</v>
      </c>
      <c r="Q700" t="s">
        <v>412</v>
      </c>
      <c r="R700" t="s">
        <v>709</v>
      </c>
      <c r="S700" t="s">
        <v>703</v>
      </c>
      <c r="T700" t="s">
        <v>615</v>
      </c>
      <c r="U700" s="1"/>
      <c r="V700" s="1"/>
      <c r="W700" s="1"/>
      <c r="AA700" s="1">
        <f>0.58*18*0.000000001</f>
        <v>1.044E-8</v>
      </c>
      <c r="AJ700" t="s">
        <v>47</v>
      </c>
    </row>
    <row r="701" spans="1:36" x14ac:dyDescent="0.25">
      <c r="A701" t="s">
        <v>131</v>
      </c>
      <c r="B701" t="s">
        <v>128</v>
      </c>
      <c r="C701" t="s">
        <v>70</v>
      </c>
      <c r="D701" t="s">
        <v>71</v>
      </c>
      <c r="E701" t="s">
        <v>19</v>
      </c>
      <c r="F701" t="s">
        <v>129</v>
      </c>
      <c r="G701" t="s">
        <v>624</v>
      </c>
      <c r="H701" t="s">
        <v>713</v>
      </c>
      <c r="I701">
        <f t="shared" ref="I701:I706" si="99">+(2+1)*30</f>
        <v>90</v>
      </c>
      <c r="J701" t="s">
        <v>94</v>
      </c>
      <c r="K701" t="s">
        <v>39</v>
      </c>
      <c r="L701" t="str">
        <f t="shared" ref="L701:L706" si="100">+IF(K701 = "Control", "Control", "Stress")</f>
        <v>Control</v>
      </c>
      <c r="Q701" t="s">
        <v>412</v>
      </c>
      <c r="R701" t="s">
        <v>709</v>
      </c>
      <c r="S701" t="s">
        <v>703</v>
      </c>
      <c r="T701" t="s">
        <v>615</v>
      </c>
      <c r="U701" s="1"/>
      <c r="V701" s="1"/>
      <c r="W701" s="1"/>
      <c r="X701" s="1"/>
      <c r="Y701" s="1"/>
      <c r="Z701" s="1"/>
      <c r="AA701" s="1">
        <v>9.2200000000000005E-8</v>
      </c>
      <c r="AE701" s="2"/>
      <c r="AF701" s="2"/>
      <c r="AJ701" t="s">
        <v>203</v>
      </c>
    </row>
    <row r="702" spans="1:36" x14ac:dyDescent="0.25">
      <c r="A702" t="s">
        <v>131</v>
      </c>
      <c r="B702" t="s">
        <v>128</v>
      </c>
      <c r="C702" t="s">
        <v>70</v>
      </c>
      <c r="D702" t="s">
        <v>71</v>
      </c>
      <c r="E702" t="s">
        <v>19</v>
      </c>
      <c r="F702" t="s">
        <v>129</v>
      </c>
      <c r="G702" t="s">
        <v>624</v>
      </c>
      <c r="H702" t="s">
        <v>713</v>
      </c>
      <c r="I702">
        <f t="shared" si="99"/>
        <v>90</v>
      </c>
      <c r="J702" t="s">
        <v>94</v>
      </c>
      <c r="K702" t="s">
        <v>500</v>
      </c>
      <c r="L702" t="str">
        <f t="shared" si="100"/>
        <v>Stress</v>
      </c>
      <c r="Q702" t="s">
        <v>412</v>
      </c>
      <c r="R702" t="s">
        <v>709</v>
      </c>
      <c r="S702" t="s">
        <v>703</v>
      </c>
      <c r="T702" t="s">
        <v>615</v>
      </c>
      <c r="U702" s="1"/>
      <c r="V702" s="1"/>
      <c r="W702" s="1"/>
      <c r="X702" s="1"/>
      <c r="Y702" s="1"/>
      <c r="Z702" s="1"/>
      <c r="AA702" s="1">
        <v>6.7799999999999998E-8</v>
      </c>
      <c r="AE702" s="2"/>
      <c r="AF702" s="2"/>
      <c r="AJ702" t="s">
        <v>203</v>
      </c>
    </row>
    <row r="703" spans="1:36" x14ac:dyDescent="0.25">
      <c r="A703" t="s">
        <v>131</v>
      </c>
      <c r="B703" t="s">
        <v>128</v>
      </c>
      <c r="C703" t="s">
        <v>70</v>
      </c>
      <c r="D703" t="s">
        <v>71</v>
      </c>
      <c r="E703" t="s">
        <v>19</v>
      </c>
      <c r="F703" t="s">
        <v>129</v>
      </c>
      <c r="G703" t="s">
        <v>624</v>
      </c>
      <c r="H703" t="s">
        <v>713</v>
      </c>
      <c r="I703">
        <f t="shared" si="99"/>
        <v>90</v>
      </c>
      <c r="J703" t="s">
        <v>94</v>
      </c>
      <c r="K703" t="s">
        <v>500</v>
      </c>
      <c r="L703" t="str">
        <f t="shared" si="100"/>
        <v>Stress</v>
      </c>
      <c r="Q703" t="s">
        <v>412</v>
      </c>
      <c r="R703" t="s">
        <v>709</v>
      </c>
      <c r="S703" t="s">
        <v>703</v>
      </c>
      <c r="T703" t="s">
        <v>615</v>
      </c>
      <c r="U703" s="1"/>
      <c r="V703" s="1"/>
      <c r="W703" s="1"/>
      <c r="X703" s="1"/>
      <c r="Y703" s="1"/>
      <c r="Z703" s="1"/>
      <c r="AA703" s="1">
        <v>4.7199999999999999E-8</v>
      </c>
      <c r="AE703" s="2"/>
      <c r="AF703" s="2"/>
      <c r="AJ703" t="s">
        <v>203</v>
      </c>
    </row>
    <row r="704" spans="1:36" x14ac:dyDescent="0.25">
      <c r="A704" t="s">
        <v>131</v>
      </c>
      <c r="B704" t="s">
        <v>128</v>
      </c>
      <c r="C704" t="s">
        <v>70</v>
      </c>
      <c r="D704" t="s">
        <v>71</v>
      </c>
      <c r="E704" t="s">
        <v>19</v>
      </c>
      <c r="F704" t="s">
        <v>129</v>
      </c>
      <c r="G704" t="s">
        <v>624</v>
      </c>
      <c r="H704" t="s">
        <v>713</v>
      </c>
      <c r="I704">
        <f t="shared" si="99"/>
        <v>90</v>
      </c>
      <c r="J704" t="s">
        <v>94</v>
      </c>
      <c r="K704" t="s">
        <v>500</v>
      </c>
      <c r="L704" t="str">
        <f t="shared" si="100"/>
        <v>Stress</v>
      </c>
      <c r="Q704" t="s">
        <v>412</v>
      </c>
      <c r="R704" t="s">
        <v>709</v>
      </c>
      <c r="S704" t="s">
        <v>703</v>
      </c>
      <c r="T704" t="s">
        <v>615</v>
      </c>
      <c r="U704" s="1"/>
      <c r="V704" s="1"/>
      <c r="W704" s="1"/>
      <c r="X704" s="1"/>
      <c r="Y704" s="1"/>
      <c r="Z704" s="1"/>
      <c r="AA704" s="1">
        <v>3.1200000000000001E-8</v>
      </c>
      <c r="AE704" s="2"/>
      <c r="AF704" s="2"/>
      <c r="AJ704" t="s">
        <v>203</v>
      </c>
    </row>
    <row r="705" spans="1:36" x14ac:dyDescent="0.25">
      <c r="A705" t="s">
        <v>132</v>
      </c>
      <c r="B705" t="s">
        <v>128</v>
      </c>
      <c r="C705" t="s">
        <v>70</v>
      </c>
      <c r="D705" t="s">
        <v>71</v>
      </c>
      <c r="E705" t="s">
        <v>19</v>
      </c>
      <c r="F705" t="s">
        <v>129</v>
      </c>
      <c r="G705" t="s">
        <v>624</v>
      </c>
      <c r="H705" t="s">
        <v>713</v>
      </c>
      <c r="I705">
        <f t="shared" si="99"/>
        <v>90</v>
      </c>
      <c r="J705" t="s">
        <v>354</v>
      </c>
      <c r="K705" t="s">
        <v>39</v>
      </c>
      <c r="L705" t="str">
        <f t="shared" si="100"/>
        <v>Control</v>
      </c>
      <c r="Q705" t="s">
        <v>412</v>
      </c>
      <c r="R705" t="s">
        <v>709</v>
      </c>
      <c r="S705" t="s">
        <v>703</v>
      </c>
      <c r="T705" t="s">
        <v>615</v>
      </c>
      <c r="U705" s="1"/>
      <c r="V705" s="1"/>
      <c r="W705" s="1"/>
      <c r="X705" s="1"/>
      <c r="Y705" s="1"/>
      <c r="Z705" s="1"/>
      <c r="AA705" s="1">
        <v>5.8700000000000003E-8</v>
      </c>
      <c r="AE705" s="2"/>
      <c r="AF705" s="2"/>
      <c r="AJ705" t="s">
        <v>203</v>
      </c>
    </row>
    <row r="706" spans="1:36" x14ac:dyDescent="0.25">
      <c r="A706" t="s">
        <v>132</v>
      </c>
      <c r="B706" t="s">
        <v>128</v>
      </c>
      <c r="C706" t="s">
        <v>70</v>
      </c>
      <c r="D706" t="s">
        <v>71</v>
      </c>
      <c r="E706" t="s">
        <v>19</v>
      </c>
      <c r="F706" t="s">
        <v>129</v>
      </c>
      <c r="G706" t="s">
        <v>624</v>
      </c>
      <c r="H706" t="s">
        <v>713</v>
      </c>
      <c r="I706">
        <f t="shared" si="99"/>
        <v>90</v>
      </c>
      <c r="J706" t="s">
        <v>354</v>
      </c>
      <c r="K706" t="s">
        <v>79</v>
      </c>
      <c r="L706" t="str">
        <f t="shared" si="100"/>
        <v>Stress</v>
      </c>
      <c r="Q706" t="s">
        <v>412</v>
      </c>
      <c r="R706" t="s">
        <v>709</v>
      </c>
      <c r="S706" t="s">
        <v>703</v>
      </c>
      <c r="T706" t="s">
        <v>615</v>
      </c>
      <c r="U706" s="1"/>
      <c r="V706" s="1"/>
      <c r="W706" s="1"/>
      <c r="X706" s="1"/>
      <c r="Y706" s="1"/>
      <c r="Z706" s="1"/>
      <c r="AA706" s="1">
        <v>5.02E-8</v>
      </c>
      <c r="AE706" s="2"/>
      <c r="AF706" s="2"/>
      <c r="AJ706" t="s">
        <v>203</v>
      </c>
    </row>
    <row r="707" spans="1:36" x14ac:dyDescent="0.25">
      <c r="A707" t="s">
        <v>133</v>
      </c>
      <c r="B707" t="s">
        <v>56</v>
      </c>
      <c r="C707" t="s">
        <v>57</v>
      </c>
      <c r="D707" t="s">
        <v>18</v>
      </c>
      <c r="E707" t="s">
        <v>19</v>
      </c>
      <c r="F707" t="s">
        <v>20</v>
      </c>
      <c r="G707" t="s">
        <v>20</v>
      </c>
      <c r="H707" t="s">
        <v>712</v>
      </c>
      <c r="I707">
        <f t="shared" ref="I707:I714" si="101">+AVERAGE(31,40)</f>
        <v>35.5</v>
      </c>
      <c r="J707" t="s">
        <v>769</v>
      </c>
      <c r="K707" t="s">
        <v>466</v>
      </c>
      <c r="L707" t="s">
        <v>716</v>
      </c>
      <c r="M707" t="s">
        <v>426</v>
      </c>
      <c r="N707" t="s">
        <v>716</v>
      </c>
      <c r="Q707" t="s">
        <v>412</v>
      </c>
      <c r="R707" t="s">
        <v>709</v>
      </c>
      <c r="S707" t="s">
        <v>703</v>
      </c>
      <c r="T707" t="s">
        <v>615</v>
      </c>
      <c r="U707" s="1" t="s">
        <v>754</v>
      </c>
      <c r="V707" s="1">
        <f t="shared" ref="V707:V714" si="102">+AA707*AC707/10000</f>
        <v>2.079E-9</v>
      </c>
      <c r="W707" s="1"/>
      <c r="X707" s="1"/>
      <c r="Y707" s="1"/>
      <c r="Z707" s="1"/>
      <c r="AA707" s="1">
        <v>6.2999999999999995E-8</v>
      </c>
      <c r="AC707">
        <v>330</v>
      </c>
      <c r="AE707" s="2"/>
      <c r="AF707" s="2"/>
      <c r="AJ707" t="s">
        <v>203</v>
      </c>
    </row>
    <row r="708" spans="1:36" x14ac:dyDescent="0.25">
      <c r="A708" t="s">
        <v>133</v>
      </c>
      <c r="B708" t="s">
        <v>56</v>
      </c>
      <c r="C708" t="s">
        <v>57</v>
      </c>
      <c r="D708" t="s">
        <v>18</v>
      </c>
      <c r="E708" t="s">
        <v>19</v>
      </c>
      <c r="F708" t="s">
        <v>20</v>
      </c>
      <c r="G708" t="s">
        <v>20</v>
      </c>
      <c r="H708" t="s">
        <v>712</v>
      </c>
      <c r="I708">
        <f t="shared" si="101"/>
        <v>35.5</v>
      </c>
      <c r="J708" t="s">
        <v>769</v>
      </c>
      <c r="K708" t="s">
        <v>466</v>
      </c>
      <c r="L708" t="s">
        <v>716</v>
      </c>
      <c r="M708" t="s">
        <v>430</v>
      </c>
      <c r="N708" t="s">
        <v>716</v>
      </c>
      <c r="Q708" t="s">
        <v>412</v>
      </c>
      <c r="R708" t="s">
        <v>709</v>
      </c>
      <c r="S708" t="s">
        <v>703</v>
      </c>
      <c r="T708" t="s">
        <v>615</v>
      </c>
      <c r="U708" s="1" t="s">
        <v>754</v>
      </c>
      <c r="V708" s="1">
        <f t="shared" si="102"/>
        <v>1.2880000000000001E-9</v>
      </c>
      <c r="W708" s="1"/>
      <c r="X708" s="1"/>
      <c r="Y708" s="1"/>
      <c r="Z708" s="1"/>
      <c r="AA708" s="1">
        <v>5.5999999999999999E-8</v>
      </c>
      <c r="AC708">
        <v>230</v>
      </c>
      <c r="AE708" s="2"/>
      <c r="AF708" s="2"/>
      <c r="AJ708" t="s">
        <v>203</v>
      </c>
    </row>
    <row r="709" spans="1:36" x14ac:dyDescent="0.25">
      <c r="A709" t="s">
        <v>133</v>
      </c>
      <c r="B709" t="s">
        <v>56</v>
      </c>
      <c r="C709" t="s">
        <v>57</v>
      </c>
      <c r="D709" t="s">
        <v>18</v>
      </c>
      <c r="E709" t="s">
        <v>19</v>
      </c>
      <c r="F709" t="s">
        <v>20</v>
      </c>
      <c r="G709" t="s">
        <v>20</v>
      </c>
      <c r="H709" t="s">
        <v>712</v>
      </c>
      <c r="I709">
        <f t="shared" si="101"/>
        <v>35.5</v>
      </c>
      <c r="J709" t="s">
        <v>769</v>
      </c>
      <c r="K709" t="s">
        <v>166</v>
      </c>
      <c r="L709" t="s">
        <v>716</v>
      </c>
      <c r="M709" t="s">
        <v>426</v>
      </c>
      <c r="N709" t="s">
        <v>716</v>
      </c>
      <c r="Q709" t="s">
        <v>412</v>
      </c>
      <c r="R709" t="s">
        <v>709</v>
      </c>
      <c r="S709" t="s">
        <v>703</v>
      </c>
      <c r="T709" t="s">
        <v>615</v>
      </c>
      <c r="U709" s="1" t="s">
        <v>754</v>
      </c>
      <c r="V709" s="1">
        <f t="shared" si="102"/>
        <v>1.4060000000000001E-9</v>
      </c>
      <c r="W709" s="1"/>
      <c r="X709" s="1"/>
      <c r="Y709" s="1"/>
      <c r="Z709" s="1"/>
      <c r="AA709" s="1">
        <v>7.4000000000000001E-8</v>
      </c>
      <c r="AC709">
        <v>190</v>
      </c>
      <c r="AE709" s="2"/>
      <c r="AF709" s="2"/>
      <c r="AJ709" t="s">
        <v>203</v>
      </c>
    </row>
    <row r="710" spans="1:36" x14ac:dyDescent="0.25">
      <c r="A710" t="s">
        <v>133</v>
      </c>
      <c r="B710" t="s">
        <v>56</v>
      </c>
      <c r="C710" t="s">
        <v>57</v>
      </c>
      <c r="D710" t="s">
        <v>18</v>
      </c>
      <c r="E710" t="s">
        <v>19</v>
      </c>
      <c r="F710" t="s">
        <v>20</v>
      </c>
      <c r="G710" t="s">
        <v>20</v>
      </c>
      <c r="H710" t="s">
        <v>712</v>
      </c>
      <c r="I710">
        <f t="shared" si="101"/>
        <v>35.5</v>
      </c>
      <c r="J710" t="s">
        <v>769</v>
      </c>
      <c r="K710" t="s">
        <v>166</v>
      </c>
      <c r="L710" t="s">
        <v>716</v>
      </c>
      <c r="M710" t="s">
        <v>430</v>
      </c>
      <c r="N710" t="s">
        <v>716</v>
      </c>
      <c r="Q710" t="s">
        <v>412</v>
      </c>
      <c r="R710" t="s">
        <v>709</v>
      </c>
      <c r="S710" t="s">
        <v>703</v>
      </c>
      <c r="T710" t="s">
        <v>615</v>
      </c>
      <c r="U710" s="1" t="s">
        <v>754</v>
      </c>
      <c r="V710" s="1">
        <f t="shared" si="102"/>
        <v>1.1199999999999999E-9</v>
      </c>
      <c r="W710" s="1"/>
      <c r="X710" s="1"/>
      <c r="Y710" s="1"/>
      <c r="Z710" s="1"/>
      <c r="AA710" s="1">
        <v>4.0000000000000001E-8</v>
      </c>
      <c r="AC710">
        <v>280</v>
      </c>
      <c r="AE710" s="2"/>
      <c r="AF710" s="2"/>
      <c r="AJ710" t="s">
        <v>203</v>
      </c>
    </row>
    <row r="711" spans="1:36" x14ac:dyDescent="0.25">
      <c r="A711" t="s">
        <v>133</v>
      </c>
      <c r="B711" t="s">
        <v>56</v>
      </c>
      <c r="C711" t="s">
        <v>57</v>
      </c>
      <c r="D711" t="s">
        <v>18</v>
      </c>
      <c r="E711" t="s">
        <v>19</v>
      </c>
      <c r="F711" t="s">
        <v>20</v>
      </c>
      <c r="G711" t="s">
        <v>20</v>
      </c>
      <c r="H711" t="s">
        <v>712</v>
      </c>
      <c r="I711">
        <f t="shared" si="101"/>
        <v>35.5</v>
      </c>
      <c r="J711" t="s">
        <v>769</v>
      </c>
      <c r="K711" t="s">
        <v>466</v>
      </c>
      <c r="L711" t="s">
        <v>716</v>
      </c>
      <c r="M711" t="s">
        <v>426</v>
      </c>
      <c r="N711" t="s">
        <v>716</v>
      </c>
      <c r="Q711" t="s">
        <v>412</v>
      </c>
      <c r="R711" t="s">
        <v>709</v>
      </c>
      <c r="S711" t="s">
        <v>703</v>
      </c>
      <c r="T711" t="s">
        <v>616</v>
      </c>
      <c r="U711" s="1" t="s">
        <v>754</v>
      </c>
      <c r="V711" s="1">
        <f t="shared" si="102"/>
        <v>1.815E-9</v>
      </c>
      <c r="W711" s="1"/>
      <c r="X711" s="1"/>
      <c r="Y711" s="1"/>
      <c r="Z711" s="1"/>
      <c r="AA711" s="1">
        <v>5.5000000000000003E-8</v>
      </c>
      <c r="AC711">
        <v>330</v>
      </c>
      <c r="AE711" s="2"/>
      <c r="AF711" s="2"/>
      <c r="AJ711" t="s">
        <v>352</v>
      </c>
    </row>
    <row r="712" spans="1:36" x14ac:dyDescent="0.25">
      <c r="A712" t="s">
        <v>133</v>
      </c>
      <c r="B712" t="s">
        <v>56</v>
      </c>
      <c r="C712" t="s">
        <v>57</v>
      </c>
      <c r="D712" t="s">
        <v>18</v>
      </c>
      <c r="E712" t="s">
        <v>19</v>
      </c>
      <c r="F712" t="s">
        <v>20</v>
      </c>
      <c r="G712" t="s">
        <v>20</v>
      </c>
      <c r="H712" t="s">
        <v>712</v>
      </c>
      <c r="I712">
        <f t="shared" si="101"/>
        <v>35.5</v>
      </c>
      <c r="J712" t="s">
        <v>769</v>
      </c>
      <c r="K712" t="s">
        <v>466</v>
      </c>
      <c r="L712" t="s">
        <v>716</v>
      </c>
      <c r="M712" t="s">
        <v>430</v>
      </c>
      <c r="N712" t="s">
        <v>716</v>
      </c>
      <c r="Q712" t="s">
        <v>412</v>
      </c>
      <c r="R712" t="s">
        <v>709</v>
      </c>
      <c r="S712" t="s">
        <v>703</v>
      </c>
      <c r="T712" t="s">
        <v>616</v>
      </c>
      <c r="U712" s="1" t="s">
        <v>754</v>
      </c>
      <c r="V712" s="1">
        <f t="shared" si="102"/>
        <v>9.6599999999999997E-10</v>
      </c>
      <c r="W712" s="1"/>
      <c r="X712" s="1"/>
      <c r="Y712" s="1"/>
      <c r="Z712" s="1"/>
      <c r="AA712" s="1">
        <v>4.2000000000000006E-8</v>
      </c>
      <c r="AC712">
        <v>230</v>
      </c>
      <c r="AE712" s="2"/>
      <c r="AF712" s="2"/>
      <c r="AJ712" t="s">
        <v>352</v>
      </c>
    </row>
    <row r="713" spans="1:36" x14ac:dyDescent="0.25">
      <c r="A713" t="s">
        <v>133</v>
      </c>
      <c r="B713" t="s">
        <v>56</v>
      </c>
      <c r="C713" t="s">
        <v>57</v>
      </c>
      <c r="D713" t="s">
        <v>18</v>
      </c>
      <c r="E713" t="s">
        <v>19</v>
      </c>
      <c r="F713" t="s">
        <v>20</v>
      </c>
      <c r="G713" t="s">
        <v>20</v>
      </c>
      <c r="H713" t="s">
        <v>712</v>
      </c>
      <c r="I713">
        <f t="shared" si="101"/>
        <v>35.5</v>
      </c>
      <c r="J713" t="s">
        <v>769</v>
      </c>
      <c r="K713" t="s">
        <v>166</v>
      </c>
      <c r="L713" t="s">
        <v>716</v>
      </c>
      <c r="M713" t="s">
        <v>426</v>
      </c>
      <c r="N713" t="s">
        <v>716</v>
      </c>
      <c r="Q713" t="s">
        <v>412</v>
      </c>
      <c r="R713" t="s">
        <v>709</v>
      </c>
      <c r="S713" t="s">
        <v>703</v>
      </c>
      <c r="T713" t="s">
        <v>616</v>
      </c>
      <c r="U713" s="1" t="s">
        <v>754</v>
      </c>
      <c r="V713" s="1">
        <f t="shared" si="102"/>
        <v>5.3200000000000002E-10</v>
      </c>
      <c r="W713" s="1"/>
      <c r="X713" s="1"/>
      <c r="Y713" s="1"/>
      <c r="Z713" s="1"/>
      <c r="AA713" s="1">
        <v>2.7999999999999999E-8</v>
      </c>
      <c r="AC713">
        <v>190</v>
      </c>
      <c r="AE713" s="2"/>
      <c r="AF713" s="2"/>
      <c r="AJ713" t="s">
        <v>352</v>
      </c>
    </row>
    <row r="714" spans="1:36" x14ac:dyDescent="0.25">
      <c r="A714" t="s">
        <v>133</v>
      </c>
      <c r="B714" t="s">
        <v>56</v>
      </c>
      <c r="C714" t="s">
        <v>57</v>
      </c>
      <c r="D714" t="s">
        <v>18</v>
      </c>
      <c r="E714" t="s">
        <v>19</v>
      </c>
      <c r="F714" t="s">
        <v>20</v>
      </c>
      <c r="G714" t="s">
        <v>20</v>
      </c>
      <c r="H714" t="s">
        <v>712</v>
      </c>
      <c r="I714">
        <f t="shared" si="101"/>
        <v>35.5</v>
      </c>
      <c r="J714" t="s">
        <v>769</v>
      </c>
      <c r="K714" t="s">
        <v>166</v>
      </c>
      <c r="L714" t="s">
        <v>716</v>
      </c>
      <c r="M714" t="s">
        <v>430</v>
      </c>
      <c r="N714" t="s">
        <v>716</v>
      </c>
      <c r="Q714" t="s">
        <v>412</v>
      </c>
      <c r="R714" t="s">
        <v>709</v>
      </c>
      <c r="S714" t="s">
        <v>703</v>
      </c>
      <c r="T714" t="s">
        <v>616</v>
      </c>
      <c r="U714" s="1" t="s">
        <v>754</v>
      </c>
      <c r="V714" s="1">
        <f t="shared" si="102"/>
        <v>1.0080000000000002E-9</v>
      </c>
      <c r="W714" s="1"/>
      <c r="X714" s="1"/>
      <c r="Y714" s="1"/>
      <c r="Z714" s="1"/>
      <c r="AA714" s="1">
        <v>3.6000000000000005E-8</v>
      </c>
      <c r="AC714">
        <v>280</v>
      </c>
      <c r="AE714" s="2"/>
      <c r="AF714" s="2"/>
      <c r="AJ714" t="s">
        <v>352</v>
      </c>
    </row>
    <row r="715" spans="1:36" x14ac:dyDescent="0.25">
      <c r="A715" t="s">
        <v>331</v>
      </c>
      <c r="B715" t="s">
        <v>357</v>
      </c>
      <c r="C715" t="s">
        <v>358</v>
      </c>
      <c r="D715" t="s">
        <v>18</v>
      </c>
      <c r="E715" t="s">
        <v>19</v>
      </c>
      <c r="F715" t="s">
        <v>20</v>
      </c>
      <c r="G715" t="s">
        <v>20</v>
      </c>
      <c r="H715" t="s">
        <v>712</v>
      </c>
      <c r="I715">
        <v>21</v>
      </c>
      <c r="J715" t="s">
        <v>778</v>
      </c>
      <c r="Q715" t="s">
        <v>411</v>
      </c>
      <c r="R715" t="s">
        <v>709</v>
      </c>
      <c r="S715" t="s">
        <v>703</v>
      </c>
      <c r="T715" t="s">
        <v>615</v>
      </c>
      <c r="U715" s="1" t="s">
        <v>755</v>
      </c>
      <c r="V715" s="1">
        <f>[96]Martre_etal_2001_Fig6a!E10</f>
        <v>2.0520612491267881E-9</v>
      </c>
      <c r="W715" s="1"/>
      <c r="X715" s="1"/>
      <c r="Y715" s="1"/>
      <c r="Z715" s="1"/>
      <c r="AB715" s="1"/>
      <c r="AE715" s="2"/>
      <c r="AF715" s="2">
        <f>[96]Martre_etal_2001_Fig6a!D10</f>
        <v>1.43472280937607</v>
      </c>
      <c r="AH715" s="5">
        <f>[97]Martre_etal_2001_Fig6b!E10</f>
        <v>1.06793595434368E-2</v>
      </c>
      <c r="AJ715" t="s">
        <v>359</v>
      </c>
    </row>
    <row r="716" spans="1:36" x14ac:dyDescent="0.25">
      <c r="A716" t="s">
        <v>331</v>
      </c>
      <c r="B716" t="s">
        <v>357</v>
      </c>
      <c r="C716" t="s">
        <v>358</v>
      </c>
      <c r="D716" t="s">
        <v>18</v>
      </c>
      <c r="E716" t="s">
        <v>19</v>
      </c>
      <c r="F716" t="s">
        <v>20</v>
      </c>
      <c r="G716" t="s">
        <v>20</v>
      </c>
      <c r="H716" t="s">
        <v>712</v>
      </c>
      <c r="I716">
        <v>21</v>
      </c>
      <c r="J716" t="s">
        <v>778</v>
      </c>
      <c r="Q716" t="s">
        <v>412</v>
      </c>
      <c r="R716" t="s">
        <v>709</v>
      </c>
      <c r="S716" t="s">
        <v>703</v>
      </c>
      <c r="T716" t="s">
        <v>615</v>
      </c>
      <c r="U716" s="1" t="s">
        <v>755</v>
      </c>
      <c r="V716" s="1">
        <f>[96]Martre_etal_2001_Fig6a!E11</f>
        <v>3.5759065018945584E-9</v>
      </c>
      <c r="W716" s="1"/>
      <c r="X716" s="1"/>
      <c r="Y716" s="1"/>
      <c r="Z716" s="1"/>
      <c r="AB716" s="1"/>
      <c r="AE716" s="2"/>
      <c r="AF716" s="2">
        <f>[96]Martre_etal_2001_Fig6a!D11</f>
        <v>4.7348278873657366</v>
      </c>
      <c r="AH716" s="5">
        <f>[97]Martre_etal_2001_Fig6b!E11</f>
        <v>1.5638142041851519E-2</v>
      </c>
      <c r="AJ716" t="s">
        <v>359</v>
      </c>
    </row>
    <row r="717" spans="1:36" x14ac:dyDescent="0.25">
      <c r="A717" t="s">
        <v>331</v>
      </c>
      <c r="B717" t="s">
        <v>357</v>
      </c>
      <c r="C717" t="s">
        <v>358</v>
      </c>
      <c r="D717" t="s">
        <v>18</v>
      </c>
      <c r="E717" t="s">
        <v>19</v>
      </c>
      <c r="F717" t="s">
        <v>20</v>
      </c>
      <c r="G717" t="s">
        <v>20</v>
      </c>
      <c r="H717" t="s">
        <v>712</v>
      </c>
      <c r="I717">
        <v>21</v>
      </c>
      <c r="J717" t="s">
        <v>778</v>
      </c>
      <c r="Q717" t="s">
        <v>413</v>
      </c>
      <c r="R717" t="s">
        <v>709</v>
      </c>
      <c r="S717" t="s">
        <v>703</v>
      </c>
      <c r="T717" t="s">
        <v>615</v>
      </c>
      <c r="U717" s="1" t="s">
        <v>755</v>
      </c>
      <c r="V717" s="1">
        <f>[96]Martre_etal_2001_Fig6a!E12</f>
        <v>5.2129851743338201E-9</v>
      </c>
      <c r="W717" s="1"/>
      <c r="X717" s="1"/>
      <c r="Y717" s="1"/>
      <c r="Z717" s="1"/>
      <c r="AB717" s="1"/>
      <c r="AE717" s="2"/>
      <c r="AF717" s="2">
        <f>[96]Martre_etal_2001_Fig6a!D12</f>
        <v>11.051588593415399</v>
      </c>
      <c r="AH717" s="5">
        <f>[97]Martre_etal_2001_Fig6b!E12</f>
        <v>2.1835256816740499E-2</v>
      </c>
      <c r="AJ717" t="s">
        <v>359</v>
      </c>
    </row>
    <row r="718" spans="1:36" x14ac:dyDescent="0.25">
      <c r="A718" t="s">
        <v>134</v>
      </c>
      <c r="B718" t="s">
        <v>135</v>
      </c>
      <c r="C718" t="s">
        <v>136</v>
      </c>
      <c r="D718" t="s">
        <v>123</v>
      </c>
      <c r="E718" t="s">
        <v>19</v>
      </c>
      <c r="F718" t="s">
        <v>138</v>
      </c>
      <c r="G718" t="s">
        <v>137</v>
      </c>
      <c r="H718" t="s">
        <v>137</v>
      </c>
      <c r="J718" t="s">
        <v>139</v>
      </c>
      <c r="K718" t="s">
        <v>39</v>
      </c>
      <c r="L718" t="str">
        <f t="shared" ref="L718:L727" si="103">+IF(K718 = "Control", "Control", "Stress")</f>
        <v>Control</v>
      </c>
      <c r="Q718" t="s">
        <v>412</v>
      </c>
      <c r="R718" t="s">
        <v>709</v>
      </c>
      <c r="S718" t="s">
        <v>703</v>
      </c>
      <c r="T718" t="s">
        <v>615</v>
      </c>
      <c r="U718" s="1" t="s">
        <v>755</v>
      </c>
      <c r="V718" s="1">
        <f>[98]Else_etal_2001_Fig3b!B2</f>
        <v>1.08487084870848E-8</v>
      </c>
      <c r="W718" s="1"/>
      <c r="X718" s="1"/>
      <c r="Y718" s="1"/>
      <c r="Z718" s="1"/>
      <c r="AB718" s="1"/>
      <c r="AE718" s="2"/>
      <c r="AF718" s="2"/>
      <c r="AJ718" t="s">
        <v>203</v>
      </c>
    </row>
    <row r="719" spans="1:36" x14ac:dyDescent="0.25">
      <c r="A719" t="s">
        <v>134</v>
      </c>
      <c r="B719" t="s">
        <v>135</v>
      </c>
      <c r="C719" t="s">
        <v>136</v>
      </c>
      <c r="D719" t="s">
        <v>123</v>
      </c>
      <c r="E719" t="s">
        <v>19</v>
      </c>
      <c r="F719" t="s">
        <v>138</v>
      </c>
      <c r="G719" t="s">
        <v>137</v>
      </c>
      <c r="H719" t="s">
        <v>137</v>
      </c>
      <c r="J719" t="s">
        <v>139</v>
      </c>
      <c r="K719" t="s">
        <v>103</v>
      </c>
      <c r="L719" t="str">
        <f t="shared" si="103"/>
        <v>Stress</v>
      </c>
      <c r="Q719" t="s">
        <v>412</v>
      </c>
      <c r="R719" t="s">
        <v>709</v>
      </c>
      <c r="S719" t="s">
        <v>703</v>
      </c>
      <c r="T719" t="s">
        <v>615</v>
      </c>
      <c r="U719" s="1" t="s">
        <v>755</v>
      </c>
      <c r="V719" s="1">
        <f>[98]Else_etal_2001_Fig3b!B3</f>
        <v>3.7084870848708399E-9</v>
      </c>
      <c r="W719" s="1"/>
      <c r="X719" s="1"/>
      <c r="Y719" s="1"/>
      <c r="Z719" s="1"/>
      <c r="AB719" s="1"/>
      <c r="AE719" s="2"/>
      <c r="AF719" s="2"/>
      <c r="AJ719" t="s">
        <v>203</v>
      </c>
    </row>
    <row r="720" spans="1:36" x14ac:dyDescent="0.25">
      <c r="A720" t="s">
        <v>583</v>
      </c>
      <c r="B720" t="s">
        <v>53</v>
      </c>
      <c r="C720" t="s">
        <v>54</v>
      </c>
      <c r="D720" t="s">
        <v>18</v>
      </c>
      <c r="E720" t="s">
        <v>31</v>
      </c>
      <c r="F720" t="s">
        <v>32</v>
      </c>
      <c r="G720" t="s">
        <v>32</v>
      </c>
      <c r="H720" t="s">
        <v>712</v>
      </c>
      <c r="I720">
        <f>5+11</f>
        <v>16</v>
      </c>
      <c r="J720" t="s">
        <v>673</v>
      </c>
      <c r="K720" t="s">
        <v>39</v>
      </c>
      <c r="L720" t="str">
        <f t="shared" si="103"/>
        <v>Control</v>
      </c>
      <c r="M720" t="s">
        <v>584</v>
      </c>
      <c r="N720" t="s">
        <v>716</v>
      </c>
      <c r="Q720" t="s">
        <v>412</v>
      </c>
      <c r="R720" t="s">
        <v>709</v>
      </c>
      <c r="S720" t="s">
        <v>703</v>
      </c>
      <c r="T720" t="s">
        <v>615</v>
      </c>
      <c r="U720" s="1"/>
      <c r="V720" s="1"/>
      <c r="W720" s="1"/>
      <c r="X720" s="1">
        <f>[99]Aroca_etal_2001_Fig2!C2</f>
        <v>1.1375414593698167E-8</v>
      </c>
      <c r="Y720" s="1"/>
      <c r="Z720" s="1"/>
      <c r="AB720" s="1"/>
      <c r="AE720" s="2"/>
      <c r="AF720" s="2"/>
      <c r="AJ720" t="s">
        <v>203</v>
      </c>
    </row>
    <row r="721" spans="1:36" x14ac:dyDescent="0.25">
      <c r="A721" t="s">
        <v>583</v>
      </c>
      <c r="B721" t="s">
        <v>53</v>
      </c>
      <c r="C721" t="s">
        <v>54</v>
      </c>
      <c r="D721" t="s">
        <v>18</v>
      </c>
      <c r="E721" t="s">
        <v>31</v>
      </c>
      <c r="F721" t="s">
        <v>32</v>
      </c>
      <c r="G721" t="s">
        <v>32</v>
      </c>
      <c r="H721" t="s">
        <v>712</v>
      </c>
      <c r="I721">
        <f>5+11</f>
        <v>16</v>
      </c>
      <c r="J721" t="s">
        <v>673</v>
      </c>
      <c r="K721" t="s">
        <v>39</v>
      </c>
      <c r="L721" t="str">
        <f t="shared" si="103"/>
        <v>Control</v>
      </c>
      <c r="M721" t="s">
        <v>585</v>
      </c>
      <c r="N721" t="s">
        <v>716</v>
      </c>
      <c r="Q721" t="s">
        <v>412</v>
      </c>
      <c r="R721" t="s">
        <v>709</v>
      </c>
      <c r="S721" t="s">
        <v>703</v>
      </c>
      <c r="T721" t="s">
        <v>615</v>
      </c>
      <c r="U721" s="1"/>
      <c r="V721" s="1"/>
      <c r="W721" s="1"/>
      <c r="X721" s="1">
        <f>[99]Aroca_etal_2001_Fig2!C3</f>
        <v>1.3370646766169139E-8</v>
      </c>
      <c r="Y721" s="1"/>
      <c r="Z721" s="1"/>
      <c r="AB721" s="1"/>
      <c r="AE721" s="2"/>
      <c r="AF721" s="2"/>
      <c r="AJ721" t="s">
        <v>203</v>
      </c>
    </row>
    <row r="722" spans="1:36" x14ac:dyDescent="0.25">
      <c r="A722" t="s">
        <v>583</v>
      </c>
      <c r="B722" t="s">
        <v>53</v>
      </c>
      <c r="C722" t="s">
        <v>54</v>
      </c>
      <c r="D722" t="s">
        <v>18</v>
      </c>
      <c r="E722" t="s">
        <v>31</v>
      </c>
      <c r="F722" t="s">
        <v>32</v>
      </c>
      <c r="G722" t="s">
        <v>32</v>
      </c>
      <c r="H722" t="s">
        <v>712</v>
      </c>
      <c r="I722">
        <f>5+11+0.25</f>
        <v>16.25</v>
      </c>
      <c r="J722" t="s">
        <v>673</v>
      </c>
      <c r="K722" t="s">
        <v>500</v>
      </c>
      <c r="L722" t="str">
        <f t="shared" si="103"/>
        <v>Stress</v>
      </c>
      <c r="M722" t="s">
        <v>584</v>
      </c>
      <c r="N722" t="s">
        <v>716</v>
      </c>
      <c r="Q722" t="s">
        <v>412</v>
      </c>
      <c r="R722" t="s">
        <v>709</v>
      </c>
      <c r="S722" t="s">
        <v>703</v>
      </c>
      <c r="T722" t="s">
        <v>615</v>
      </c>
      <c r="U722" s="1"/>
      <c r="V722" s="1"/>
      <c r="W722" s="1"/>
      <c r="X722" s="1">
        <f>[99]Aroca_etal_2001_Fig2!C4</f>
        <v>1.9434079601990056E-9</v>
      </c>
      <c r="Y722" s="1"/>
      <c r="Z722" s="1"/>
      <c r="AB722" s="1"/>
      <c r="AE722" s="2"/>
      <c r="AF722" s="2"/>
      <c r="AJ722" t="s">
        <v>203</v>
      </c>
    </row>
    <row r="723" spans="1:36" x14ac:dyDescent="0.25">
      <c r="A723" t="s">
        <v>583</v>
      </c>
      <c r="B723" t="s">
        <v>53</v>
      </c>
      <c r="C723" t="s">
        <v>54</v>
      </c>
      <c r="D723" t="s">
        <v>18</v>
      </c>
      <c r="E723" t="s">
        <v>31</v>
      </c>
      <c r="F723" t="s">
        <v>32</v>
      </c>
      <c r="G723" t="s">
        <v>32</v>
      </c>
      <c r="H723" t="s">
        <v>712</v>
      </c>
      <c r="I723">
        <f>5+11+0.25</f>
        <v>16.25</v>
      </c>
      <c r="J723" t="s">
        <v>673</v>
      </c>
      <c r="K723" t="s">
        <v>500</v>
      </c>
      <c r="L723" t="str">
        <f t="shared" si="103"/>
        <v>Stress</v>
      </c>
      <c r="M723" t="s">
        <v>585</v>
      </c>
      <c r="N723" t="s">
        <v>716</v>
      </c>
      <c r="Q723" t="s">
        <v>412</v>
      </c>
      <c r="R723" t="s">
        <v>709</v>
      </c>
      <c r="S723" t="s">
        <v>703</v>
      </c>
      <c r="T723" t="s">
        <v>615</v>
      </c>
      <c r="U723" s="1"/>
      <c r="V723" s="1"/>
      <c r="W723" s="1"/>
      <c r="X723" s="1">
        <f>[99]Aroca_etal_2001_Fig2!C5</f>
        <v>3.0058043117744443E-9</v>
      </c>
      <c r="Y723" s="1"/>
      <c r="Z723" s="1"/>
      <c r="AB723" s="1"/>
      <c r="AE723" s="2"/>
      <c r="AF723" s="2"/>
      <c r="AJ723" t="s">
        <v>203</v>
      </c>
    </row>
    <row r="724" spans="1:36" x14ac:dyDescent="0.25">
      <c r="A724" t="s">
        <v>583</v>
      </c>
      <c r="B724" t="s">
        <v>53</v>
      </c>
      <c r="C724" t="s">
        <v>54</v>
      </c>
      <c r="D724" t="s">
        <v>18</v>
      </c>
      <c r="E724" t="s">
        <v>31</v>
      </c>
      <c r="F724" t="s">
        <v>32</v>
      </c>
      <c r="G724" t="s">
        <v>32</v>
      </c>
      <c r="H724" t="s">
        <v>712</v>
      </c>
      <c r="I724">
        <f>5+11+1.25</f>
        <v>17.25</v>
      </c>
      <c r="J724" t="s">
        <v>673</v>
      </c>
      <c r="K724" t="s">
        <v>500</v>
      </c>
      <c r="L724" t="str">
        <f t="shared" si="103"/>
        <v>Stress</v>
      </c>
      <c r="M724" t="s">
        <v>584</v>
      </c>
      <c r="N724" t="s">
        <v>716</v>
      </c>
      <c r="Q724" t="s">
        <v>412</v>
      </c>
      <c r="R724" t="s">
        <v>709</v>
      </c>
      <c r="S724" t="s">
        <v>703</v>
      </c>
      <c r="T724" t="s">
        <v>615</v>
      </c>
      <c r="U724" s="1"/>
      <c r="V724" s="1"/>
      <c r="W724" s="1"/>
      <c r="X724" s="1">
        <f>[99]Aroca_etal_2001_Fig2!C6</f>
        <v>1.4251658374792695E-9</v>
      </c>
      <c r="Y724" s="1"/>
      <c r="Z724" s="1"/>
      <c r="AB724" s="1"/>
      <c r="AE724" s="2"/>
      <c r="AF724" s="2"/>
      <c r="AJ724" t="s">
        <v>203</v>
      </c>
    </row>
    <row r="725" spans="1:36" x14ac:dyDescent="0.25">
      <c r="A725" t="s">
        <v>583</v>
      </c>
      <c r="B725" t="s">
        <v>53</v>
      </c>
      <c r="C725" t="s">
        <v>54</v>
      </c>
      <c r="D725" t="s">
        <v>18</v>
      </c>
      <c r="E725" t="s">
        <v>31</v>
      </c>
      <c r="F725" t="s">
        <v>32</v>
      </c>
      <c r="G725" t="s">
        <v>32</v>
      </c>
      <c r="H725" t="s">
        <v>712</v>
      </c>
      <c r="I725">
        <f>5+11+1.25</f>
        <v>17.25</v>
      </c>
      <c r="J725" t="s">
        <v>673</v>
      </c>
      <c r="K725" t="s">
        <v>500</v>
      </c>
      <c r="L725" t="str">
        <f t="shared" si="103"/>
        <v>Stress</v>
      </c>
      <c r="M725" t="s">
        <v>585</v>
      </c>
      <c r="N725" t="s">
        <v>716</v>
      </c>
      <c r="Q725" t="s">
        <v>412</v>
      </c>
      <c r="R725" t="s">
        <v>709</v>
      </c>
      <c r="S725" t="s">
        <v>703</v>
      </c>
      <c r="T725" t="s">
        <v>615</v>
      </c>
      <c r="U725" s="1"/>
      <c r="V725" s="1"/>
      <c r="W725" s="1"/>
      <c r="X725" s="1">
        <f>[99]Aroca_etal_2001_Fig2!C7</f>
        <v>8.3696102819236946E-9</v>
      </c>
      <c r="Y725" s="1"/>
      <c r="Z725" s="1"/>
      <c r="AB725" s="1"/>
      <c r="AE725" s="2"/>
      <c r="AF725" s="2"/>
      <c r="AJ725" t="s">
        <v>203</v>
      </c>
    </row>
    <row r="726" spans="1:36" x14ac:dyDescent="0.25">
      <c r="A726" t="s">
        <v>583</v>
      </c>
      <c r="B726" t="s">
        <v>53</v>
      </c>
      <c r="C726" t="s">
        <v>54</v>
      </c>
      <c r="D726" t="s">
        <v>18</v>
      </c>
      <c r="E726" t="s">
        <v>31</v>
      </c>
      <c r="F726" t="s">
        <v>32</v>
      </c>
      <c r="G726" t="s">
        <v>32</v>
      </c>
      <c r="H726" t="s">
        <v>712</v>
      </c>
      <c r="I726">
        <f>5+11+2.25</f>
        <v>18.25</v>
      </c>
      <c r="J726" t="s">
        <v>673</v>
      </c>
      <c r="K726" t="s">
        <v>500</v>
      </c>
      <c r="L726" t="str">
        <f t="shared" si="103"/>
        <v>Stress</v>
      </c>
      <c r="M726" t="s">
        <v>584</v>
      </c>
      <c r="N726" t="s">
        <v>716</v>
      </c>
      <c r="Q726" t="s">
        <v>412</v>
      </c>
      <c r="R726" t="s">
        <v>709</v>
      </c>
      <c r="S726" t="s">
        <v>703</v>
      </c>
      <c r="T726" t="s">
        <v>615</v>
      </c>
      <c r="U726" s="1"/>
      <c r="V726" s="1"/>
      <c r="W726" s="1"/>
      <c r="X726" s="1">
        <f>[99]Aroca_etal_2001_Fig2!C8</f>
        <v>1.8138474295190723E-9</v>
      </c>
      <c r="Y726" s="1"/>
      <c r="Z726" s="1"/>
      <c r="AB726" s="1"/>
      <c r="AE726" s="2"/>
      <c r="AF726" s="2"/>
      <c r="AJ726" t="s">
        <v>203</v>
      </c>
    </row>
    <row r="727" spans="1:36" x14ac:dyDescent="0.25">
      <c r="A727" t="s">
        <v>583</v>
      </c>
      <c r="B727" t="s">
        <v>53</v>
      </c>
      <c r="C727" t="s">
        <v>54</v>
      </c>
      <c r="D727" t="s">
        <v>18</v>
      </c>
      <c r="E727" t="s">
        <v>31</v>
      </c>
      <c r="F727" t="s">
        <v>32</v>
      </c>
      <c r="G727" t="s">
        <v>32</v>
      </c>
      <c r="H727" t="s">
        <v>712</v>
      </c>
      <c r="I727">
        <f>5+11+2.25</f>
        <v>18.25</v>
      </c>
      <c r="J727" t="s">
        <v>673</v>
      </c>
      <c r="K727" t="s">
        <v>500</v>
      </c>
      <c r="L727" t="str">
        <f t="shared" si="103"/>
        <v>Stress</v>
      </c>
      <c r="M727" t="s">
        <v>585</v>
      </c>
      <c r="N727" t="s">
        <v>716</v>
      </c>
      <c r="Q727" t="s">
        <v>412</v>
      </c>
      <c r="R727" t="s">
        <v>709</v>
      </c>
      <c r="S727" t="s">
        <v>703</v>
      </c>
      <c r="T727" t="s">
        <v>615</v>
      </c>
      <c r="U727" s="1"/>
      <c r="V727" s="1"/>
      <c r="W727" s="1"/>
      <c r="X727" s="1">
        <f>[99]Aroca_etal_2001_Fig2!C9</f>
        <v>8.3436981757877219E-9</v>
      </c>
      <c r="Y727" s="1"/>
      <c r="Z727" s="1"/>
      <c r="AB727" s="1"/>
      <c r="AE727" s="2"/>
      <c r="AF727" s="2"/>
      <c r="AJ727" t="s">
        <v>203</v>
      </c>
    </row>
    <row r="728" spans="1:36" x14ac:dyDescent="0.25">
      <c r="A728" t="s">
        <v>299</v>
      </c>
      <c r="B728" t="s">
        <v>101</v>
      </c>
      <c r="C728" t="s">
        <v>102</v>
      </c>
      <c r="D728" t="s">
        <v>92</v>
      </c>
      <c r="E728" t="s">
        <v>19</v>
      </c>
      <c r="F728" t="s">
        <v>37</v>
      </c>
      <c r="G728" t="s">
        <v>626</v>
      </c>
      <c r="H728" t="s">
        <v>714</v>
      </c>
      <c r="I728">
        <f t="shared" ref="I728:I740" si="104">1*30</f>
        <v>30</v>
      </c>
      <c r="J728" t="s">
        <v>764</v>
      </c>
      <c r="K728" t="s">
        <v>487</v>
      </c>
      <c r="L728" t="s">
        <v>716</v>
      </c>
      <c r="Q728" t="s">
        <v>412</v>
      </c>
      <c r="R728" t="s">
        <v>709</v>
      </c>
      <c r="S728" t="s">
        <v>703</v>
      </c>
      <c r="T728" t="s">
        <v>615</v>
      </c>
      <c r="U728" s="1" t="s">
        <v>754</v>
      </c>
      <c r="V728" s="1">
        <f t="shared" ref="V728:V740" si="105">+AB728*AH728</f>
        <v>9.3536837957432383E-9</v>
      </c>
      <c r="W728" s="1"/>
      <c r="AB728" s="1">
        <f>'[100]Tsuda&amp;Tyree_2000_Fig1'!D2</f>
        <v>1.5589472992905398E-7</v>
      </c>
      <c r="AH728">
        <f t="shared" ref="AH728:AH740" si="106">+AVERAGE(0.03,0.09)</f>
        <v>0.06</v>
      </c>
      <c r="AJ728" t="s">
        <v>47</v>
      </c>
    </row>
    <row r="729" spans="1:36" x14ac:dyDescent="0.25">
      <c r="A729" t="s">
        <v>299</v>
      </c>
      <c r="B729" t="s">
        <v>66</v>
      </c>
      <c r="C729" t="s">
        <v>67</v>
      </c>
      <c r="D729" t="s">
        <v>68</v>
      </c>
      <c r="E729" t="s">
        <v>19</v>
      </c>
      <c r="F729" t="s">
        <v>37</v>
      </c>
      <c r="G729" t="s">
        <v>622</v>
      </c>
      <c r="H729" t="s">
        <v>714</v>
      </c>
      <c r="I729">
        <f t="shared" si="104"/>
        <v>30</v>
      </c>
      <c r="J729" t="s">
        <v>764</v>
      </c>
      <c r="K729" t="s">
        <v>487</v>
      </c>
      <c r="L729" t="s">
        <v>716</v>
      </c>
      <c r="Q729" t="s">
        <v>412</v>
      </c>
      <c r="R729" t="s">
        <v>709</v>
      </c>
      <c r="S729" t="s">
        <v>703</v>
      </c>
      <c r="T729" t="s">
        <v>615</v>
      </c>
      <c r="U729" s="1" t="s">
        <v>754</v>
      </c>
      <c r="V729" s="1">
        <f t="shared" si="105"/>
        <v>1.6952401748247658E-8</v>
      </c>
      <c r="W729" s="1"/>
      <c r="AB729" s="1">
        <f>'[100]Tsuda&amp;Tyree_2000_Fig1'!D3</f>
        <v>2.8254002913746099E-7</v>
      </c>
      <c r="AH729">
        <f t="shared" si="106"/>
        <v>0.06</v>
      </c>
      <c r="AJ729" t="s">
        <v>47</v>
      </c>
    </row>
    <row r="730" spans="1:36" x14ac:dyDescent="0.25">
      <c r="A730" t="s">
        <v>299</v>
      </c>
      <c r="B730" t="s">
        <v>224</v>
      </c>
      <c r="C730" t="s">
        <v>225</v>
      </c>
      <c r="D730" t="s">
        <v>92</v>
      </c>
      <c r="E730" t="s">
        <v>19</v>
      </c>
      <c r="F730" t="s">
        <v>37</v>
      </c>
      <c r="G730" t="s">
        <v>626</v>
      </c>
      <c r="H730" t="s">
        <v>714</v>
      </c>
      <c r="I730">
        <f t="shared" si="104"/>
        <v>30</v>
      </c>
      <c r="J730" t="s">
        <v>764</v>
      </c>
      <c r="K730" t="s">
        <v>487</v>
      </c>
      <c r="L730" t="s">
        <v>716</v>
      </c>
      <c r="Q730" t="s">
        <v>412</v>
      </c>
      <c r="R730" t="s">
        <v>709</v>
      </c>
      <c r="S730" t="s">
        <v>703</v>
      </c>
      <c r="T730" t="s">
        <v>615</v>
      </c>
      <c r="U730" s="1" t="s">
        <v>754</v>
      </c>
      <c r="V730" s="1">
        <f t="shared" si="105"/>
        <v>6.9288856111290587E-9</v>
      </c>
      <c r="W730" s="1"/>
      <c r="AB730" s="1">
        <f>'[100]Tsuda&amp;Tyree_2000_Fig1'!D4</f>
        <v>1.1548142685215098E-7</v>
      </c>
      <c r="AH730">
        <f t="shared" si="106"/>
        <v>0.06</v>
      </c>
      <c r="AJ730" t="s">
        <v>47</v>
      </c>
    </row>
    <row r="731" spans="1:36" x14ac:dyDescent="0.25">
      <c r="A731" t="s">
        <v>299</v>
      </c>
      <c r="B731" t="s">
        <v>34</v>
      </c>
      <c r="C731" t="s">
        <v>35</v>
      </c>
      <c r="D731" t="s">
        <v>36</v>
      </c>
      <c r="E731" t="s">
        <v>19</v>
      </c>
      <c r="F731" t="s">
        <v>37</v>
      </c>
      <c r="G731" t="s">
        <v>622</v>
      </c>
      <c r="H731" t="s">
        <v>714</v>
      </c>
      <c r="I731">
        <f t="shared" si="104"/>
        <v>30</v>
      </c>
      <c r="J731" t="s">
        <v>764</v>
      </c>
      <c r="K731" t="s">
        <v>487</v>
      </c>
      <c r="L731" t="s">
        <v>716</v>
      </c>
      <c r="Q731" t="s">
        <v>412</v>
      </c>
      <c r="R731" t="s">
        <v>709</v>
      </c>
      <c r="S731" t="s">
        <v>703</v>
      </c>
      <c r="T731" t="s">
        <v>615</v>
      </c>
      <c r="U731" s="1" t="s">
        <v>754</v>
      </c>
      <c r="V731" s="1">
        <f t="shared" si="105"/>
        <v>1.8064047347257079E-8</v>
      </c>
      <c r="W731" s="1"/>
      <c r="AB731" s="1">
        <f>'[100]Tsuda&amp;Tyree_2000_Fig1'!D5</f>
        <v>3.0106745578761799E-7</v>
      </c>
      <c r="AH731">
        <f t="shared" si="106"/>
        <v>0.06</v>
      </c>
      <c r="AJ731" t="s">
        <v>47</v>
      </c>
    </row>
    <row r="732" spans="1:36" x14ac:dyDescent="0.25">
      <c r="A732" t="s">
        <v>299</v>
      </c>
      <c r="B732" t="s">
        <v>300</v>
      </c>
      <c r="C732" t="s">
        <v>35</v>
      </c>
      <c r="D732" t="s">
        <v>36</v>
      </c>
      <c r="E732" t="s">
        <v>19</v>
      </c>
      <c r="F732" t="s">
        <v>37</v>
      </c>
      <c r="G732" t="s">
        <v>622</v>
      </c>
      <c r="H732" t="s">
        <v>714</v>
      </c>
      <c r="I732">
        <f t="shared" si="104"/>
        <v>30</v>
      </c>
      <c r="J732" t="s">
        <v>764</v>
      </c>
      <c r="K732" t="s">
        <v>487</v>
      </c>
      <c r="L732" t="s">
        <v>716</v>
      </c>
      <c r="Q732" t="s">
        <v>412</v>
      </c>
      <c r="R732" t="s">
        <v>709</v>
      </c>
      <c r="S732" t="s">
        <v>703</v>
      </c>
      <c r="T732" t="s">
        <v>615</v>
      </c>
      <c r="U732" s="1" t="s">
        <v>754</v>
      </c>
      <c r="V732" s="1">
        <f t="shared" si="105"/>
        <v>9.2263928980217402E-9</v>
      </c>
      <c r="W732" s="1"/>
      <c r="AB732" s="1">
        <f>'[100]Tsuda&amp;Tyree_2000_Fig1'!D6</f>
        <v>1.53773214967029E-7</v>
      </c>
      <c r="AH732">
        <f t="shared" si="106"/>
        <v>0.06</v>
      </c>
      <c r="AJ732" t="s">
        <v>47</v>
      </c>
    </row>
    <row r="733" spans="1:36" x14ac:dyDescent="0.25">
      <c r="A733" t="s">
        <v>299</v>
      </c>
      <c r="B733" t="s">
        <v>101</v>
      </c>
      <c r="C733" t="s">
        <v>102</v>
      </c>
      <c r="D733" t="s">
        <v>92</v>
      </c>
      <c r="E733" t="s">
        <v>19</v>
      </c>
      <c r="F733" t="s">
        <v>37</v>
      </c>
      <c r="G733" t="s">
        <v>626</v>
      </c>
      <c r="H733" t="s">
        <v>714</v>
      </c>
      <c r="I733">
        <f t="shared" si="104"/>
        <v>30</v>
      </c>
      <c r="J733" t="s">
        <v>764</v>
      </c>
      <c r="K733" t="s">
        <v>488</v>
      </c>
      <c r="L733" t="s">
        <v>716</v>
      </c>
      <c r="Q733" t="s">
        <v>412</v>
      </c>
      <c r="R733" t="s">
        <v>709</v>
      </c>
      <c r="S733" t="s">
        <v>703</v>
      </c>
      <c r="T733" t="s">
        <v>615</v>
      </c>
      <c r="U733" s="1" t="s">
        <v>754</v>
      </c>
      <c r="V733" s="1">
        <f t="shared" si="105"/>
        <v>7.4531036545190992E-9</v>
      </c>
      <c r="W733" s="1"/>
      <c r="AB733" s="1">
        <f>'[100]Tsuda&amp;Tyree_2000_Fig1'!D7</f>
        <v>1.2421839424198499E-7</v>
      </c>
      <c r="AH733">
        <f t="shared" si="106"/>
        <v>0.06</v>
      </c>
      <c r="AJ733" t="s">
        <v>47</v>
      </c>
    </row>
    <row r="734" spans="1:36" x14ac:dyDescent="0.25">
      <c r="A734" t="s">
        <v>299</v>
      </c>
      <c r="B734" t="s">
        <v>101</v>
      </c>
      <c r="C734" t="s">
        <v>102</v>
      </c>
      <c r="D734" t="s">
        <v>92</v>
      </c>
      <c r="E734" t="s">
        <v>19</v>
      </c>
      <c r="F734" t="s">
        <v>37</v>
      </c>
      <c r="G734" t="s">
        <v>626</v>
      </c>
      <c r="H734" t="s">
        <v>714</v>
      </c>
      <c r="I734">
        <f t="shared" si="104"/>
        <v>30</v>
      </c>
      <c r="J734" t="s">
        <v>764</v>
      </c>
      <c r="K734" t="s">
        <v>488</v>
      </c>
      <c r="L734" t="s">
        <v>716</v>
      </c>
      <c r="Q734" t="s">
        <v>412</v>
      </c>
      <c r="R734" t="s">
        <v>709</v>
      </c>
      <c r="S734" t="s">
        <v>703</v>
      </c>
      <c r="T734" t="s">
        <v>615</v>
      </c>
      <c r="U734" s="1" t="s">
        <v>754</v>
      </c>
      <c r="V734" s="1">
        <f t="shared" si="105"/>
        <v>7.3223863801237781E-9</v>
      </c>
      <c r="W734" s="1"/>
      <c r="AB734" s="1">
        <f>'[100]Tsuda&amp;Tyree_2000_Fig1'!D8</f>
        <v>1.2203977300206297E-7</v>
      </c>
      <c r="AH734">
        <f t="shared" si="106"/>
        <v>0.06</v>
      </c>
      <c r="AJ734" t="s">
        <v>47</v>
      </c>
    </row>
    <row r="735" spans="1:36" x14ac:dyDescent="0.25">
      <c r="A735" t="s">
        <v>299</v>
      </c>
      <c r="B735" t="s">
        <v>66</v>
      </c>
      <c r="C735" t="s">
        <v>67</v>
      </c>
      <c r="D735" t="s">
        <v>68</v>
      </c>
      <c r="E735" t="s">
        <v>19</v>
      </c>
      <c r="F735" t="s">
        <v>37</v>
      </c>
      <c r="G735" t="s">
        <v>622</v>
      </c>
      <c r="H735" t="s">
        <v>714</v>
      </c>
      <c r="I735">
        <f t="shared" si="104"/>
        <v>30</v>
      </c>
      <c r="J735" t="s">
        <v>764</v>
      </c>
      <c r="K735" t="s">
        <v>488</v>
      </c>
      <c r="L735" t="s">
        <v>716</v>
      </c>
      <c r="Q735" t="s">
        <v>412</v>
      </c>
      <c r="R735" t="s">
        <v>709</v>
      </c>
      <c r="S735" t="s">
        <v>703</v>
      </c>
      <c r="T735" t="s">
        <v>615</v>
      </c>
      <c r="U735" s="1" t="s">
        <v>754</v>
      </c>
      <c r="V735" s="1">
        <f t="shared" si="105"/>
        <v>1.3033468881776518E-8</v>
      </c>
      <c r="W735" s="1"/>
      <c r="AB735" s="1">
        <f>'[100]Tsuda&amp;Tyree_2000_Fig1'!D9</f>
        <v>2.1722448136294198E-7</v>
      </c>
      <c r="AH735">
        <f t="shared" si="106"/>
        <v>0.06</v>
      </c>
      <c r="AJ735" t="s">
        <v>47</v>
      </c>
    </row>
    <row r="736" spans="1:36" x14ac:dyDescent="0.25">
      <c r="A736" t="s">
        <v>299</v>
      </c>
      <c r="B736" t="s">
        <v>224</v>
      </c>
      <c r="C736" t="s">
        <v>225</v>
      </c>
      <c r="D736" t="s">
        <v>92</v>
      </c>
      <c r="E736" t="s">
        <v>19</v>
      </c>
      <c r="F736" t="s">
        <v>37</v>
      </c>
      <c r="G736" t="s">
        <v>626</v>
      </c>
      <c r="H736" t="s">
        <v>714</v>
      </c>
      <c r="I736">
        <f t="shared" si="104"/>
        <v>30</v>
      </c>
      <c r="J736" t="s">
        <v>764</v>
      </c>
      <c r="K736" t="s">
        <v>488</v>
      </c>
      <c r="L736" t="s">
        <v>716</v>
      </c>
      <c r="Q736" t="s">
        <v>412</v>
      </c>
      <c r="R736" t="s">
        <v>709</v>
      </c>
      <c r="S736" t="s">
        <v>703</v>
      </c>
      <c r="T736" t="s">
        <v>615</v>
      </c>
      <c r="U736" s="1" t="s">
        <v>754</v>
      </c>
      <c r="V736" s="1">
        <f t="shared" si="105"/>
        <v>9.526512451848E-9</v>
      </c>
      <c r="W736" s="1"/>
      <c r="AB736" s="1">
        <f>'[100]Tsuda&amp;Tyree_2000_Fig1'!D10</f>
        <v>1.587752075308E-7</v>
      </c>
      <c r="AH736">
        <f t="shared" si="106"/>
        <v>0.06</v>
      </c>
      <c r="AJ736" t="s">
        <v>47</v>
      </c>
    </row>
    <row r="737" spans="1:36" x14ac:dyDescent="0.25">
      <c r="A737" t="s">
        <v>299</v>
      </c>
      <c r="B737" t="s">
        <v>34</v>
      </c>
      <c r="C737" t="s">
        <v>35</v>
      </c>
      <c r="D737" t="s">
        <v>36</v>
      </c>
      <c r="E737" t="s">
        <v>19</v>
      </c>
      <c r="F737" t="s">
        <v>37</v>
      </c>
      <c r="G737" t="s">
        <v>622</v>
      </c>
      <c r="H737" t="s">
        <v>714</v>
      </c>
      <c r="I737">
        <f t="shared" si="104"/>
        <v>30</v>
      </c>
      <c r="J737" t="s">
        <v>764</v>
      </c>
      <c r="K737" t="s">
        <v>488</v>
      </c>
      <c r="L737" t="s">
        <v>716</v>
      </c>
      <c r="Q737" t="s">
        <v>412</v>
      </c>
      <c r="R737" t="s">
        <v>709</v>
      </c>
      <c r="S737" t="s">
        <v>703</v>
      </c>
      <c r="T737" t="s">
        <v>615</v>
      </c>
      <c r="U737" s="1" t="s">
        <v>754</v>
      </c>
      <c r="V737" s="1">
        <f t="shared" si="105"/>
        <v>1.4802591505734358E-8</v>
      </c>
      <c r="W737" s="1"/>
      <c r="AB737" s="1">
        <f>'[100]Tsuda&amp;Tyree_2000_Fig1'!D11</f>
        <v>2.4670985842890596E-7</v>
      </c>
      <c r="AH737">
        <f t="shared" si="106"/>
        <v>0.06</v>
      </c>
      <c r="AJ737" t="s">
        <v>47</v>
      </c>
    </row>
    <row r="738" spans="1:36" x14ac:dyDescent="0.25">
      <c r="A738" t="s">
        <v>299</v>
      </c>
      <c r="B738" t="s">
        <v>301</v>
      </c>
      <c r="C738" t="s">
        <v>302</v>
      </c>
      <c r="D738" t="s">
        <v>36</v>
      </c>
      <c r="E738" t="s">
        <v>19</v>
      </c>
      <c r="F738" t="s">
        <v>37</v>
      </c>
      <c r="G738" t="s">
        <v>622</v>
      </c>
      <c r="H738" t="s">
        <v>714</v>
      </c>
      <c r="I738">
        <f t="shared" si="104"/>
        <v>30</v>
      </c>
      <c r="J738" t="s">
        <v>764</v>
      </c>
      <c r="K738" t="s">
        <v>488</v>
      </c>
      <c r="L738" t="s">
        <v>716</v>
      </c>
      <c r="Q738" t="s">
        <v>412</v>
      </c>
      <c r="R738" t="s">
        <v>709</v>
      </c>
      <c r="S738" t="s">
        <v>703</v>
      </c>
      <c r="T738" t="s">
        <v>615</v>
      </c>
      <c r="U738" s="1" t="s">
        <v>754</v>
      </c>
      <c r="V738" s="1">
        <f t="shared" si="105"/>
        <v>8.7948553488248391E-9</v>
      </c>
      <c r="W738" s="1"/>
      <c r="AB738" s="1">
        <f>'[100]Tsuda&amp;Tyree_2000_Fig1'!D12</f>
        <v>1.46580922480414E-7</v>
      </c>
      <c r="AH738">
        <f t="shared" si="106"/>
        <v>0.06</v>
      </c>
      <c r="AJ738" t="s">
        <v>47</v>
      </c>
    </row>
    <row r="739" spans="1:36" x14ac:dyDescent="0.25">
      <c r="A739" t="s">
        <v>299</v>
      </c>
      <c r="B739" t="s">
        <v>300</v>
      </c>
      <c r="C739" t="s">
        <v>35</v>
      </c>
      <c r="D739" t="s">
        <v>36</v>
      </c>
      <c r="E739" t="s">
        <v>19</v>
      </c>
      <c r="F739" t="s">
        <v>37</v>
      </c>
      <c r="G739" t="s">
        <v>622</v>
      </c>
      <c r="H739" t="s">
        <v>714</v>
      </c>
      <c r="I739">
        <f t="shared" si="104"/>
        <v>30</v>
      </c>
      <c r="J739" t="s">
        <v>764</v>
      </c>
      <c r="K739" t="s">
        <v>488</v>
      </c>
      <c r="L739" t="s">
        <v>716</v>
      </c>
      <c r="Q739" t="s">
        <v>412</v>
      </c>
      <c r="R739" t="s">
        <v>709</v>
      </c>
      <c r="S739" t="s">
        <v>703</v>
      </c>
      <c r="T739" t="s">
        <v>615</v>
      </c>
      <c r="U739" s="1" t="s">
        <v>754</v>
      </c>
      <c r="V739" s="1">
        <f t="shared" si="105"/>
        <v>6.1002488466899995E-9</v>
      </c>
      <c r="W739" s="1"/>
      <c r="AB739" s="1">
        <f>'[100]Tsuda&amp;Tyree_2000_Fig1'!D13</f>
        <v>1.016708141115E-7</v>
      </c>
      <c r="AH739">
        <f t="shared" si="106"/>
        <v>0.06</v>
      </c>
      <c r="AJ739" t="s">
        <v>47</v>
      </c>
    </row>
    <row r="740" spans="1:36" x14ac:dyDescent="0.25">
      <c r="A740" t="s">
        <v>299</v>
      </c>
      <c r="B740" t="s">
        <v>224</v>
      </c>
      <c r="C740" t="s">
        <v>225</v>
      </c>
      <c r="D740" t="s">
        <v>92</v>
      </c>
      <c r="E740" t="s">
        <v>19</v>
      </c>
      <c r="F740" t="s">
        <v>37</v>
      </c>
      <c r="G740" t="s">
        <v>626</v>
      </c>
      <c r="H740" t="s">
        <v>714</v>
      </c>
      <c r="I740">
        <f t="shared" si="104"/>
        <v>30</v>
      </c>
      <c r="J740" t="s">
        <v>764</v>
      </c>
      <c r="K740" t="s">
        <v>488</v>
      </c>
      <c r="L740" t="s">
        <v>716</v>
      </c>
      <c r="Q740" t="s">
        <v>412</v>
      </c>
      <c r="R740" t="s">
        <v>709</v>
      </c>
      <c r="S740" t="s">
        <v>703</v>
      </c>
      <c r="T740" t="s">
        <v>615</v>
      </c>
      <c r="U740" s="1" t="s">
        <v>754</v>
      </c>
      <c r="V740" s="1">
        <f t="shared" si="105"/>
        <v>4.2067551441308994E-9</v>
      </c>
      <c r="W740" s="1"/>
      <c r="AB740" s="1">
        <f>'[100]Tsuda&amp;Tyree_2000_Fig1'!D14</f>
        <v>7.0112585735514989E-8</v>
      </c>
      <c r="AH740">
        <f t="shared" si="106"/>
        <v>0.06</v>
      </c>
      <c r="AJ740" t="s">
        <v>47</v>
      </c>
    </row>
    <row r="741" spans="1:36" x14ac:dyDescent="0.25">
      <c r="A741" t="s">
        <v>303</v>
      </c>
      <c r="B741" t="s">
        <v>173</v>
      </c>
      <c r="C741" t="s">
        <v>142</v>
      </c>
      <c r="D741" t="s">
        <v>143</v>
      </c>
      <c r="E741" t="s">
        <v>19</v>
      </c>
      <c r="F741" t="s">
        <v>25</v>
      </c>
      <c r="G741" t="s">
        <v>625</v>
      </c>
      <c r="H741" t="s">
        <v>713</v>
      </c>
      <c r="I741">
        <f>2*365+22*30</f>
        <v>1390</v>
      </c>
      <c r="J741" s="6" t="s">
        <v>213</v>
      </c>
      <c r="K741" t="s">
        <v>353</v>
      </c>
      <c r="L741" t="s">
        <v>716</v>
      </c>
      <c r="Q741" t="s">
        <v>412</v>
      </c>
      <c r="R741" t="s">
        <v>709</v>
      </c>
      <c r="S741" t="s">
        <v>703</v>
      </c>
      <c r="T741" t="s">
        <v>615</v>
      </c>
      <c r="U741" s="1" t="s">
        <v>754</v>
      </c>
      <c r="V741" s="1">
        <f t="shared" ref="V741:V758" si="107">+AA741*AC741/10000</f>
        <v>8.6762000000000005E-10</v>
      </c>
      <c r="W741" s="1"/>
      <c r="AA741" s="1">
        <f>9.4*0.00000001</f>
        <v>9.4000000000000008E-8</v>
      </c>
      <c r="AB741" s="1">
        <v>3.7E-8</v>
      </c>
      <c r="AC741">
        <v>92.3</v>
      </c>
      <c r="AE741">
        <v>1.25</v>
      </c>
      <c r="AG741" s="2">
        <v>0.193</v>
      </c>
      <c r="AH741" s="5">
        <f>194/10000</f>
        <v>1.9400000000000001E-2</v>
      </c>
      <c r="AJ741" t="s">
        <v>47</v>
      </c>
    </row>
    <row r="742" spans="1:36" x14ac:dyDescent="0.25">
      <c r="A742" t="s">
        <v>303</v>
      </c>
      <c r="B742" t="s">
        <v>173</v>
      </c>
      <c r="C742" t="s">
        <v>142</v>
      </c>
      <c r="D742" t="s">
        <v>143</v>
      </c>
      <c r="E742" t="s">
        <v>19</v>
      </c>
      <c r="F742" t="s">
        <v>25</v>
      </c>
      <c r="G742" t="s">
        <v>625</v>
      </c>
      <c r="H742" t="s">
        <v>713</v>
      </c>
      <c r="I742">
        <f>2*365+22*30</f>
        <v>1390</v>
      </c>
      <c r="J742" s="6" t="s">
        <v>213</v>
      </c>
      <c r="K742" t="s">
        <v>214</v>
      </c>
      <c r="L742" t="s">
        <v>716</v>
      </c>
      <c r="Q742" t="s">
        <v>412</v>
      </c>
      <c r="R742" t="s">
        <v>709</v>
      </c>
      <c r="S742" t="s">
        <v>703</v>
      </c>
      <c r="T742" t="s">
        <v>615</v>
      </c>
      <c r="U742" s="1" t="s">
        <v>754</v>
      </c>
      <c r="V742" s="1">
        <f t="shared" si="107"/>
        <v>7.9488000000000005E-10</v>
      </c>
      <c r="W742" s="1"/>
      <c r="AA742" s="1">
        <f>21.6*0.00000001</f>
        <v>2.1600000000000003E-7</v>
      </c>
      <c r="AB742" s="1">
        <v>2.9000000000000002E-8</v>
      </c>
      <c r="AC742">
        <v>36.799999999999997</v>
      </c>
      <c r="AE742">
        <v>0.5</v>
      </c>
      <c r="AG742" s="2">
        <v>0.16700000000000001</v>
      </c>
      <c r="AH742" s="5">
        <f>181/10000</f>
        <v>1.8100000000000002E-2</v>
      </c>
      <c r="AJ742" t="s">
        <v>47</v>
      </c>
    </row>
    <row r="743" spans="1:36" x14ac:dyDescent="0.25">
      <c r="A743" t="s">
        <v>392</v>
      </c>
      <c r="B743" t="s">
        <v>53</v>
      </c>
      <c r="C743" t="s">
        <v>54</v>
      </c>
      <c r="D743" t="s">
        <v>18</v>
      </c>
      <c r="E743" t="s">
        <v>31</v>
      </c>
      <c r="F743" t="s">
        <v>32</v>
      </c>
      <c r="G743" t="s">
        <v>32</v>
      </c>
      <c r="H743" t="s">
        <v>712</v>
      </c>
      <c r="I743">
        <f t="shared" ref="I743:I754" si="108">7+4</f>
        <v>11</v>
      </c>
      <c r="J743" t="s">
        <v>760</v>
      </c>
      <c r="K743" t="s">
        <v>166</v>
      </c>
      <c r="L743" t="s">
        <v>716</v>
      </c>
      <c r="Q743" t="s">
        <v>411</v>
      </c>
      <c r="R743" t="s">
        <v>709</v>
      </c>
      <c r="S743" t="s">
        <v>703</v>
      </c>
      <c r="T743" t="s">
        <v>615</v>
      </c>
      <c r="U743" s="1" t="s">
        <v>754</v>
      </c>
      <c r="V743" s="1">
        <f t="shared" si="107"/>
        <v>1.65E-10</v>
      </c>
      <c r="W743" s="1"/>
      <c r="AA743" s="1">
        <v>4.9999999999999998E-8</v>
      </c>
      <c r="AC743" s="3">
        <f>+AVERAGE(0.0025,0.0041)*10000</f>
        <v>33</v>
      </c>
      <c r="AJ743" t="s">
        <v>202</v>
      </c>
    </row>
    <row r="744" spans="1:36" x14ac:dyDescent="0.25">
      <c r="A744" t="s">
        <v>392</v>
      </c>
      <c r="B744" t="s">
        <v>53</v>
      </c>
      <c r="C744" t="s">
        <v>54</v>
      </c>
      <c r="D744" t="s">
        <v>18</v>
      </c>
      <c r="E744" t="s">
        <v>31</v>
      </c>
      <c r="F744" t="s">
        <v>32</v>
      </c>
      <c r="G744" t="s">
        <v>32</v>
      </c>
      <c r="H744" t="s">
        <v>712</v>
      </c>
      <c r="I744">
        <f t="shared" si="108"/>
        <v>11</v>
      </c>
      <c r="J744" t="s">
        <v>760</v>
      </c>
      <c r="K744" t="s">
        <v>166</v>
      </c>
      <c r="L744" t="s">
        <v>716</v>
      </c>
      <c r="Q744" t="s">
        <v>412</v>
      </c>
      <c r="R744" t="s">
        <v>709</v>
      </c>
      <c r="S744" t="s">
        <v>703</v>
      </c>
      <c r="T744" t="s">
        <v>615</v>
      </c>
      <c r="U744" s="1" t="s">
        <v>754</v>
      </c>
      <c r="V744" s="1">
        <f t="shared" si="107"/>
        <v>6.6E-10</v>
      </c>
      <c r="W744" s="1"/>
      <c r="AA744" s="1">
        <v>1.9999999999999999E-7</v>
      </c>
      <c r="AC744" s="3">
        <f>+AVERAGE(0.0025,0.0041)*10000</f>
        <v>33</v>
      </c>
      <c r="AJ744" t="s">
        <v>202</v>
      </c>
    </row>
    <row r="745" spans="1:36" x14ac:dyDescent="0.25">
      <c r="A745" t="s">
        <v>392</v>
      </c>
      <c r="B745" t="s">
        <v>53</v>
      </c>
      <c r="C745" t="s">
        <v>54</v>
      </c>
      <c r="D745" t="s">
        <v>18</v>
      </c>
      <c r="E745" t="s">
        <v>31</v>
      </c>
      <c r="F745" t="s">
        <v>32</v>
      </c>
      <c r="G745" t="s">
        <v>32</v>
      </c>
      <c r="H745" t="s">
        <v>712</v>
      </c>
      <c r="I745">
        <f t="shared" si="108"/>
        <v>11</v>
      </c>
      <c r="J745" t="s">
        <v>760</v>
      </c>
      <c r="K745" t="s">
        <v>166</v>
      </c>
      <c r="L745" t="s">
        <v>716</v>
      </c>
      <c r="Q745" t="s">
        <v>413</v>
      </c>
      <c r="R745" t="s">
        <v>709</v>
      </c>
      <c r="S745" t="s">
        <v>703</v>
      </c>
      <c r="T745" t="s">
        <v>615</v>
      </c>
      <c r="U745" s="1" t="s">
        <v>754</v>
      </c>
      <c r="V745" s="1">
        <f t="shared" si="107"/>
        <v>1.4849999999999999E-9</v>
      </c>
      <c r="W745" s="1"/>
      <c r="AA745" s="1">
        <v>4.4999999999999998E-7</v>
      </c>
      <c r="AC745" s="3">
        <f>+AVERAGE(0.0025,0.0041)*10000</f>
        <v>33</v>
      </c>
      <c r="AJ745" t="s">
        <v>202</v>
      </c>
    </row>
    <row r="746" spans="1:36" x14ac:dyDescent="0.25">
      <c r="A746" t="s">
        <v>392</v>
      </c>
      <c r="B746" t="s">
        <v>53</v>
      </c>
      <c r="C746" t="s">
        <v>54</v>
      </c>
      <c r="D746" t="s">
        <v>18</v>
      </c>
      <c r="E746" t="s">
        <v>31</v>
      </c>
      <c r="F746" t="s">
        <v>32</v>
      </c>
      <c r="G746" t="s">
        <v>32</v>
      </c>
      <c r="H746" t="s">
        <v>712</v>
      </c>
      <c r="I746">
        <f t="shared" si="108"/>
        <v>11</v>
      </c>
      <c r="J746" t="s">
        <v>760</v>
      </c>
      <c r="K746" t="s">
        <v>466</v>
      </c>
      <c r="L746" t="s">
        <v>716</v>
      </c>
      <c r="Q746" t="s">
        <v>411</v>
      </c>
      <c r="R746" t="s">
        <v>709</v>
      </c>
      <c r="S746" t="s">
        <v>703</v>
      </c>
      <c r="T746" t="s">
        <v>615</v>
      </c>
      <c r="U746" s="1" t="s">
        <v>754</v>
      </c>
      <c r="V746" s="1">
        <f t="shared" si="107"/>
        <v>4.0249999999999985E-10</v>
      </c>
      <c r="W746" s="1"/>
      <c r="AA746" s="1">
        <v>2.2999999999999997E-7</v>
      </c>
      <c r="AC746" s="3">
        <f>+AVERAGE(0.0014,0.0021)*10000</f>
        <v>17.499999999999996</v>
      </c>
      <c r="AJ746" t="s">
        <v>202</v>
      </c>
    </row>
    <row r="747" spans="1:36" x14ac:dyDescent="0.25">
      <c r="A747" t="s">
        <v>392</v>
      </c>
      <c r="B747" t="s">
        <v>53</v>
      </c>
      <c r="C747" t="s">
        <v>54</v>
      </c>
      <c r="D747" t="s">
        <v>18</v>
      </c>
      <c r="E747" t="s">
        <v>31</v>
      </c>
      <c r="F747" t="s">
        <v>32</v>
      </c>
      <c r="G747" t="s">
        <v>32</v>
      </c>
      <c r="H747" t="s">
        <v>712</v>
      </c>
      <c r="I747">
        <f t="shared" si="108"/>
        <v>11</v>
      </c>
      <c r="J747" t="s">
        <v>760</v>
      </c>
      <c r="K747" t="s">
        <v>466</v>
      </c>
      <c r="L747" t="s">
        <v>716</v>
      </c>
      <c r="Q747" t="s">
        <v>412</v>
      </c>
      <c r="R747" t="s">
        <v>709</v>
      </c>
      <c r="S747" t="s">
        <v>703</v>
      </c>
      <c r="T747" t="s">
        <v>615</v>
      </c>
      <c r="U747" s="1" t="s">
        <v>754</v>
      </c>
      <c r="V747" s="1">
        <f t="shared" si="107"/>
        <v>7.3499999999999984E-10</v>
      </c>
      <c r="W747" s="1"/>
      <c r="AA747" s="1">
        <v>4.2E-7</v>
      </c>
      <c r="AC747" s="3">
        <f>+AVERAGE(0.0014,0.0021)*10000</f>
        <v>17.499999999999996</v>
      </c>
      <c r="AJ747" t="s">
        <v>202</v>
      </c>
    </row>
    <row r="748" spans="1:36" x14ac:dyDescent="0.25">
      <c r="A748" t="s">
        <v>392</v>
      </c>
      <c r="B748" t="s">
        <v>53</v>
      </c>
      <c r="C748" t="s">
        <v>54</v>
      </c>
      <c r="D748" t="s">
        <v>18</v>
      </c>
      <c r="E748" t="s">
        <v>31</v>
      </c>
      <c r="F748" t="s">
        <v>32</v>
      </c>
      <c r="G748" t="s">
        <v>32</v>
      </c>
      <c r="H748" t="s">
        <v>712</v>
      </c>
      <c r="I748">
        <f t="shared" si="108"/>
        <v>11</v>
      </c>
      <c r="J748" t="s">
        <v>760</v>
      </c>
      <c r="K748" t="s">
        <v>466</v>
      </c>
      <c r="L748" t="s">
        <v>716</v>
      </c>
      <c r="Q748" t="s">
        <v>413</v>
      </c>
      <c r="R748" t="s">
        <v>709</v>
      </c>
      <c r="S748" t="s">
        <v>703</v>
      </c>
      <c r="T748" t="s">
        <v>615</v>
      </c>
      <c r="U748" s="1" t="s">
        <v>754</v>
      </c>
      <c r="V748" s="1">
        <f t="shared" si="107"/>
        <v>1.1374999999999996E-9</v>
      </c>
      <c r="W748" s="1"/>
      <c r="AA748" s="1">
        <v>6.4999999999999992E-7</v>
      </c>
      <c r="AC748" s="3">
        <f>+AVERAGE(0.0014,0.0021)*10000</f>
        <v>17.499999999999996</v>
      </c>
      <c r="AJ748" t="s">
        <v>202</v>
      </c>
    </row>
    <row r="749" spans="1:36" x14ac:dyDescent="0.25">
      <c r="A749" t="s">
        <v>392</v>
      </c>
      <c r="B749" t="s">
        <v>53</v>
      </c>
      <c r="C749" t="s">
        <v>54</v>
      </c>
      <c r="D749" t="s">
        <v>18</v>
      </c>
      <c r="E749" t="s">
        <v>31</v>
      </c>
      <c r="F749" t="s">
        <v>32</v>
      </c>
      <c r="G749" t="s">
        <v>32</v>
      </c>
      <c r="H749" t="s">
        <v>712</v>
      </c>
      <c r="I749">
        <f t="shared" si="108"/>
        <v>11</v>
      </c>
      <c r="J749" t="s">
        <v>760</v>
      </c>
      <c r="K749" t="s">
        <v>166</v>
      </c>
      <c r="L749" t="s">
        <v>716</v>
      </c>
      <c r="Q749" t="s">
        <v>411</v>
      </c>
      <c r="R749" t="s">
        <v>709</v>
      </c>
      <c r="S749" t="s">
        <v>703</v>
      </c>
      <c r="T749" t="s">
        <v>616</v>
      </c>
      <c r="U749" s="1" t="s">
        <v>754</v>
      </c>
      <c r="V749" s="1">
        <f t="shared" si="107"/>
        <v>6.600000000000001E-12</v>
      </c>
      <c r="W749" s="1"/>
      <c r="AA749" s="1">
        <v>2.0000000000000001E-9</v>
      </c>
      <c r="AC749" s="3">
        <f>+AVERAGE(0.0025,0.0041)*10000</f>
        <v>33</v>
      </c>
      <c r="AJ749" t="s">
        <v>202</v>
      </c>
    </row>
    <row r="750" spans="1:36" x14ac:dyDescent="0.25">
      <c r="A750" t="s">
        <v>392</v>
      </c>
      <c r="B750" t="s">
        <v>53</v>
      </c>
      <c r="C750" t="s">
        <v>54</v>
      </c>
      <c r="D750" t="s">
        <v>18</v>
      </c>
      <c r="E750" t="s">
        <v>31</v>
      </c>
      <c r="F750" t="s">
        <v>32</v>
      </c>
      <c r="G750" t="s">
        <v>32</v>
      </c>
      <c r="H750" t="s">
        <v>712</v>
      </c>
      <c r="I750">
        <f t="shared" si="108"/>
        <v>11</v>
      </c>
      <c r="J750" t="s">
        <v>760</v>
      </c>
      <c r="K750" t="s">
        <v>166</v>
      </c>
      <c r="L750" t="s">
        <v>716</v>
      </c>
      <c r="Q750" t="s">
        <v>412</v>
      </c>
      <c r="R750" t="s">
        <v>709</v>
      </c>
      <c r="S750" t="s">
        <v>703</v>
      </c>
      <c r="T750" t="s">
        <v>616</v>
      </c>
      <c r="U750" s="1" t="s">
        <v>754</v>
      </c>
      <c r="V750" s="1">
        <f t="shared" si="107"/>
        <v>5.2800000000000008E-11</v>
      </c>
      <c r="W750" s="1"/>
      <c r="AA750" s="1">
        <v>1.6000000000000001E-8</v>
      </c>
      <c r="AC750" s="3">
        <f>+AVERAGE(0.0025,0.0041)*10000</f>
        <v>33</v>
      </c>
      <c r="AJ750" t="s">
        <v>202</v>
      </c>
    </row>
    <row r="751" spans="1:36" x14ac:dyDescent="0.25">
      <c r="A751" t="s">
        <v>392</v>
      </c>
      <c r="B751" t="s">
        <v>53</v>
      </c>
      <c r="C751" t="s">
        <v>54</v>
      </c>
      <c r="D751" t="s">
        <v>18</v>
      </c>
      <c r="E751" t="s">
        <v>31</v>
      </c>
      <c r="F751" t="s">
        <v>32</v>
      </c>
      <c r="G751" t="s">
        <v>32</v>
      </c>
      <c r="H751" t="s">
        <v>712</v>
      </c>
      <c r="I751">
        <f t="shared" si="108"/>
        <v>11</v>
      </c>
      <c r="J751" t="s">
        <v>760</v>
      </c>
      <c r="K751" t="s">
        <v>166</v>
      </c>
      <c r="L751" t="s">
        <v>716</v>
      </c>
      <c r="Q751" t="s">
        <v>413</v>
      </c>
      <c r="R751" t="s">
        <v>709</v>
      </c>
      <c r="S751" t="s">
        <v>703</v>
      </c>
      <c r="T751" t="s">
        <v>616</v>
      </c>
      <c r="U751" s="1" t="s">
        <v>754</v>
      </c>
      <c r="V751" s="1">
        <f t="shared" si="107"/>
        <v>9.8999999999999981E-11</v>
      </c>
      <c r="W751" s="1"/>
      <c r="AA751" s="1">
        <v>2.9999999999999997E-8</v>
      </c>
      <c r="AC751" s="3">
        <f>+AVERAGE(0.0025,0.0041)*10000</f>
        <v>33</v>
      </c>
      <c r="AJ751" t="s">
        <v>202</v>
      </c>
    </row>
    <row r="752" spans="1:36" x14ac:dyDescent="0.25">
      <c r="A752" t="s">
        <v>392</v>
      </c>
      <c r="B752" t="s">
        <v>53</v>
      </c>
      <c r="C752" t="s">
        <v>54</v>
      </c>
      <c r="D752" t="s">
        <v>18</v>
      </c>
      <c r="E752" t="s">
        <v>31</v>
      </c>
      <c r="F752" t="s">
        <v>32</v>
      </c>
      <c r="G752" t="s">
        <v>32</v>
      </c>
      <c r="H752" t="s">
        <v>712</v>
      </c>
      <c r="I752">
        <f t="shared" si="108"/>
        <v>11</v>
      </c>
      <c r="J752" t="s">
        <v>760</v>
      </c>
      <c r="K752" t="s">
        <v>466</v>
      </c>
      <c r="L752" t="s">
        <v>716</v>
      </c>
      <c r="Q752" t="s">
        <v>411</v>
      </c>
      <c r="R752" t="s">
        <v>709</v>
      </c>
      <c r="S752" t="s">
        <v>703</v>
      </c>
      <c r="T752" t="s">
        <v>616</v>
      </c>
      <c r="U752" s="1" t="s">
        <v>754</v>
      </c>
      <c r="V752" s="1">
        <f t="shared" si="107"/>
        <v>3.849999999999999E-11</v>
      </c>
      <c r="W752" s="1"/>
      <c r="AA752" s="1">
        <v>2.1999999999999998E-8</v>
      </c>
      <c r="AC752" s="3">
        <f>+AVERAGE(0.0014,0.0021)*10000</f>
        <v>17.499999999999996</v>
      </c>
      <c r="AJ752" t="s">
        <v>202</v>
      </c>
    </row>
    <row r="753" spans="1:36" x14ac:dyDescent="0.25">
      <c r="A753" t="s">
        <v>392</v>
      </c>
      <c r="B753" t="s">
        <v>53</v>
      </c>
      <c r="C753" t="s">
        <v>54</v>
      </c>
      <c r="D753" t="s">
        <v>18</v>
      </c>
      <c r="E753" t="s">
        <v>31</v>
      </c>
      <c r="F753" t="s">
        <v>32</v>
      </c>
      <c r="G753" t="s">
        <v>32</v>
      </c>
      <c r="H753" t="s">
        <v>712</v>
      </c>
      <c r="I753">
        <f t="shared" si="108"/>
        <v>11</v>
      </c>
      <c r="J753" t="s">
        <v>760</v>
      </c>
      <c r="K753" t="s">
        <v>466</v>
      </c>
      <c r="L753" t="s">
        <v>716</v>
      </c>
      <c r="Q753" t="s">
        <v>412</v>
      </c>
      <c r="R753" t="s">
        <v>709</v>
      </c>
      <c r="S753" t="s">
        <v>703</v>
      </c>
      <c r="T753" t="s">
        <v>616</v>
      </c>
      <c r="U753" s="1" t="s">
        <v>754</v>
      </c>
      <c r="V753" s="1">
        <f t="shared" si="107"/>
        <v>7.699999999999998E-11</v>
      </c>
      <c r="W753" s="1"/>
      <c r="AA753" s="1">
        <v>4.3999999999999997E-8</v>
      </c>
      <c r="AC753" s="3">
        <f>+AVERAGE(0.0014,0.0021)*10000</f>
        <v>17.499999999999996</v>
      </c>
      <c r="AJ753" t="s">
        <v>202</v>
      </c>
    </row>
    <row r="754" spans="1:36" x14ac:dyDescent="0.25">
      <c r="A754" t="s">
        <v>392</v>
      </c>
      <c r="B754" t="s">
        <v>53</v>
      </c>
      <c r="C754" t="s">
        <v>54</v>
      </c>
      <c r="D754" t="s">
        <v>18</v>
      </c>
      <c r="E754" t="s">
        <v>31</v>
      </c>
      <c r="F754" t="s">
        <v>32</v>
      </c>
      <c r="G754" t="s">
        <v>32</v>
      </c>
      <c r="H754" t="s">
        <v>712</v>
      </c>
      <c r="I754">
        <f t="shared" si="108"/>
        <v>11</v>
      </c>
      <c r="J754" t="s">
        <v>760</v>
      </c>
      <c r="K754" t="s">
        <v>466</v>
      </c>
      <c r="L754" t="s">
        <v>716</v>
      </c>
      <c r="Q754" t="s">
        <v>413</v>
      </c>
      <c r="R754" t="s">
        <v>709</v>
      </c>
      <c r="S754" t="s">
        <v>703</v>
      </c>
      <c r="T754" t="s">
        <v>616</v>
      </c>
      <c r="U754" s="1" t="s">
        <v>754</v>
      </c>
      <c r="V754" s="1">
        <f t="shared" si="107"/>
        <v>1.1899999999999998E-10</v>
      </c>
      <c r="W754" s="1"/>
      <c r="AA754" s="1">
        <v>6.8E-8</v>
      </c>
      <c r="AC754" s="3">
        <f>+AVERAGE(0.0014,0.0021)*10000</f>
        <v>17.499999999999996</v>
      </c>
      <c r="AJ754" t="s">
        <v>202</v>
      </c>
    </row>
    <row r="755" spans="1:36" x14ac:dyDescent="0.25">
      <c r="A755" t="s">
        <v>332</v>
      </c>
      <c r="B755" t="s">
        <v>53</v>
      </c>
      <c r="C755" t="s">
        <v>54</v>
      </c>
      <c r="D755" t="s">
        <v>18</v>
      </c>
      <c r="E755" t="s">
        <v>31</v>
      </c>
      <c r="F755" t="s">
        <v>32</v>
      </c>
      <c r="G755" t="s">
        <v>32</v>
      </c>
      <c r="H755" t="s">
        <v>712</v>
      </c>
      <c r="I755">
        <f>4+7</f>
        <v>11</v>
      </c>
      <c r="J755" t="s">
        <v>674</v>
      </c>
      <c r="K755" t="s">
        <v>39</v>
      </c>
      <c r="L755" t="str">
        <f>+IF(K755 = "Control", "Control", "Stress")</f>
        <v>Control</v>
      </c>
      <c r="M755" t="s">
        <v>466</v>
      </c>
      <c r="N755" t="s">
        <v>716</v>
      </c>
      <c r="Q755" t="s">
        <v>412</v>
      </c>
      <c r="R755" t="s">
        <v>709</v>
      </c>
      <c r="S755" t="s">
        <v>703</v>
      </c>
      <c r="T755" t="s">
        <v>615</v>
      </c>
      <c r="U755" s="1" t="s">
        <v>754</v>
      </c>
      <c r="V755" s="1">
        <f t="shared" si="107"/>
        <v>1.107E-9</v>
      </c>
      <c r="W755" s="1"/>
      <c r="AA755" s="1">
        <v>1.8E-7</v>
      </c>
      <c r="AB755" s="1"/>
      <c r="AC755">
        <f>+AVERAGE(0.0013,0.011)*10000</f>
        <v>61.499999999999993</v>
      </c>
      <c r="AJ755" t="s">
        <v>359</v>
      </c>
    </row>
    <row r="756" spans="1:36" x14ac:dyDescent="0.25">
      <c r="A756" t="s">
        <v>332</v>
      </c>
      <c r="B756" t="s">
        <v>53</v>
      </c>
      <c r="C756" t="s">
        <v>54</v>
      </c>
      <c r="D756" t="s">
        <v>18</v>
      </c>
      <c r="E756" t="s">
        <v>31</v>
      </c>
      <c r="F756" t="s">
        <v>32</v>
      </c>
      <c r="G756" t="s">
        <v>32</v>
      </c>
      <c r="H756" t="s">
        <v>712</v>
      </c>
      <c r="I756">
        <f>4+7</f>
        <v>11</v>
      </c>
      <c r="J756" t="s">
        <v>674</v>
      </c>
      <c r="K756" t="s">
        <v>79</v>
      </c>
      <c r="L756" t="str">
        <f>+IF(K756 = "Control", "Control", "Stress")</f>
        <v>Stress</v>
      </c>
      <c r="M756" t="s">
        <v>466</v>
      </c>
      <c r="N756" t="s">
        <v>716</v>
      </c>
      <c r="Q756" t="s">
        <v>412</v>
      </c>
      <c r="R756" t="s">
        <v>709</v>
      </c>
      <c r="S756" t="s">
        <v>703</v>
      </c>
      <c r="T756" t="s">
        <v>615</v>
      </c>
      <c r="U756" s="1" t="s">
        <v>754</v>
      </c>
      <c r="V756" s="1">
        <f t="shared" si="107"/>
        <v>3.5054999999999995E-9</v>
      </c>
      <c r="W756" s="1"/>
      <c r="AA756" s="1">
        <v>5.6999999999999994E-7</v>
      </c>
      <c r="AB756" s="1"/>
      <c r="AC756">
        <f>+AVERAGE(0.0013,0.011)*10000</f>
        <v>61.499999999999993</v>
      </c>
      <c r="AJ756" t="s">
        <v>359</v>
      </c>
    </row>
    <row r="757" spans="1:36" x14ac:dyDescent="0.25">
      <c r="A757" t="s">
        <v>332</v>
      </c>
      <c r="B757" t="s">
        <v>53</v>
      </c>
      <c r="C757" t="s">
        <v>54</v>
      </c>
      <c r="D757" t="s">
        <v>18</v>
      </c>
      <c r="E757" t="s">
        <v>31</v>
      </c>
      <c r="F757" t="s">
        <v>32</v>
      </c>
      <c r="G757" t="s">
        <v>32</v>
      </c>
      <c r="H757" t="s">
        <v>712</v>
      </c>
      <c r="I757">
        <f>4+7</f>
        <v>11</v>
      </c>
      <c r="J757" t="s">
        <v>674</v>
      </c>
      <c r="K757" t="s">
        <v>39</v>
      </c>
      <c r="L757" t="str">
        <f>+IF(K757 = "Control", "Control", "Stress")</f>
        <v>Control</v>
      </c>
      <c r="M757" t="s">
        <v>166</v>
      </c>
      <c r="N757" t="s">
        <v>716</v>
      </c>
      <c r="Q757" t="s">
        <v>412</v>
      </c>
      <c r="R757" t="s">
        <v>709</v>
      </c>
      <c r="S757" t="s">
        <v>703</v>
      </c>
      <c r="T757" t="s">
        <v>615</v>
      </c>
      <c r="U757" s="1" t="s">
        <v>754</v>
      </c>
      <c r="V757" s="1">
        <f t="shared" si="107"/>
        <v>1.407E-9</v>
      </c>
      <c r="W757" s="1"/>
      <c r="AA757" s="1">
        <v>8.3999999999999998E-8</v>
      </c>
      <c r="AB757" s="1"/>
      <c r="AC757">
        <f>+AVERAGE(0.0057,0.0278)*10000</f>
        <v>167.5</v>
      </c>
      <c r="AJ757" t="s">
        <v>359</v>
      </c>
    </row>
    <row r="758" spans="1:36" x14ac:dyDescent="0.25">
      <c r="A758" t="s">
        <v>332</v>
      </c>
      <c r="B758" t="s">
        <v>53</v>
      </c>
      <c r="C758" t="s">
        <v>54</v>
      </c>
      <c r="D758" t="s">
        <v>18</v>
      </c>
      <c r="E758" t="s">
        <v>31</v>
      </c>
      <c r="F758" t="s">
        <v>32</v>
      </c>
      <c r="G758" t="s">
        <v>32</v>
      </c>
      <c r="H758" t="s">
        <v>712</v>
      </c>
      <c r="I758">
        <f>4+7</f>
        <v>11</v>
      </c>
      <c r="J758" t="s">
        <v>674</v>
      </c>
      <c r="K758" t="s">
        <v>79</v>
      </c>
      <c r="L758" t="str">
        <f>+IF(K758 = "Control", "Control", "Stress")</f>
        <v>Stress</v>
      </c>
      <c r="M758" t="s">
        <v>166</v>
      </c>
      <c r="N758" t="s">
        <v>716</v>
      </c>
      <c r="Q758" t="s">
        <v>412</v>
      </c>
      <c r="R758" t="s">
        <v>709</v>
      </c>
      <c r="S758" t="s">
        <v>703</v>
      </c>
      <c r="T758" t="s">
        <v>615</v>
      </c>
      <c r="U758" s="1" t="s">
        <v>754</v>
      </c>
      <c r="V758" s="1">
        <f t="shared" si="107"/>
        <v>2.1775E-9</v>
      </c>
      <c r="W758" s="1"/>
      <c r="AA758" s="1">
        <v>1.3E-7</v>
      </c>
      <c r="AB758" s="1"/>
      <c r="AC758">
        <f>+AVERAGE(0.0057,0.0278)*10000</f>
        <v>167.5</v>
      </c>
      <c r="AJ758" t="s">
        <v>359</v>
      </c>
    </row>
    <row r="759" spans="1:36" x14ac:dyDescent="0.25">
      <c r="A759" t="s">
        <v>140</v>
      </c>
      <c r="B759" t="s">
        <v>141</v>
      </c>
      <c r="C759" t="s">
        <v>142</v>
      </c>
      <c r="D759" t="s">
        <v>143</v>
      </c>
      <c r="E759" t="s">
        <v>19</v>
      </c>
      <c r="F759" t="s">
        <v>72</v>
      </c>
      <c r="G759" t="s">
        <v>624</v>
      </c>
      <c r="H759" t="s">
        <v>713</v>
      </c>
      <c r="I759">
        <f>+AVERAGE(6,9)*30</f>
        <v>225</v>
      </c>
      <c r="J759" t="s">
        <v>778</v>
      </c>
      <c r="Q759" t="s">
        <v>412</v>
      </c>
      <c r="R759" t="s">
        <v>709</v>
      </c>
      <c r="S759" t="s">
        <v>703</v>
      </c>
      <c r="T759" t="s">
        <v>615</v>
      </c>
      <c r="U759" s="1" t="s">
        <v>755</v>
      </c>
      <c r="V759" s="1">
        <f>0.38*18*0.000000001</f>
        <v>6.8400000000000004E-9</v>
      </c>
      <c r="W759" s="1"/>
      <c r="X759" s="1"/>
      <c r="Y759" s="1"/>
      <c r="Z759" s="1"/>
      <c r="AE759" s="2"/>
      <c r="AF759" s="2"/>
      <c r="AJ759" t="s">
        <v>47</v>
      </c>
    </row>
    <row r="760" spans="1:36" x14ac:dyDescent="0.25">
      <c r="A760" t="s">
        <v>144</v>
      </c>
      <c r="B760" t="s">
        <v>128</v>
      </c>
      <c r="C760" t="s">
        <v>70</v>
      </c>
      <c r="D760" t="s">
        <v>71</v>
      </c>
      <c r="E760" t="s">
        <v>19</v>
      </c>
      <c r="F760" t="s">
        <v>129</v>
      </c>
      <c r="G760" t="s">
        <v>624</v>
      </c>
      <c r="H760" t="s">
        <v>713</v>
      </c>
      <c r="I760">
        <f>365*1+30*1.5</f>
        <v>410</v>
      </c>
      <c r="J760" t="s">
        <v>406</v>
      </c>
      <c r="K760" t="s">
        <v>39</v>
      </c>
      <c r="L760" t="str">
        <f>+IF(K760 = "Control", "Control", "Stress")</f>
        <v>Control</v>
      </c>
      <c r="Q760" t="s">
        <v>412</v>
      </c>
      <c r="R760" t="s">
        <v>709</v>
      </c>
      <c r="S760" t="s">
        <v>703</v>
      </c>
      <c r="T760" t="s">
        <v>615</v>
      </c>
      <c r="U760" s="1"/>
      <c r="V760" s="1"/>
      <c r="W760" s="1"/>
      <c r="X760" s="1"/>
      <c r="Y760" s="1"/>
      <c r="Z760" s="1"/>
      <c r="AA760" s="1">
        <v>9.7100000000000003E-8</v>
      </c>
      <c r="AE760" s="2"/>
      <c r="AF760" s="2"/>
      <c r="AJ760" t="s">
        <v>203</v>
      </c>
    </row>
    <row r="761" spans="1:36" x14ac:dyDescent="0.25">
      <c r="A761" t="s">
        <v>144</v>
      </c>
      <c r="B761" t="s">
        <v>128</v>
      </c>
      <c r="C761" t="s">
        <v>70</v>
      </c>
      <c r="D761" t="s">
        <v>71</v>
      </c>
      <c r="E761" t="s">
        <v>19</v>
      </c>
      <c r="F761" t="s">
        <v>129</v>
      </c>
      <c r="G761" t="s">
        <v>624</v>
      </c>
      <c r="H761" t="s">
        <v>713</v>
      </c>
      <c r="I761">
        <f>365*1+30*1.5</f>
        <v>410</v>
      </c>
      <c r="J761" t="s">
        <v>406</v>
      </c>
      <c r="K761" t="s">
        <v>711</v>
      </c>
      <c r="L761" t="str">
        <f>+IF(K761 = "Control", "Control", "Stress")</f>
        <v>Stress</v>
      </c>
      <c r="Q761" t="s">
        <v>412</v>
      </c>
      <c r="R761" t="s">
        <v>709</v>
      </c>
      <c r="S761" t="s">
        <v>703</v>
      </c>
      <c r="T761" t="s">
        <v>615</v>
      </c>
      <c r="U761" s="1"/>
      <c r="V761" s="1"/>
      <c r="W761" s="1"/>
      <c r="X761" s="1"/>
      <c r="Y761" s="1"/>
      <c r="Z761" s="1"/>
      <c r="AA761" s="1">
        <v>4.88E-8</v>
      </c>
      <c r="AE761" s="2"/>
      <c r="AF761" s="2"/>
      <c r="AJ761" t="s">
        <v>203</v>
      </c>
    </row>
    <row r="762" spans="1:36" x14ac:dyDescent="0.25">
      <c r="A762" t="s">
        <v>145</v>
      </c>
      <c r="B762" t="s">
        <v>146</v>
      </c>
      <c r="C762" t="s">
        <v>146</v>
      </c>
      <c r="D762" t="s">
        <v>147</v>
      </c>
      <c r="E762" t="s">
        <v>19</v>
      </c>
      <c r="G762" t="s">
        <v>623</v>
      </c>
      <c r="H762" t="s">
        <v>714</v>
      </c>
      <c r="I762">
        <f>+(3+2)*30</f>
        <v>150</v>
      </c>
      <c r="J762" t="s">
        <v>778</v>
      </c>
      <c r="Q762" t="s">
        <v>412</v>
      </c>
      <c r="R762" t="s">
        <v>709</v>
      </c>
      <c r="S762" t="s">
        <v>703</v>
      </c>
      <c r="T762" t="s">
        <v>615</v>
      </c>
      <c r="U762" s="1"/>
      <c r="V762" s="1"/>
      <c r="W762" s="1"/>
      <c r="X762" s="1"/>
      <c r="Y762" s="1"/>
      <c r="Z762" s="1"/>
      <c r="AA762" s="1">
        <v>8.9999999999999995E-9</v>
      </c>
      <c r="AE762" s="2"/>
      <c r="AF762" s="2"/>
      <c r="AG762" s="2">
        <v>1.5</v>
      </c>
      <c r="AJ762" t="s">
        <v>407</v>
      </c>
    </row>
    <row r="763" spans="1:36" x14ac:dyDescent="0.25">
      <c r="A763" t="s">
        <v>145</v>
      </c>
      <c r="B763" t="s">
        <v>148</v>
      </c>
      <c r="C763" t="s">
        <v>148</v>
      </c>
      <c r="D763" t="s">
        <v>149</v>
      </c>
      <c r="E763" t="s">
        <v>19</v>
      </c>
      <c r="F763" t="s">
        <v>716</v>
      </c>
      <c r="G763" t="s">
        <v>716</v>
      </c>
      <c r="H763" t="s">
        <v>716</v>
      </c>
      <c r="I763">
        <f>2*365</f>
        <v>730</v>
      </c>
      <c r="J763" t="s">
        <v>778</v>
      </c>
      <c r="Q763" t="s">
        <v>412</v>
      </c>
      <c r="R763" t="s">
        <v>709</v>
      </c>
      <c r="S763" t="s">
        <v>703</v>
      </c>
      <c r="T763" t="s">
        <v>615</v>
      </c>
      <c r="U763" s="1"/>
      <c r="V763" s="1"/>
      <c r="W763" s="1"/>
      <c r="X763" s="1"/>
      <c r="Y763" s="1"/>
      <c r="Z763" s="1"/>
      <c r="AA763" s="1">
        <v>4.1999999999999999E-8</v>
      </c>
      <c r="AE763" s="2"/>
      <c r="AF763" s="2"/>
      <c r="AG763" s="2">
        <v>1.5</v>
      </c>
      <c r="AJ763" t="s">
        <v>407</v>
      </c>
    </row>
    <row r="764" spans="1:36" x14ac:dyDescent="0.25">
      <c r="A764" t="s">
        <v>145</v>
      </c>
      <c r="B764" t="s">
        <v>150</v>
      </c>
      <c r="C764" t="s">
        <v>151</v>
      </c>
      <c r="D764" t="s">
        <v>152</v>
      </c>
      <c r="E764" t="s">
        <v>19</v>
      </c>
      <c r="F764" t="s">
        <v>72</v>
      </c>
      <c r="G764" t="s">
        <v>601</v>
      </c>
      <c r="H764" t="s">
        <v>713</v>
      </c>
      <c r="I764">
        <f>+(4+2)*30</f>
        <v>180</v>
      </c>
      <c r="J764" t="s">
        <v>51</v>
      </c>
      <c r="K764" t="s">
        <v>39</v>
      </c>
      <c r="L764" t="str">
        <f>+IF(K764 = "Control", "Control", "Stress")</f>
        <v>Control</v>
      </c>
      <c r="Q764" t="s">
        <v>412</v>
      </c>
      <c r="R764" t="s">
        <v>709</v>
      </c>
      <c r="S764" t="s">
        <v>703</v>
      </c>
      <c r="T764" t="s">
        <v>615</v>
      </c>
      <c r="U764" s="1"/>
      <c r="V764" s="1"/>
      <c r="W764" s="1"/>
      <c r="X764" s="1"/>
      <c r="Y764" s="1"/>
      <c r="Z764" s="1"/>
      <c r="AA764" s="1">
        <v>3.5999999999999998E-8</v>
      </c>
      <c r="AE764" s="2"/>
      <c r="AF764" s="2"/>
      <c r="AG764" s="2">
        <v>0.64</v>
      </c>
      <c r="AJ764" t="s">
        <v>407</v>
      </c>
    </row>
    <row r="765" spans="1:36" x14ac:dyDescent="0.25">
      <c r="A765" t="s">
        <v>145</v>
      </c>
      <c r="B765" t="s">
        <v>150</v>
      </c>
      <c r="C765" t="s">
        <v>151</v>
      </c>
      <c r="D765" t="s">
        <v>152</v>
      </c>
      <c r="E765" t="s">
        <v>19</v>
      </c>
      <c r="F765" t="s">
        <v>72</v>
      </c>
      <c r="G765" t="s">
        <v>601</v>
      </c>
      <c r="H765" t="s">
        <v>713</v>
      </c>
      <c r="I765">
        <f>+(4+2)*30</f>
        <v>180</v>
      </c>
      <c r="J765" t="s">
        <v>51</v>
      </c>
      <c r="K765" t="s">
        <v>51</v>
      </c>
      <c r="L765" t="str">
        <f>+IF(K765 = "Control", "Control", "Stress")</f>
        <v>Stress</v>
      </c>
      <c r="Q765" t="s">
        <v>412</v>
      </c>
      <c r="R765" t="s">
        <v>709</v>
      </c>
      <c r="S765" t="s">
        <v>703</v>
      </c>
      <c r="T765" t="s">
        <v>615</v>
      </c>
      <c r="U765" s="1"/>
      <c r="V765" s="1"/>
      <c r="W765" s="1"/>
      <c r="X765" s="1"/>
      <c r="Y765" s="1"/>
      <c r="Z765" s="1"/>
      <c r="AA765" s="1">
        <v>8.0000000000000005E-9</v>
      </c>
      <c r="AE765" s="2"/>
      <c r="AF765" s="2"/>
      <c r="AG765" s="2">
        <v>0.57999999999999996</v>
      </c>
      <c r="AJ765" t="s">
        <v>407</v>
      </c>
    </row>
    <row r="766" spans="1:36" x14ac:dyDescent="0.25">
      <c r="A766" t="s">
        <v>145</v>
      </c>
      <c r="B766" t="s">
        <v>153</v>
      </c>
      <c r="C766" t="s">
        <v>154</v>
      </c>
      <c r="D766" t="s">
        <v>155</v>
      </c>
      <c r="E766" t="s">
        <v>19</v>
      </c>
      <c r="F766" t="s">
        <v>72</v>
      </c>
      <c r="G766" t="s">
        <v>601</v>
      </c>
      <c r="H766" t="s">
        <v>713</v>
      </c>
      <c r="I766">
        <f>+(6+2)*30</f>
        <v>240</v>
      </c>
      <c r="J766" t="s">
        <v>778</v>
      </c>
      <c r="Q766" t="s">
        <v>412</v>
      </c>
      <c r="R766" t="s">
        <v>709</v>
      </c>
      <c r="S766" t="s">
        <v>703</v>
      </c>
      <c r="T766" t="s">
        <v>615</v>
      </c>
      <c r="U766" s="1"/>
      <c r="V766" s="1"/>
      <c r="W766" s="1"/>
      <c r="X766" s="1"/>
      <c r="Y766" s="1"/>
      <c r="Z766" s="1"/>
      <c r="AA766" s="1">
        <v>7.9000000000000006E-8</v>
      </c>
      <c r="AE766" s="2"/>
      <c r="AF766" s="2"/>
      <c r="AG766" s="2">
        <v>0.81</v>
      </c>
      <c r="AJ766" t="s">
        <v>407</v>
      </c>
    </row>
    <row r="767" spans="1:36" x14ac:dyDescent="0.25">
      <c r="A767" t="s">
        <v>145</v>
      </c>
      <c r="B767" t="s">
        <v>101</v>
      </c>
      <c r="C767" t="s">
        <v>102</v>
      </c>
      <c r="D767" t="s">
        <v>92</v>
      </c>
      <c r="E767" t="s">
        <v>19</v>
      </c>
      <c r="F767" t="s">
        <v>37</v>
      </c>
      <c r="G767" t="s">
        <v>626</v>
      </c>
      <c r="H767" t="s">
        <v>714</v>
      </c>
      <c r="I767">
        <f>+(2+2)*30</f>
        <v>120</v>
      </c>
      <c r="J767" t="s">
        <v>51</v>
      </c>
      <c r="K767" t="s">
        <v>39</v>
      </c>
      <c r="L767" t="str">
        <f>+IF(K767 = "Control", "Control", "Stress")</f>
        <v>Control</v>
      </c>
      <c r="Q767" t="s">
        <v>412</v>
      </c>
      <c r="R767" t="s">
        <v>709</v>
      </c>
      <c r="S767" t="s">
        <v>703</v>
      </c>
      <c r="T767" t="s">
        <v>615</v>
      </c>
      <c r="U767" s="1"/>
      <c r="V767" s="1"/>
      <c r="W767" s="1"/>
      <c r="X767" s="1"/>
      <c r="Y767" s="1"/>
      <c r="Z767" s="1"/>
      <c r="AA767" s="1">
        <v>7.6000000000000006E-8</v>
      </c>
      <c r="AE767" s="2"/>
      <c r="AF767" s="2"/>
      <c r="AG767" s="2">
        <v>0.56999999999999995</v>
      </c>
      <c r="AJ767" t="s">
        <v>407</v>
      </c>
    </row>
    <row r="768" spans="1:36" x14ac:dyDescent="0.25">
      <c r="A768" t="s">
        <v>145</v>
      </c>
      <c r="B768" t="s">
        <v>101</v>
      </c>
      <c r="C768" t="s">
        <v>102</v>
      </c>
      <c r="D768" t="s">
        <v>92</v>
      </c>
      <c r="E768" t="s">
        <v>19</v>
      </c>
      <c r="F768" t="s">
        <v>37</v>
      </c>
      <c r="G768" t="s">
        <v>626</v>
      </c>
      <c r="H768" t="s">
        <v>714</v>
      </c>
      <c r="I768">
        <f>+(2+2)*30</f>
        <v>120</v>
      </c>
      <c r="J768" t="s">
        <v>51</v>
      </c>
      <c r="K768" t="s">
        <v>51</v>
      </c>
      <c r="L768" t="str">
        <f>+IF(K768 = "Control", "Control", "Stress")</f>
        <v>Stress</v>
      </c>
      <c r="Q768" t="s">
        <v>412</v>
      </c>
      <c r="R768" t="s">
        <v>709</v>
      </c>
      <c r="S768" t="s">
        <v>703</v>
      </c>
      <c r="T768" t="s">
        <v>615</v>
      </c>
      <c r="U768" s="1"/>
      <c r="V768" s="1"/>
      <c r="W768" s="1"/>
      <c r="X768" s="1"/>
      <c r="Y768" s="1"/>
      <c r="Z768" s="1"/>
      <c r="AA768" s="1">
        <v>1.7E-8</v>
      </c>
      <c r="AE768" s="2"/>
      <c r="AF768" s="2"/>
      <c r="AG768" s="2">
        <v>0.67</v>
      </c>
      <c r="AJ768" t="s">
        <v>407</v>
      </c>
    </row>
    <row r="769" spans="1:36" x14ac:dyDescent="0.25">
      <c r="A769" t="s">
        <v>333</v>
      </c>
      <c r="B769" t="s">
        <v>66</v>
      </c>
      <c r="C769" t="s">
        <v>67</v>
      </c>
      <c r="D769" t="s">
        <v>68</v>
      </c>
      <c r="E769" t="s">
        <v>19</v>
      </c>
      <c r="F769" t="s">
        <v>37</v>
      </c>
      <c r="G769" t="s">
        <v>622</v>
      </c>
      <c r="H769" t="s">
        <v>714</v>
      </c>
      <c r="I769">
        <v>20</v>
      </c>
      <c r="J769" t="s">
        <v>406</v>
      </c>
      <c r="K769" t="s">
        <v>39</v>
      </c>
      <c r="L769" t="str">
        <f>+IF(K769 = "Control", "Control", "Stress")</f>
        <v>Control</v>
      </c>
      <c r="Q769" t="s">
        <v>412</v>
      </c>
      <c r="R769" t="s">
        <v>709</v>
      </c>
      <c r="S769" t="s">
        <v>703</v>
      </c>
      <c r="T769" t="s">
        <v>616</v>
      </c>
      <c r="U769" s="1"/>
      <c r="V769" s="1"/>
      <c r="W769" s="1">
        <f>0.0000007566/3600</f>
        <v>2.1016666666666666E-10</v>
      </c>
      <c r="X769" s="1"/>
      <c r="Y769" s="1"/>
      <c r="Z769" s="1"/>
      <c r="AE769" s="2"/>
      <c r="AF769" s="2"/>
      <c r="AJ769" t="s">
        <v>352</v>
      </c>
    </row>
    <row r="770" spans="1:36" x14ac:dyDescent="0.25">
      <c r="A770" t="s">
        <v>333</v>
      </c>
      <c r="B770" t="s">
        <v>66</v>
      </c>
      <c r="C770" t="s">
        <v>67</v>
      </c>
      <c r="D770" t="s">
        <v>68</v>
      </c>
      <c r="E770" t="s">
        <v>19</v>
      </c>
      <c r="F770" t="s">
        <v>37</v>
      </c>
      <c r="G770" t="s">
        <v>622</v>
      </c>
      <c r="H770" t="s">
        <v>714</v>
      </c>
      <c r="I770">
        <v>20</v>
      </c>
      <c r="J770" t="s">
        <v>406</v>
      </c>
      <c r="K770" t="s">
        <v>711</v>
      </c>
      <c r="L770" t="str">
        <f>+IF(K770 = "Control", "Control", "Stress")</f>
        <v>Stress</v>
      </c>
      <c r="Q770" t="s">
        <v>412</v>
      </c>
      <c r="R770" t="s">
        <v>709</v>
      </c>
      <c r="S770" t="s">
        <v>703</v>
      </c>
      <c r="T770" t="s">
        <v>616</v>
      </c>
      <c r="U770" s="1"/>
      <c r="V770" s="1"/>
      <c r="W770" s="1">
        <f>0.0000005929/3600</f>
        <v>1.6469444444444444E-10</v>
      </c>
      <c r="X770" s="1"/>
      <c r="Y770" s="1"/>
      <c r="Z770" s="1"/>
      <c r="AE770" s="2"/>
      <c r="AF770" s="2"/>
      <c r="AJ770" t="s">
        <v>352</v>
      </c>
    </row>
    <row r="771" spans="1:36" x14ac:dyDescent="0.25">
      <c r="A771" t="s">
        <v>532</v>
      </c>
      <c r="B771" t="s">
        <v>174</v>
      </c>
      <c r="C771" t="s">
        <v>142</v>
      </c>
      <c r="D771" t="s">
        <v>143</v>
      </c>
      <c r="E771" t="s">
        <v>19</v>
      </c>
      <c r="F771" t="s">
        <v>25</v>
      </c>
      <c r="G771" t="s">
        <v>625</v>
      </c>
      <c r="H771" t="s">
        <v>713</v>
      </c>
      <c r="I771">
        <f t="shared" ref="I771:I777" si="109">365*3</f>
        <v>1095</v>
      </c>
      <c r="J771" t="s">
        <v>778</v>
      </c>
      <c r="Q771" t="s">
        <v>412</v>
      </c>
      <c r="R771" t="s">
        <v>709</v>
      </c>
      <c r="S771" t="s">
        <v>703</v>
      </c>
      <c r="T771" t="s">
        <v>615</v>
      </c>
      <c r="U771" s="1" t="s">
        <v>754</v>
      </c>
      <c r="V771" s="1">
        <f t="shared" ref="V771:V773" si="110">+AA771*AC771/10000</f>
        <v>2.6066739846322693E-9</v>
      </c>
      <c r="W771" s="1"/>
      <c r="X771" s="1"/>
      <c r="Y771" s="1"/>
      <c r="Z771" s="1"/>
      <c r="AA771" s="1">
        <f>[101]Sheet1!A2</f>
        <v>3.9495060373216199E-8</v>
      </c>
      <c r="AB771" s="1">
        <v>4.9800000000000003E-8</v>
      </c>
      <c r="AC771">
        <v>660</v>
      </c>
      <c r="AE771" s="2"/>
      <c r="AF771" s="2"/>
      <c r="AH771" s="5">
        <v>3.5999999999999997E-2</v>
      </c>
      <c r="AJ771" t="s">
        <v>47</v>
      </c>
    </row>
    <row r="772" spans="1:36" x14ac:dyDescent="0.25">
      <c r="A772" t="s">
        <v>532</v>
      </c>
      <c r="B772" t="s">
        <v>175</v>
      </c>
      <c r="C772" t="s">
        <v>142</v>
      </c>
      <c r="D772" t="s">
        <v>143</v>
      </c>
      <c r="E772" t="s">
        <v>19</v>
      </c>
      <c r="F772" t="s">
        <v>72</v>
      </c>
      <c r="G772" t="s">
        <v>624</v>
      </c>
      <c r="H772" t="s">
        <v>713</v>
      </c>
      <c r="I772">
        <f t="shared" si="109"/>
        <v>1095</v>
      </c>
      <c r="J772" t="s">
        <v>778</v>
      </c>
      <c r="Q772" t="s">
        <v>412</v>
      </c>
      <c r="R772" t="s">
        <v>709</v>
      </c>
      <c r="S772" t="s">
        <v>703</v>
      </c>
      <c r="T772" t="s">
        <v>615</v>
      </c>
      <c r="U772" s="1" t="s">
        <v>754</v>
      </c>
      <c r="V772" s="1">
        <f t="shared" si="110"/>
        <v>2.6623051591657503E-9</v>
      </c>
      <c r="W772" s="1"/>
      <c r="X772" s="1"/>
      <c r="Y772" s="1"/>
      <c r="Z772" s="1"/>
      <c r="AA772" s="1">
        <f>[101]Sheet1!A3</f>
        <v>3.7497255762897899E-8</v>
      </c>
      <c r="AB772" s="1">
        <v>5.4100000000000001E-8</v>
      </c>
      <c r="AC772">
        <v>709.99999999999989</v>
      </c>
      <c r="AE772" s="2"/>
      <c r="AF772" s="2"/>
      <c r="AH772" s="5">
        <v>4.9000000000000002E-2</v>
      </c>
      <c r="AJ772" t="s">
        <v>47</v>
      </c>
    </row>
    <row r="773" spans="1:36" x14ac:dyDescent="0.25">
      <c r="A773" t="s">
        <v>532</v>
      </c>
      <c r="B773" t="s">
        <v>361</v>
      </c>
      <c r="C773" t="s">
        <v>142</v>
      </c>
      <c r="D773" t="s">
        <v>143</v>
      </c>
      <c r="E773" t="s">
        <v>19</v>
      </c>
      <c r="F773" t="s">
        <v>72</v>
      </c>
      <c r="G773" t="s">
        <v>624</v>
      </c>
      <c r="H773" t="s">
        <v>713</v>
      </c>
      <c r="I773">
        <f t="shared" si="109"/>
        <v>1095</v>
      </c>
      <c r="J773" t="s">
        <v>778</v>
      </c>
      <c r="Q773" t="s">
        <v>412</v>
      </c>
      <c r="R773" t="s">
        <v>709</v>
      </c>
      <c r="S773" t="s">
        <v>703</v>
      </c>
      <c r="T773" t="s">
        <v>615</v>
      </c>
      <c r="U773" s="1" t="s">
        <v>754</v>
      </c>
      <c r="V773" s="1">
        <f t="shared" si="110"/>
        <v>2.9367727771679449E-9</v>
      </c>
      <c r="W773" s="1"/>
      <c r="X773" s="1"/>
      <c r="Y773" s="1"/>
      <c r="Z773" s="1"/>
      <c r="AA773" s="1">
        <f>[101]Sheet1!A4</f>
        <v>1.99780461031833E-8</v>
      </c>
      <c r="AB773" s="1">
        <v>4.2300000000000002E-8</v>
      </c>
      <c r="AC773">
        <v>1470</v>
      </c>
      <c r="AE773" s="2"/>
      <c r="AF773" s="2"/>
      <c r="AH773" s="5">
        <v>6.2E-2</v>
      </c>
      <c r="AJ773" t="s">
        <v>47</v>
      </c>
    </row>
    <row r="774" spans="1:36" x14ac:dyDescent="0.25">
      <c r="A774" t="s">
        <v>532</v>
      </c>
      <c r="B774" t="s">
        <v>533</v>
      </c>
      <c r="C774" t="s">
        <v>142</v>
      </c>
      <c r="D774" t="s">
        <v>143</v>
      </c>
      <c r="E774" t="s">
        <v>19</v>
      </c>
      <c r="F774" t="s">
        <v>72</v>
      </c>
      <c r="G774" t="s">
        <v>624</v>
      </c>
      <c r="H774" t="s">
        <v>713</v>
      </c>
      <c r="I774">
        <f t="shared" si="109"/>
        <v>1095</v>
      </c>
      <c r="J774" t="s">
        <v>778</v>
      </c>
      <c r="Q774" t="s">
        <v>412</v>
      </c>
      <c r="R774" t="s">
        <v>709</v>
      </c>
      <c r="S774" t="s">
        <v>703</v>
      </c>
      <c r="T774" t="s">
        <v>615</v>
      </c>
      <c r="U774" s="1" t="s">
        <v>754</v>
      </c>
      <c r="V774" s="1">
        <f t="shared" ref="V774" si="111">+AB774*AH774</f>
        <v>1.77987E-8</v>
      </c>
      <c r="W774" s="1"/>
      <c r="X774" s="1"/>
      <c r="Y774" s="1"/>
      <c r="Z774" s="1"/>
      <c r="AB774" s="1">
        <v>7.5100000000000004E-8</v>
      </c>
      <c r="AE774" s="2"/>
      <c r="AF774" s="2"/>
      <c r="AH774" s="5">
        <v>0.23699999999999999</v>
      </c>
      <c r="AJ774" t="s">
        <v>47</v>
      </c>
    </row>
    <row r="775" spans="1:36" x14ac:dyDescent="0.25">
      <c r="A775" t="s">
        <v>532</v>
      </c>
      <c r="B775" t="s">
        <v>534</v>
      </c>
      <c r="C775" t="s">
        <v>142</v>
      </c>
      <c r="D775" t="s">
        <v>143</v>
      </c>
      <c r="E775" t="s">
        <v>19</v>
      </c>
      <c r="F775" t="s">
        <v>72</v>
      </c>
      <c r="G775" t="s">
        <v>624</v>
      </c>
      <c r="H775" t="s">
        <v>713</v>
      </c>
      <c r="I775">
        <f t="shared" si="109"/>
        <v>1095</v>
      </c>
      <c r="J775" t="s">
        <v>778</v>
      </c>
      <c r="Q775" t="s">
        <v>412</v>
      </c>
      <c r="R775" t="s">
        <v>709</v>
      </c>
      <c r="S775" t="s">
        <v>703</v>
      </c>
      <c r="T775" t="s">
        <v>615</v>
      </c>
      <c r="U775" s="1" t="s">
        <v>754</v>
      </c>
      <c r="V775" s="1">
        <f t="shared" ref="V775:V776" si="112">+AA775*AC775/10000</f>
        <v>4.1953896816684946E-9</v>
      </c>
      <c r="W775" s="1"/>
      <c r="X775" s="1"/>
      <c r="Y775" s="1"/>
      <c r="Z775" s="1"/>
      <c r="AA775" s="1">
        <f>[101]Sheet1!A6</f>
        <v>8.0680570801317198E-8</v>
      </c>
      <c r="AB775" s="1">
        <v>8.8300000000000003E-8</v>
      </c>
      <c r="AC775">
        <v>520</v>
      </c>
      <c r="AE775" s="2"/>
      <c r="AF775" s="2"/>
      <c r="AH775" s="5">
        <v>2.5999999999999999E-2</v>
      </c>
      <c r="AJ775" t="s">
        <v>47</v>
      </c>
    </row>
    <row r="776" spans="1:36" x14ac:dyDescent="0.25">
      <c r="A776" t="s">
        <v>532</v>
      </c>
      <c r="B776" t="s">
        <v>298</v>
      </c>
      <c r="C776" t="s">
        <v>142</v>
      </c>
      <c r="D776" t="s">
        <v>143</v>
      </c>
      <c r="E776" t="s">
        <v>19</v>
      </c>
      <c r="F776" t="s">
        <v>72</v>
      </c>
      <c r="G776" t="s">
        <v>624</v>
      </c>
      <c r="H776" t="s">
        <v>713</v>
      </c>
      <c r="I776">
        <f t="shared" si="109"/>
        <v>1095</v>
      </c>
      <c r="J776" t="s">
        <v>778</v>
      </c>
      <c r="Q776" t="s">
        <v>412</v>
      </c>
      <c r="R776" t="s">
        <v>709</v>
      </c>
      <c r="S776" t="s">
        <v>703</v>
      </c>
      <c r="T776" t="s">
        <v>615</v>
      </c>
      <c r="U776" s="1" t="s">
        <v>754</v>
      </c>
      <c r="V776" s="1">
        <f t="shared" si="112"/>
        <v>8.7583754116355364E-9</v>
      </c>
      <c r="W776" s="1"/>
      <c r="X776" s="1"/>
      <c r="Y776" s="1"/>
      <c r="Z776" s="1"/>
      <c r="AA776" s="1">
        <f>[101]Sheet1!A7</f>
        <v>3.1964873765093201E-8</v>
      </c>
      <c r="AB776" s="1">
        <v>6.3399999999999999E-8</v>
      </c>
      <c r="AC776">
        <v>2740</v>
      </c>
      <c r="AE776" s="2"/>
      <c r="AF776" s="2"/>
      <c r="AH776" s="5">
        <v>0.17899999999999999</v>
      </c>
      <c r="AJ776" t="s">
        <v>47</v>
      </c>
    </row>
    <row r="777" spans="1:36" x14ac:dyDescent="0.25">
      <c r="A777" t="s">
        <v>532</v>
      </c>
      <c r="B777" t="s">
        <v>216</v>
      </c>
      <c r="C777" t="s">
        <v>142</v>
      </c>
      <c r="D777" t="s">
        <v>143</v>
      </c>
      <c r="E777" t="s">
        <v>19</v>
      </c>
      <c r="F777" t="s">
        <v>72</v>
      </c>
      <c r="G777" t="s">
        <v>624</v>
      </c>
      <c r="H777" t="s">
        <v>713</v>
      </c>
      <c r="I777">
        <f t="shared" si="109"/>
        <v>1095</v>
      </c>
      <c r="J777" t="s">
        <v>778</v>
      </c>
      <c r="Q777" t="s">
        <v>412</v>
      </c>
      <c r="R777" t="s">
        <v>709</v>
      </c>
      <c r="S777" t="s">
        <v>703</v>
      </c>
      <c r="T777" t="s">
        <v>615</v>
      </c>
      <c r="U777" s="1" t="s">
        <v>754</v>
      </c>
      <c r="V777" s="1">
        <f t="shared" ref="V777:V780" si="113">+AB777*AH777</f>
        <v>2.6192800000000001E-8</v>
      </c>
      <c r="W777" s="1"/>
      <c r="X777" s="1"/>
      <c r="Y777" s="1"/>
      <c r="Z777" s="1"/>
      <c r="AA777"/>
      <c r="AB777" s="1">
        <v>1.129E-7</v>
      </c>
      <c r="AE777" s="2"/>
      <c r="AF777" s="2"/>
      <c r="AH777" s="5">
        <v>0.23200000000000001</v>
      </c>
      <c r="AJ777" t="s">
        <v>47</v>
      </c>
    </row>
    <row r="778" spans="1:36" x14ac:dyDescent="0.25">
      <c r="A778" t="s">
        <v>304</v>
      </c>
      <c r="B778" t="s">
        <v>175</v>
      </c>
      <c r="C778" t="s">
        <v>142</v>
      </c>
      <c r="D778" t="s">
        <v>143</v>
      </c>
      <c r="E778" t="s">
        <v>19</v>
      </c>
      <c r="F778" t="s">
        <v>72</v>
      </c>
      <c r="G778" t="s">
        <v>624</v>
      </c>
      <c r="H778" t="s">
        <v>713</v>
      </c>
      <c r="I778">
        <f>+AVERAGE(5,7)*365</f>
        <v>2190</v>
      </c>
      <c r="J778" t="s">
        <v>765</v>
      </c>
      <c r="K778" t="s">
        <v>678</v>
      </c>
      <c r="L778" t="s">
        <v>716</v>
      </c>
      <c r="M778" t="s">
        <v>675</v>
      </c>
      <c r="N778" t="s">
        <v>716</v>
      </c>
      <c r="Q778" t="s">
        <v>412</v>
      </c>
      <c r="R778" t="s">
        <v>709</v>
      </c>
      <c r="S778" t="s">
        <v>703</v>
      </c>
      <c r="T778" t="s">
        <v>615</v>
      </c>
      <c r="U778" s="1" t="s">
        <v>754</v>
      </c>
      <c r="V778" s="1">
        <f t="shared" si="113"/>
        <v>1.1451E-7</v>
      </c>
      <c r="W778" s="1"/>
      <c r="AB778" s="1">
        <v>3.3000000000000002E-7</v>
      </c>
      <c r="AH778" s="5">
        <v>0.34699999999999998</v>
      </c>
      <c r="AJ778" t="s">
        <v>47</v>
      </c>
    </row>
    <row r="779" spans="1:36" x14ac:dyDescent="0.25">
      <c r="A779" t="s">
        <v>304</v>
      </c>
      <c r="B779" t="s">
        <v>175</v>
      </c>
      <c r="C779" t="s">
        <v>142</v>
      </c>
      <c r="D779" t="s">
        <v>143</v>
      </c>
      <c r="E779" t="s">
        <v>19</v>
      </c>
      <c r="F779" t="s">
        <v>72</v>
      </c>
      <c r="G779" t="s">
        <v>624</v>
      </c>
      <c r="H779" t="s">
        <v>713</v>
      </c>
      <c r="I779">
        <f>+AVERAGE(5,7)*365</f>
        <v>2190</v>
      </c>
      <c r="J779" t="s">
        <v>765</v>
      </c>
      <c r="K779" t="s">
        <v>678</v>
      </c>
      <c r="L779" t="s">
        <v>716</v>
      </c>
      <c r="M779" t="s">
        <v>676</v>
      </c>
      <c r="N779" t="s">
        <v>716</v>
      </c>
      <c r="Q779" t="s">
        <v>412</v>
      </c>
      <c r="R779" t="s">
        <v>709</v>
      </c>
      <c r="S779" t="s">
        <v>703</v>
      </c>
      <c r="T779" t="s">
        <v>615</v>
      </c>
      <c r="U779" s="1" t="s">
        <v>754</v>
      </c>
      <c r="V779" s="1">
        <f t="shared" si="113"/>
        <v>1.3185999999999999E-7</v>
      </c>
      <c r="W779" s="1"/>
      <c r="AB779" s="1">
        <v>3.8000000000000001E-7</v>
      </c>
      <c r="AH779" s="5">
        <v>0.34699999999999998</v>
      </c>
      <c r="AJ779" t="s">
        <v>47</v>
      </c>
    </row>
    <row r="780" spans="1:36" x14ac:dyDescent="0.25">
      <c r="A780" t="s">
        <v>304</v>
      </c>
      <c r="B780" t="s">
        <v>175</v>
      </c>
      <c r="C780" t="s">
        <v>142</v>
      </c>
      <c r="D780" t="s">
        <v>143</v>
      </c>
      <c r="E780" t="s">
        <v>19</v>
      </c>
      <c r="F780" t="s">
        <v>72</v>
      </c>
      <c r="G780" t="s">
        <v>624</v>
      </c>
      <c r="H780" t="s">
        <v>713</v>
      </c>
      <c r="I780">
        <f>+AVERAGE(5,7)*365</f>
        <v>2190</v>
      </c>
      <c r="J780" t="s">
        <v>765</v>
      </c>
      <c r="K780" t="s">
        <v>678</v>
      </c>
      <c r="L780" t="s">
        <v>716</v>
      </c>
      <c r="M780" t="s">
        <v>677</v>
      </c>
      <c r="N780" t="s">
        <v>716</v>
      </c>
      <c r="Q780" t="s">
        <v>412</v>
      </c>
      <c r="R780" t="s">
        <v>709</v>
      </c>
      <c r="S780" t="s">
        <v>703</v>
      </c>
      <c r="T780" t="s">
        <v>615</v>
      </c>
      <c r="U780" s="1" t="s">
        <v>754</v>
      </c>
      <c r="V780" s="1">
        <f t="shared" si="113"/>
        <v>1.12775E-7</v>
      </c>
      <c r="W780" s="1"/>
      <c r="AB780" s="1">
        <v>3.2500000000000001E-7</v>
      </c>
      <c r="AH780" s="5">
        <v>0.34699999999999998</v>
      </c>
      <c r="AJ780" t="s">
        <v>47</v>
      </c>
    </row>
    <row r="781" spans="1:36" x14ac:dyDescent="0.25">
      <c r="A781" t="s">
        <v>304</v>
      </c>
      <c r="B781" t="s">
        <v>175</v>
      </c>
      <c r="C781" t="s">
        <v>142</v>
      </c>
      <c r="D781" t="s">
        <v>143</v>
      </c>
      <c r="E781" t="s">
        <v>19</v>
      </c>
      <c r="F781" t="s">
        <v>72</v>
      </c>
      <c r="G781" t="s">
        <v>624</v>
      </c>
      <c r="H781" t="s">
        <v>713</v>
      </c>
      <c r="I781">
        <f>3*365</f>
        <v>1095</v>
      </c>
      <c r="J781" t="s">
        <v>765</v>
      </c>
      <c r="K781" t="s">
        <v>489</v>
      </c>
      <c r="L781" t="s">
        <v>716</v>
      </c>
      <c r="Q781" t="s">
        <v>412</v>
      </c>
      <c r="R781" t="s">
        <v>709</v>
      </c>
      <c r="S781" t="s">
        <v>703</v>
      </c>
      <c r="T781" t="s">
        <v>615</v>
      </c>
      <c r="U781" s="1" t="s">
        <v>754</v>
      </c>
      <c r="V781" s="1">
        <f>+AA781*AC781/10000</f>
        <v>2.698E-9</v>
      </c>
      <c r="W781" s="1"/>
      <c r="AA781" s="1">
        <v>3.8000000000000003E-8</v>
      </c>
      <c r="AB781" s="1">
        <v>5.2999999999999998E-8</v>
      </c>
      <c r="AC781">
        <f>0.071*10000</f>
        <v>709.99999999999989</v>
      </c>
      <c r="AH781" s="5">
        <v>4.9000000000000002E-2</v>
      </c>
      <c r="AJ781" t="s">
        <v>47</v>
      </c>
    </row>
    <row r="782" spans="1:36" x14ac:dyDescent="0.25">
      <c r="A782" t="s">
        <v>156</v>
      </c>
      <c r="B782" t="s">
        <v>157</v>
      </c>
      <c r="C782" t="s">
        <v>158</v>
      </c>
      <c r="D782" t="s">
        <v>159</v>
      </c>
      <c r="E782" t="s">
        <v>19</v>
      </c>
      <c r="F782" t="s">
        <v>160</v>
      </c>
      <c r="G782" t="s">
        <v>137</v>
      </c>
      <c r="H782" t="s">
        <v>137</v>
      </c>
      <c r="I782">
        <f>1*365</f>
        <v>365</v>
      </c>
      <c r="J782" t="s">
        <v>490</v>
      </c>
      <c r="K782" t="s">
        <v>39</v>
      </c>
      <c r="L782" t="str">
        <f t="shared" ref="L782:L801" si="114">+IF(K782 = "Control", "Control", "Stress")</f>
        <v>Control</v>
      </c>
      <c r="Q782" t="s">
        <v>412</v>
      </c>
      <c r="R782" t="s">
        <v>709</v>
      </c>
      <c r="S782" t="s">
        <v>703</v>
      </c>
      <c r="T782" t="s">
        <v>615</v>
      </c>
      <c r="U782" s="1" t="s">
        <v>754</v>
      </c>
      <c r="V782" s="1">
        <f t="shared" ref="V782:V785" si="115">+AB782*AH782</f>
        <v>1.2204E-9</v>
      </c>
      <c r="W782" s="1"/>
      <c r="X782" s="1">
        <v>3.6600000000000002E-9</v>
      </c>
      <c r="Y782" s="1"/>
      <c r="Z782" s="1"/>
      <c r="AB782" s="1">
        <v>5.4000000000000002E-7</v>
      </c>
      <c r="AE782" s="2">
        <v>0.3</v>
      </c>
      <c r="AF782" s="2"/>
      <c r="AH782" s="5">
        <v>2.2599999999999999E-3</v>
      </c>
      <c r="AJ782" t="s">
        <v>203</v>
      </c>
    </row>
    <row r="783" spans="1:36" x14ac:dyDescent="0.25">
      <c r="A783" t="s">
        <v>156</v>
      </c>
      <c r="B783" t="s">
        <v>157</v>
      </c>
      <c r="C783" t="s">
        <v>158</v>
      </c>
      <c r="D783" t="s">
        <v>159</v>
      </c>
      <c r="E783" t="s">
        <v>19</v>
      </c>
      <c r="F783" t="s">
        <v>160</v>
      </c>
      <c r="G783" t="s">
        <v>137</v>
      </c>
      <c r="H783" t="s">
        <v>137</v>
      </c>
      <c r="I783">
        <f>1*365</f>
        <v>365</v>
      </c>
      <c r="J783" t="s">
        <v>490</v>
      </c>
      <c r="K783" t="s">
        <v>704</v>
      </c>
      <c r="L783" t="str">
        <f t="shared" si="114"/>
        <v>Stress</v>
      </c>
      <c r="Q783" t="s">
        <v>412</v>
      </c>
      <c r="R783" t="s">
        <v>709</v>
      </c>
      <c r="S783" t="s">
        <v>703</v>
      </c>
      <c r="T783" t="s">
        <v>615</v>
      </c>
      <c r="U783" s="1" t="s">
        <v>754</v>
      </c>
      <c r="V783" s="1">
        <f t="shared" si="115"/>
        <v>8.4319999999999994E-10</v>
      </c>
      <c r="W783" s="1"/>
      <c r="X783" s="1">
        <v>2.7299999999999999E-9</v>
      </c>
      <c r="Y783" s="1"/>
      <c r="Z783" s="1"/>
      <c r="AB783" s="1">
        <v>4.9599999999999999E-7</v>
      </c>
      <c r="AE783" s="2">
        <v>0.27</v>
      </c>
      <c r="AF783" s="2"/>
      <c r="AH783" s="5">
        <v>1.6999999999999999E-3</v>
      </c>
      <c r="AJ783" t="s">
        <v>203</v>
      </c>
    </row>
    <row r="784" spans="1:36" x14ac:dyDescent="0.25">
      <c r="A784" t="s">
        <v>156</v>
      </c>
      <c r="B784" t="s">
        <v>66</v>
      </c>
      <c r="C784" t="s">
        <v>67</v>
      </c>
      <c r="D784" t="s">
        <v>68</v>
      </c>
      <c r="E784" t="s">
        <v>19</v>
      </c>
      <c r="F784" t="s">
        <v>37</v>
      </c>
      <c r="G784" t="s">
        <v>622</v>
      </c>
      <c r="H784" t="s">
        <v>714</v>
      </c>
      <c r="I784">
        <v>37</v>
      </c>
      <c r="J784" t="s">
        <v>490</v>
      </c>
      <c r="K784" t="s">
        <v>39</v>
      </c>
      <c r="L784" t="str">
        <f t="shared" si="114"/>
        <v>Control</v>
      </c>
      <c r="Q784" t="s">
        <v>412</v>
      </c>
      <c r="R784" t="s">
        <v>709</v>
      </c>
      <c r="S784" t="s">
        <v>703</v>
      </c>
      <c r="T784" t="s">
        <v>615</v>
      </c>
      <c r="U784" s="1" t="s">
        <v>754</v>
      </c>
      <c r="V784" s="1">
        <f t="shared" si="115"/>
        <v>2.8554699999999999E-9</v>
      </c>
      <c r="W784" s="1"/>
      <c r="X784" s="1">
        <v>7.9900000000000007E-9</v>
      </c>
      <c r="Y784" s="1"/>
      <c r="Z784" s="1"/>
      <c r="AB784" s="1">
        <v>1.009E-6</v>
      </c>
      <c r="AE784" s="2">
        <v>0.22</v>
      </c>
      <c r="AF784" s="2"/>
      <c r="AH784" s="5">
        <v>2.8300000000000001E-3</v>
      </c>
      <c r="AJ784" t="s">
        <v>203</v>
      </c>
    </row>
    <row r="785" spans="1:36" x14ac:dyDescent="0.25">
      <c r="A785" t="s">
        <v>156</v>
      </c>
      <c r="B785" t="s">
        <v>66</v>
      </c>
      <c r="C785" t="s">
        <v>67</v>
      </c>
      <c r="D785" t="s">
        <v>68</v>
      </c>
      <c r="E785" t="s">
        <v>19</v>
      </c>
      <c r="F785" t="s">
        <v>37</v>
      </c>
      <c r="G785" t="s">
        <v>622</v>
      </c>
      <c r="H785" t="s">
        <v>714</v>
      </c>
      <c r="I785">
        <v>37</v>
      </c>
      <c r="J785" t="s">
        <v>490</v>
      </c>
      <c r="K785" t="s">
        <v>704</v>
      </c>
      <c r="L785" t="str">
        <f t="shared" si="114"/>
        <v>Stress</v>
      </c>
      <c r="Q785" t="s">
        <v>412</v>
      </c>
      <c r="R785" t="s">
        <v>709</v>
      </c>
      <c r="S785" t="s">
        <v>703</v>
      </c>
      <c r="T785" t="s">
        <v>615</v>
      </c>
      <c r="U785" s="1" t="s">
        <v>754</v>
      </c>
      <c r="V785" s="1">
        <f t="shared" si="115"/>
        <v>1.6607400000000002E-9</v>
      </c>
      <c r="W785" s="1"/>
      <c r="X785" s="1">
        <v>4.5999999999999998E-9</v>
      </c>
      <c r="Y785" s="1"/>
      <c r="Z785" s="1"/>
      <c r="AB785" s="1">
        <v>6.2200000000000004E-7</v>
      </c>
      <c r="AE785" s="2">
        <v>0.23</v>
      </c>
      <c r="AF785" s="2"/>
      <c r="AH785" s="5">
        <v>2.6700000000000001E-3</v>
      </c>
      <c r="AJ785" t="s">
        <v>203</v>
      </c>
    </row>
    <row r="786" spans="1:36" x14ac:dyDescent="0.25">
      <c r="A786" t="s">
        <v>161</v>
      </c>
      <c r="B786" t="s">
        <v>162</v>
      </c>
      <c r="C786" t="s">
        <v>163</v>
      </c>
      <c r="D786" t="s">
        <v>92</v>
      </c>
      <c r="E786" t="s">
        <v>19</v>
      </c>
      <c r="F786" t="s">
        <v>37</v>
      </c>
      <c r="G786" t="s">
        <v>626</v>
      </c>
      <c r="H786" t="s">
        <v>714</v>
      </c>
      <c r="J786" t="s">
        <v>679</v>
      </c>
      <c r="K786" t="s">
        <v>39</v>
      </c>
      <c r="L786" t="str">
        <f t="shared" si="114"/>
        <v>Control</v>
      </c>
      <c r="M786" t="s">
        <v>491</v>
      </c>
      <c r="N786" t="s">
        <v>716</v>
      </c>
      <c r="Q786" t="s">
        <v>412</v>
      </c>
      <c r="R786" t="s">
        <v>709</v>
      </c>
      <c r="S786" t="s">
        <v>703</v>
      </c>
      <c r="T786" t="s">
        <v>615</v>
      </c>
      <c r="U786" s="1" t="s">
        <v>754</v>
      </c>
      <c r="V786" s="1">
        <f t="shared" ref="V786:V795" si="116">+AA786*AC786/10000</f>
        <v>1.6991999999999999E-10</v>
      </c>
      <c r="W786" s="1"/>
      <c r="X786" s="1"/>
      <c r="Y786" s="1"/>
      <c r="Z786" s="1"/>
      <c r="AA786" s="1">
        <v>1.44E-8</v>
      </c>
      <c r="AC786">
        <f t="shared" ref="AC786:AC795" si="117">0.0118*10000</f>
        <v>118</v>
      </c>
      <c r="AE786" s="2"/>
      <c r="AF786" s="2"/>
      <c r="AJ786" t="s">
        <v>203</v>
      </c>
    </row>
    <row r="787" spans="1:36" x14ac:dyDescent="0.25">
      <c r="A787" t="s">
        <v>161</v>
      </c>
      <c r="B787" t="s">
        <v>162</v>
      </c>
      <c r="C787" t="s">
        <v>163</v>
      </c>
      <c r="D787" t="s">
        <v>92</v>
      </c>
      <c r="E787" t="s">
        <v>19</v>
      </c>
      <c r="F787" t="s">
        <v>37</v>
      </c>
      <c r="G787" t="s">
        <v>626</v>
      </c>
      <c r="H787" t="s">
        <v>714</v>
      </c>
      <c r="J787" t="s">
        <v>679</v>
      </c>
      <c r="K787" t="s">
        <v>39</v>
      </c>
      <c r="L787" t="str">
        <f t="shared" si="114"/>
        <v>Control</v>
      </c>
      <c r="M787" t="s">
        <v>492</v>
      </c>
      <c r="N787" t="s">
        <v>716</v>
      </c>
      <c r="Q787" t="s">
        <v>412</v>
      </c>
      <c r="R787" t="s">
        <v>709</v>
      </c>
      <c r="S787" t="s">
        <v>703</v>
      </c>
      <c r="T787" t="s">
        <v>615</v>
      </c>
      <c r="U787" s="1" t="s">
        <v>754</v>
      </c>
      <c r="V787" s="1">
        <f t="shared" si="116"/>
        <v>3.2921999999999998E-10</v>
      </c>
      <c r="W787" s="1"/>
      <c r="X787" s="1"/>
      <c r="Y787" s="1"/>
      <c r="Z787" s="1"/>
      <c r="AA787" s="1">
        <v>2.7900000000000002E-8</v>
      </c>
      <c r="AC787">
        <f t="shared" si="117"/>
        <v>118</v>
      </c>
      <c r="AE787" s="2"/>
      <c r="AF787" s="2"/>
      <c r="AJ787" t="s">
        <v>203</v>
      </c>
    </row>
    <row r="788" spans="1:36" x14ac:dyDescent="0.25">
      <c r="A788" t="s">
        <v>161</v>
      </c>
      <c r="B788" t="s">
        <v>162</v>
      </c>
      <c r="C788" t="s">
        <v>163</v>
      </c>
      <c r="D788" t="s">
        <v>92</v>
      </c>
      <c r="E788" t="s">
        <v>19</v>
      </c>
      <c r="F788" t="s">
        <v>37</v>
      </c>
      <c r="G788" t="s">
        <v>626</v>
      </c>
      <c r="H788" t="s">
        <v>714</v>
      </c>
      <c r="J788" t="s">
        <v>679</v>
      </c>
      <c r="K788" t="s">
        <v>39</v>
      </c>
      <c r="L788" t="str">
        <f t="shared" si="114"/>
        <v>Control</v>
      </c>
      <c r="M788" t="s">
        <v>497</v>
      </c>
      <c r="N788" t="s">
        <v>716</v>
      </c>
      <c r="Q788" t="s">
        <v>412</v>
      </c>
      <c r="R788" t="s">
        <v>709</v>
      </c>
      <c r="S788" t="s">
        <v>703</v>
      </c>
      <c r="T788" t="s">
        <v>615</v>
      </c>
      <c r="U788" s="1" t="s">
        <v>754</v>
      </c>
      <c r="V788" s="1">
        <f t="shared" si="116"/>
        <v>5.0032000000000009E-10</v>
      </c>
      <c r="W788" s="1"/>
      <c r="X788" s="1"/>
      <c r="Y788" s="1"/>
      <c r="Z788" s="1"/>
      <c r="AA788" s="1">
        <v>4.2400000000000002E-8</v>
      </c>
      <c r="AC788">
        <f t="shared" si="117"/>
        <v>118</v>
      </c>
      <c r="AE788" s="2"/>
      <c r="AF788" s="2"/>
      <c r="AJ788" t="s">
        <v>203</v>
      </c>
    </row>
    <row r="789" spans="1:36" x14ac:dyDescent="0.25">
      <c r="A789" t="s">
        <v>161</v>
      </c>
      <c r="B789" t="s">
        <v>162</v>
      </c>
      <c r="C789" t="s">
        <v>163</v>
      </c>
      <c r="D789" t="s">
        <v>92</v>
      </c>
      <c r="E789" t="s">
        <v>19</v>
      </c>
      <c r="F789" t="s">
        <v>37</v>
      </c>
      <c r="G789" t="s">
        <v>626</v>
      </c>
      <c r="H789" t="s">
        <v>714</v>
      </c>
      <c r="J789" t="s">
        <v>679</v>
      </c>
      <c r="K789" t="s">
        <v>39</v>
      </c>
      <c r="L789" t="str">
        <f t="shared" si="114"/>
        <v>Control</v>
      </c>
      <c r="M789" t="s">
        <v>493</v>
      </c>
      <c r="N789" t="s">
        <v>716</v>
      </c>
      <c r="Q789" t="s">
        <v>412</v>
      </c>
      <c r="R789" t="s">
        <v>709</v>
      </c>
      <c r="S789" t="s">
        <v>703</v>
      </c>
      <c r="T789" t="s">
        <v>615</v>
      </c>
      <c r="U789" s="1" t="s">
        <v>754</v>
      </c>
      <c r="V789" s="1">
        <f t="shared" si="116"/>
        <v>4.3070000000000002E-10</v>
      </c>
      <c r="W789" s="1"/>
      <c r="X789" s="1"/>
      <c r="Y789" s="1"/>
      <c r="Z789" s="1"/>
      <c r="AA789" s="1">
        <v>3.6500000000000003E-8</v>
      </c>
      <c r="AC789">
        <f t="shared" si="117"/>
        <v>118</v>
      </c>
      <c r="AE789" s="2"/>
      <c r="AF789" s="2"/>
      <c r="AJ789" t="s">
        <v>203</v>
      </c>
    </row>
    <row r="790" spans="1:36" x14ac:dyDescent="0.25">
      <c r="A790" t="s">
        <v>161</v>
      </c>
      <c r="B790" t="s">
        <v>162</v>
      </c>
      <c r="C790" t="s">
        <v>163</v>
      </c>
      <c r="D790" t="s">
        <v>92</v>
      </c>
      <c r="E790" t="s">
        <v>19</v>
      </c>
      <c r="F790" t="s">
        <v>37</v>
      </c>
      <c r="G790" t="s">
        <v>626</v>
      </c>
      <c r="H790" t="s">
        <v>714</v>
      </c>
      <c r="J790" t="s">
        <v>679</v>
      </c>
      <c r="K790" t="s">
        <v>39</v>
      </c>
      <c r="L790" t="str">
        <f t="shared" si="114"/>
        <v>Control</v>
      </c>
      <c r="M790" t="s">
        <v>494</v>
      </c>
      <c r="N790" t="s">
        <v>716</v>
      </c>
      <c r="Q790" t="s">
        <v>412</v>
      </c>
      <c r="R790" t="s">
        <v>709</v>
      </c>
      <c r="S790" t="s">
        <v>703</v>
      </c>
      <c r="T790" t="s">
        <v>615</v>
      </c>
      <c r="U790" s="1" t="s">
        <v>754</v>
      </c>
      <c r="V790" s="1">
        <f t="shared" si="116"/>
        <v>1.1564000000000003E-10</v>
      </c>
      <c r="W790" s="1"/>
      <c r="X790" s="1"/>
      <c r="Y790" s="1"/>
      <c r="Z790" s="1"/>
      <c r="AA790" s="1">
        <v>9.8000000000000017E-9</v>
      </c>
      <c r="AC790">
        <f t="shared" si="117"/>
        <v>118</v>
      </c>
      <c r="AE790" s="2"/>
      <c r="AF790" s="2"/>
      <c r="AJ790" t="s">
        <v>203</v>
      </c>
    </row>
    <row r="791" spans="1:36" x14ac:dyDescent="0.25">
      <c r="A791" t="s">
        <v>161</v>
      </c>
      <c r="B791" t="s">
        <v>162</v>
      </c>
      <c r="C791" t="s">
        <v>163</v>
      </c>
      <c r="D791" t="s">
        <v>92</v>
      </c>
      <c r="E791" t="s">
        <v>19</v>
      </c>
      <c r="F791" t="s">
        <v>37</v>
      </c>
      <c r="G791" t="s">
        <v>626</v>
      </c>
      <c r="H791" t="s">
        <v>714</v>
      </c>
      <c r="J791" t="s">
        <v>679</v>
      </c>
      <c r="K791" t="s">
        <v>499</v>
      </c>
      <c r="L791" t="str">
        <f t="shared" si="114"/>
        <v>Stress</v>
      </c>
      <c r="M791" t="s">
        <v>491</v>
      </c>
      <c r="N791" t="s">
        <v>716</v>
      </c>
      <c r="Q791" t="s">
        <v>412</v>
      </c>
      <c r="R791" t="s">
        <v>709</v>
      </c>
      <c r="S791" t="s">
        <v>703</v>
      </c>
      <c r="T791" t="s">
        <v>615</v>
      </c>
      <c r="U791" s="1" t="s">
        <v>754</v>
      </c>
      <c r="V791" s="1">
        <f t="shared" si="116"/>
        <v>2.5134000000000003E-10</v>
      </c>
      <c r="W791" s="1"/>
      <c r="X791" s="1"/>
      <c r="Y791" s="1"/>
      <c r="Z791" s="1"/>
      <c r="AA791" s="1">
        <v>2.1300000000000002E-8</v>
      </c>
      <c r="AC791">
        <f t="shared" si="117"/>
        <v>118</v>
      </c>
      <c r="AE791" s="2"/>
      <c r="AF791" s="2"/>
      <c r="AJ791" t="s">
        <v>203</v>
      </c>
    </row>
    <row r="792" spans="1:36" x14ac:dyDescent="0.25">
      <c r="A792" t="s">
        <v>161</v>
      </c>
      <c r="B792" t="s">
        <v>162</v>
      </c>
      <c r="C792" t="s">
        <v>163</v>
      </c>
      <c r="D792" t="s">
        <v>92</v>
      </c>
      <c r="E792" t="s">
        <v>19</v>
      </c>
      <c r="F792" t="s">
        <v>37</v>
      </c>
      <c r="G792" t="s">
        <v>626</v>
      </c>
      <c r="H792" t="s">
        <v>714</v>
      </c>
      <c r="J792" t="s">
        <v>679</v>
      </c>
      <c r="K792" t="s">
        <v>499</v>
      </c>
      <c r="L792" t="str">
        <f t="shared" si="114"/>
        <v>Stress</v>
      </c>
      <c r="M792" t="s">
        <v>492</v>
      </c>
      <c r="N792" t="s">
        <v>716</v>
      </c>
      <c r="Q792" t="s">
        <v>412</v>
      </c>
      <c r="R792" t="s">
        <v>709</v>
      </c>
      <c r="S792" t="s">
        <v>703</v>
      </c>
      <c r="T792" t="s">
        <v>615</v>
      </c>
      <c r="U792" s="1" t="s">
        <v>754</v>
      </c>
      <c r="V792" s="1">
        <f t="shared" si="116"/>
        <v>5.6640000000000003E-10</v>
      </c>
      <c r="W792" s="1"/>
      <c r="X792" s="1"/>
      <c r="Y792" s="1"/>
      <c r="Z792" s="1"/>
      <c r="AA792" s="1">
        <v>4.8000000000000006E-8</v>
      </c>
      <c r="AC792">
        <f t="shared" si="117"/>
        <v>118</v>
      </c>
      <c r="AE792" s="2"/>
      <c r="AF792" s="2"/>
      <c r="AJ792" t="s">
        <v>203</v>
      </c>
    </row>
    <row r="793" spans="1:36" x14ac:dyDescent="0.25">
      <c r="A793" t="s">
        <v>161</v>
      </c>
      <c r="B793" t="s">
        <v>162</v>
      </c>
      <c r="C793" t="s">
        <v>163</v>
      </c>
      <c r="D793" t="s">
        <v>92</v>
      </c>
      <c r="E793" t="s">
        <v>19</v>
      </c>
      <c r="F793" t="s">
        <v>37</v>
      </c>
      <c r="G793" t="s">
        <v>626</v>
      </c>
      <c r="H793" t="s">
        <v>714</v>
      </c>
      <c r="J793" t="s">
        <v>679</v>
      </c>
      <c r="K793" t="s">
        <v>499</v>
      </c>
      <c r="L793" t="str">
        <f t="shared" si="114"/>
        <v>Stress</v>
      </c>
      <c r="M793" t="s">
        <v>497</v>
      </c>
      <c r="N793" t="s">
        <v>716</v>
      </c>
      <c r="Q793" t="s">
        <v>412</v>
      </c>
      <c r="R793" t="s">
        <v>709</v>
      </c>
      <c r="S793" t="s">
        <v>703</v>
      </c>
      <c r="T793" t="s">
        <v>615</v>
      </c>
      <c r="U793" s="1" t="s">
        <v>754</v>
      </c>
      <c r="V793" s="1">
        <f t="shared" si="116"/>
        <v>6.1714E-10</v>
      </c>
      <c r="W793" s="1"/>
      <c r="X793" s="1"/>
      <c r="Y793" s="1"/>
      <c r="Z793" s="1"/>
      <c r="AA793" s="1">
        <v>5.2299999999999998E-8</v>
      </c>
      <c r="AC793">
        <f t="shared" si="117"/>
        <v>118</v>
      </c>
      <c r="AE793" s="2"/>
      <c r="AF793" s="2"/>
      <c r="AJ793" t="s">
        <v>203</v>
      </c>
    </row>
    <row r="794" spans="1:36" x14ac:dyDescent="0.25">
      <c r="A794" t="s">
        <v>161</v>
      </c>
      <c r="B794" t="s">
        <v>162</v>
      </c>
      <c r="C794" t="s">
        <v>163</v>
      </c>
      <c r="D794" t="s">
        <v>92</v>
      </c>
      <c r="E794" t="s">
        <v>19</v>
      </c>
      <c r="F794" t="s">
        <v>37</v>
      </c>
      <c r="G794" t="s">
        <v>626</v>
      </c>
      <c r="H794" t="s">
        <v>714</v>
      </c>
      <c r="J794" t="s">
        <v>679</v>
      </c>
      <c r="K794" t="s">
        <v>499</v>
      </c>
      <c r="L794" t="str">
        <f t="shared" si="114"/>
        <v>Stress</v>
      </c>
      <c r="M794" t="s">
        <v>493</v>
      </c>
      <c r="N794" t="s">
        <v>716</v>
      </c>
      <c r="Q794" t="s">
        <v>412</v>
      </c>
      <c r="R794" t="s">
        <v>709</v>
      </c>
      <c r="S794" t="s">
        <v>703</v>
      </c>
      <c r="T794" t="s">
        <v>615</v>
      </c>
      <c r="U794" s="1" t="s">
        <v>754</v>
      </c>
      <c r="V794" s="1">
        <f t="shared" si="116"/>
        <v>5.5578000000000002E-10</v>
      </c>
      <c r="W794" s="1"/>
      <c r="X794" s="1"/>
      <c r="Y794" s="1"/>
      <c r="Z794" s="1"/>
      <c r="AA794" s="1">
        <v>4.7100000000000005E-8</v>
      </c>
      <c r="AC794">
        <f t="shared" si="117"/>
        <v>118</v>
      </c>
      <c r="AE794" s="2"/>
      <c r="AF794" s="2"/>
      <c r="AJ794" t="s">
        <v>203</v>
      </c>
    </row>
    <row r="795" spans="1:36" x14ac:dyDescent="0.25">
      <c r="A795" t="s">
        <v>161</v>
      </c>
      <c r="B795" t="s">
        <v>162</v>
      </c>
      <c r="C795" t="s">
        <v>163</v>
      </c>
      <c r="D795" t="s">
        <v>92</v>
      </c>
      <c r="E795" t="s">
        <v>19</v>
      </c>
      <c r="F795" t="s">
        <v>37</v>
      </c>
      <c r="G795" t="s">
        <v>626</v>
      </c>
      <c r="H795" t="s">
        <v>714</v>
      </c>
      <c r="J795" t="s">
        <v>679</v>
      </c>
      <c r="K795" t="s">
        <v>499</v>
      </c>
      <c r="L795" t="str">
        <f t="shared" si="114"/>
        <v>Stress</v>
      </c>
      <c r="M795" t="s">
        <v>494</v>
      </c>
      <c r="N795" t="s">
        <v>716</v>
      </c>
      <c r="Q795" t="s">
        <v>412</v>
      </c>
      <c r="R795" t="s">
        <v>709</v>
      </c>
      <c r="S795" t="s">
        <v>703</v>
      </c>
      <c r="T795" t="s">
        <v>615</v>
      </c>
      <c r="U795" s="1" t="s">
        <v>754</v>
      </c>
      <c r="V795" s="1">
        <f t="shared" si="116"/>
        <v>1.5930000000000001E-10</v>
      </c>
      <c r="W795" s="1"/>
      <c r="X795" s="1"/>
      <c r="Y795" s="1"/>
      <c r="Z795" s="1"/>
      <c r="AA795" s="1">
        <v>1.35E-8</v>
      </c>
      <c r="AC795">
        <f t="shared" si="117"/>
        <v>118</v>
      </c>
      <c r="AE795" s="2"/>
      <c r="AF795" s="2"/>
      <c r="AJ795" t="s">
        <v>203</v>
      </c>
    </row>
    <row r="796" spans="1:36" x14ac:dyDescent="0.25">
      <c r="A796" t="s">
        <v>334</v>
      </c>
      <c r="B796" t="s">
        <v>360</v>
      </c>
      <c r="C796" t="s">
        <v>302</v>
      </c>
      <c r="D796" t="s">
        <v>36</v>
      </c>
      <c r="E796" t="s">
        <v>19</v>
      </c>
      <c r="F796" t="s">
        <v>37</v>
      </c>
      <c r="G796" t="s">
        <v>622</v>
      </c>
      <c r="H796" t="s">
        <v>714</v>
      </c>
      <c r="I796">
        <f>12+25+2</f>
        <v>39</v>
      </c>
      <c r="J796" t="s">
        <v>84</v>
      </c>
      <c r="K796" t="s">
        <v>39</v>
      </c>
      <c r="L796" t="str">
        <f t="shared" si="114"/>
        <v>Control</v>
      </c>
      <c r="Q796" t="s">
        <v>412</v>
      </c>
      <c r="R796" t="s">
        <v>709</v>
      </c>
      <c r="S796" t="s">
        <v>703</v>
      </c>
      <c r="T796" t="s">
        <v>616</v>
      </c>
      <c r="U796" s="1"/>
      <c r="V796" s="1"/>
      <c r="W796" s="1">
        <f>[102]Carvajal_etal_1999_Fig1b!C2</f>
        <v>1.3610358325805472E-10</v>
      </c>
      <c r="X796" s="1"/>
      <c r="Y796" s="1"/>
      <c r="Z796" s="1"/>
      <c r="AE796" s="2"/>
      <c r="AF796" s="2"/>
      <c r="AJ796" t="s">
        <v>352</v>
      </c>
    </row>
    <row r="797" spans="1:36" x14ac:dyDescent="0.25">
      <c r="A797" t="s">
        <v>334</v>
      </c>
      <c r="B797" t="s">
        <v>360</v>
      </c>
      <c r="C797" t="s">
        <v>302</v>
      </c>
      <c r="D797" t="s">
        <v>36</v>
      </c>
      <c r="E797" t="s">
        <v>19</v>
      </c>
      <c r="F797" t="s">
        <v>37</v>
      </c>
      <c r="G797" t="s">
        <v>622</v>
      </c>
      <c r="H797" t="s">
        <v>714</v>
      </c>
      <c r="I797">
        <f>12+25+3</f>
        <v>40</v>
      </c>
      <c r="J797" t="s">
        <v>84</v>
      </c>
      <c r="K797" t="s">
        <v>39</v>
      </c>
      <c r="L797" t="str">
        <f t="shared" si="114"/>
        <v>Control</v>
      </c>
      <c r="Q797" t="s">
        <v>412</v>
      </c>
      <c r="R797" t="s">
        <v>709</v>
      </c>
      <c r="S797" t="s">
        <v>703</v>
      </c>
      <c r="T797" t="s">
        <v>616</v>
      </c>
      <c r="U797" s="1"/>
      <c r="V797" s="1"/>
      <c r="W797" s="1">
        <f>[102]Carvajal_etal_1999_Fig1b!C3</f>
        <v>1.9512195121951222E-10</v>
      </c>
      <c r="X797" s="1"/>
      <c r="Y797" s="1"/>
      <c r="Z797" s="1"/>
      <c r="AE797" s="2"/>
      <c r="AF797" s="2"/>
      <c r="AJ797" t="s">
        <v>352</v>
      </c>
    </row>
    <row r="798" spans="1:36" x14ac:dyDescent="0.25">
      <c r="A798" t="s">
        <v>334</v>
      </c>
      <c r="B798" t="s">
        <v>360</v>
      </c>
      <c r="C798" t="s">
        <v>302</v>
      </c>
      <c r="D798" t="s">
        <v>36</v>
      </c>
      <c r="E798" t="s">
        <v>19</v>
      </c>
      <c r="F798" t="s">
        <v>37</v>
      </c>
      <c r="G798" t="s">
        <v>622</v>
      </c>
      <c r="H798" t="s">
        <v>714</v>
      </c>
      <c r="I798">
        <f>12+25+2</f>
        <v>39</v>
      </c>
      <c r="J798" t="s">
        <v>84</v>
      </c>
      <c r="K798" t="s">
        <v>84</v>
      </c>
      <c r="L798" t="str">
        <f t="shared" si="114"/>
        <v>Stress</v>
      </c>
      <c r="Q798" t="s">
        <v>412</v>
      </c>
      <c r="R798" t="s">
        <v>709</v>
      </c>
      <c r="S798" t="s">
        <v>703</v>
      </c>
      <c r="T798" t="s">
        <v>616</v>
      </c>
      <c r="U798" s="1"/>
      <c r="V798" s="1"/>
      <c r="W798" s="1">
        <f>[102]Carvajal_etal_1999_Fig1b!C4</f>
        <v>3.0111412225232777E-11</v>
      </c>
      <c r="X798" s="1"/>
      <c r="Y798" s="1"/>
      <c r="Z798" s="1"/>
      <c r="AE798" s="2"/>
      <c r="AF798" s="2"/>
      <c r="AJ798" t="s">
        <v>352</v>
      </c>
    </row>
    <row r="799" spans="1:36" x14ac:dyDescent="0.25">
      <c r="A799" t="s">
        <v>334</v>
      </c>
      <c r="B799" t="s">
        <v>360</v>
      </c>
      <c r="C799" t="s">
        <v>302</v>
      </c>
      <c r="D799" t="s">
        <v>36</v>
      </c>
      <c r="E799" t="s">
        <v>19</v>
      </c>
      <c r="F799" t="s">
        <v>37</v>
      </c>
      <c r="G799" t="s">
        <v>622</v>
      </c>
      <c r="H799" t="s">
        <v>714</v>
      </c>
      <c r="I799">
        <f>12+25+3</f>
        <v>40</v>
      </c>
      <c r="J799" t="s">
        <v>84</v>
      </c>
      <c r="K799" t="s">
        <v>84</v>
      </c>
      <c r="L799" t="str">
        <f t="shared" si="114"/>
        <v>Stress</v>
      </c>
      <c r="Q799" t="s">
        <v>412</v>
      </c>
      <c r="R799" t="s">
        <v>709</v>
      </c>
      <c r="S799" t="s">
        <v>703</v>
      </c>
      <c r="T799" t="s">
        <v>616</v>
      </c>
      <c r="U799" s="1"/>
      <c r="V799" s="1"/>
      <c r="W799" s="1">
        <f>[102]Carvajal_etal_1999_Fig1b!C5</f>
        <v>1.5657934357120945E-11</v>
      </c>
      <c r="X799" s="1"/>
      <c r="Y799" s="1"/>
      <c r="Z799" s="1"/>
      <c r="AE799" s="2"/>
      <c r="AF799" s="2"/>
      <c r="AJ799" t="s">
        <v>352</v>
      </c>
    </row>
    <row r="800" spans="1:36" x14ac:dyDescent="0.25">
      <c r="A800" t="s">
        <v>334</v>
      </c>
      <c r="B800" t="s">
        <v>360</v>
      </c>
      <c r="C800" t="s">
        <v>302</v>
      </c>
      <c r="D800" t="s">
        <v>36</v>
      </c>
      <c r="E800" t="s">
        <v>19</v>
      </c>
      <c r="F800" t="s">
        <v>37</v>
      </c>
      <c r="G800" t="s">
        <v>622</v>
      </c>
      <c r="H800" t="s">
        <v>714</v>
      </c>
      <c r="I800">
        <f>12+25+3</f>
        <v>40</v>
      </c>
      <c r="J800" t="s">
        <v>406</v>
      </c>
      <c r="K800" t="s">
        <v>39</v>
      </c>
      <c r="L800" t="str">
        <f t="shared" si="114"/>
        <v>Control</v>
      </c>
      <c r="Q800" t="s">
        <v>412</v>
      </c>
      <c r="R800" t="s">
        <v>709</v>
      </c>
      <c r="S800" t="s">
        <v>703</v>
      </c>
      <c r="T800" t="s">
        <v>616</v>
      </c>
      <c r="U800" s="1"/>
      <c r="V800" s="1"/>
      <c r="W800" s="1">
        <f>[103]Carvajal_etal_1999_Fig3b!C2</f>
        <v>2.4987181004220388E-10</v>
      </c>
      <c r="X800" s="1"/>
      <c r="Y800" s="1"/>
      <c r="Z800" s="1"/>
      <c r="AE800" s="2"/>
      <c r="AF800" s="2"/>
      <c r="AJ800" t="s">
        <v>352</v>
      </c>
    </row>
    <row r="801" spans="1:36" x14ac:dyDescent="0.25">
      <c r="A801" t="s">
        <v>334</v>
      </c>
      <c r="B801" t="s">
        <v>360</v>
      </c>
      <c r="C801" t="s">
        <v>302</v>
      </c>
      <c r="D801" t="s">
        <v>36</v>
      </c>
      <c r="E801" t="s">
        <v>19</v>
      </c>
      <c r="F801" t="s">
        <v>37</v>
      </c>
      <c r="G801" t="s">
        <v>622</v>
      </c>
      <c r="H801" t="s">
        <v>714</v>
      </c>
      <c r="I801">
        <f>12+25+3</f>
        <v>40</v>
      </c>
      <c r="J801" t="s">
        <v>406</v>
      </c>
      <c r="K801" t="s">
        <v>711</v>
      </c>
      <c r="L801" t="str">
        <f t="shared" si="114"/>
        <v>Stress</v>
      </c>
      <c r="Q801" t="s">
        <v>412</v>
      </c>
      <c r="R801" t="s">
        <v>709</v>
      </c>
      <c r="S801" t="s">
        <v>703</v>
      </c>
      <c r="T801" t="s">
        <v>616</v>
      </c>
      <c r="U801" s="1"/>
      <c r="V801" s="1"/>
      <c r="W801" s="1">
        <f>[103]Carvajal_etal_1999_Fig3b!C3</f>
        <v>1.0442551177375445E-10</v>
      </c>
      <c r="X801" s="1"/>
      <c r="Y801" s="1"/>
      <c r="Z801" s="1"/>
      <c r="AE801" s="2"/>
      <c r="AF801" s="2"/>
      <c r="AJ801" t="s">
        <v>352</v>
      </c>
    </row>
    <row r="802" spans="1:36" x14ac:dyDescent="0.25">
      <c r="A802" t="s">
        <v>164</v>
      </c>
      <c r="B802" t="s">
        <v>53</v>
      </c>
      <c r="C802" t="s">
        <v>54</v>
      </c>
      <c r="D802" t="s">
        <v>18</v>
      </c>
      <c r="E802" t="s">
        <v>31</v>
      </c>
      <c r="F802" t="s">
        <v>32</v>
      </c>
      <c r="G802" t="s">
        <v>32</v>
      </c>
      <c r="H802" t="s">
        <v>712</v>
      </c>
      <c r="I802">
        <v>14</v>
      </c>
      <c r="J802" t="s">
        <v>760</v>
      </c>
      <c r="K802" t="s">
        <v>165</v>
      </c>
      <c r="L802" t="s">
        <v>716</v>
      </c>
      <c r="Q802" t="s">
        <v>412</v>
      </c>
      <c r="R802" t="s">
        <v>709</v>
      </c>
      <c r="S802" t="s">
        <v>703</v>
      </c>
      <c r="T802" t="s">
        <v>615</v>
      </c>
      <c r="U802" s="1" t="s">
        <v>754</v>
      </c>
      <c r="V802" s="1">
        <f t="shared" ref="V802:V815" si="118">+AA802*AC802/10000</f>
        <v>1.4999999999999998E-9</v>
      </c>
      <c r="W802" s="1"/>
      <c r="X802" s="1"/>
      <c r="Y802" s="1"/>
      <c r="Z802" s="1"/>
      <c r="AA802" s="1">
        <v>4.9999999999999998E-7</v>
      </c>
      <c r="AC802">
        <v>30</v>
      </c>
      <c r="AE802" s="2"/>
      <c r="AF802" s="2"/>
      <c r="AJ802" t="s">
        <v>203</v>
      </c>
    </row>
    <row r="803" spans="1:36" x14ac:dyDescent="0.25">
      <c r="A803" t="s">
        <v>164</v>
      </c>
      <c r="B803" t="s">
        <v>53</v>
      </c>
      <c r="C803" t="s">
        <v>54</v>
      </c>
      <c r="D803" t="s">
        <v>18</v>
      </c>
      <c r="E803" t="s">
        <v>31</v>
      </c>
      <c r="F803" t="s">
        <v>32</v>
      </c>
      <c r="G803" t="s">
        <v>32</v>
      </c>
      <c r="H803" t="s">
        <v>712</v>
      </c>
      <c r="I803">
        <v>14</v>
      </c>
      <c r="J803" t="s">
        <v>760</v>
      </c>
      <c r="K803" t="s">
        <v>165</v>
      </c>
      <c r="L803" t="s">
        <v>716</v>
      </c>
      <c r="Q803" t="s">
        <v>412</v>
      </c>
      <c r="R803" t="s">
        <v>709</v>
      </c>
      <c r="S803" t="s">
        <v>703</v>
      </c>
      <c r="T803" t="s">
        <v>615</v>
      </c>
      <c r="U803" s="1" t="s">
        <v>754</v>
      </c>
      <c r="V803" s="1">
        <f t="shared" si="118"/>
        <v>1.7220000000000001E-9</v>
      </c>
      <c r="W803" s="1"/>
      <c r="X803" s="1"/>
      <c r="Y803" s="1"/>
      <c r="Z803" s="1"/>
      <c r="AA803" s="1">
        <v>4.2E-7</v>
      </c>
      <c r="AC803">
        <v>41</v>
      </c>
      <c r="AE803" s="2"/>
      <c r="AF803" s="2"/>
      <c r="AJ803" t="s">
        <v>203</v>
      </c>
    </row>
    <row r="804" spans="1:36" x14ac:dyDescent="0.25">
      <c r="A804" t="s">
        <v>164</v>
      </c>
      <c r="B804" t="s">
        <v>53</v>
      </c>
      <c r="C804" t="s">
        <v>54</v>
      </c>
      <c r="D804" t="s">
        <v>18</v>
      </c>
      <c r="E804" t="s">
        <v>31</v>
      </c>
      <c r="F804" t="s">
        <v>32</v>
      </c>
      <c r="G804" t="s">
        <v>32</v>
      </c>
      <c r="H804" t="s">
        <v>712</v>
      </c>
      <c r="I804">
        <v>16</v>
      </c>
      <c r="J804" t="s">
        <v>760</v>
      </c>
      <c r="K804" t="s">
        <v>165</v>
      </c>
      <c r="L804" t="s">
        <v>716</v>
      </c>
      <c r="Q804" t="s">
        <v>412</v>
      </c>
      <c r="R804" t="s">
        <v>709</v>
      </c>
      <c r="S804" t="s">
        <v>703</v>
      </c>
      <c r="T804" t="s">
        <v>615</v>
      </c>
      <c r="U804" s="1" t="s">
        <v>754</v>
      </c>
      <c r="V804" s="1">
        <f t="shared" si="118"/>
        <v>1.8809999999999996E-9</v>
      </c>
      <c r="W804" s="1"/>
      <c r="X804" s="1"/>
      <c r="Y804" s="1"/>
      <c r="Z804" s="1"/>
      <c r="AA804" s="1">
        <v>3.2999999999999996E-7</v>
      </c>
      <c r="AC804">
        <v>57</v>
      </c>
      <c r="AE804" s="2"/>
      <c r="AF804" s="2"/>
      <c r="AJ804" t="s">
        <v>203</v>
      </c>
    </row>
    <row r="805" spans="1:36" x14ac:dyDescent="0.25">
      <c r="A805" t="s">
        <v>164</v>
      </c>
      <c r="B805" t="s">
        <v>53</v>
      </c>
      <c r="C805" t="s">
        <v>54</v>
      </c>
      <c r="D805" t="s">
        <v>18</v>
      </c>
      <c r="E805" t="s">
        <v>31</v>
      </c>
      <c r="F805" t="s">
        <v>32</v>
      </c>
      <c r="G805" t="s">
        <v>32</v>
      </c>
      <c r="H805" t="s">
        <v>712</v>
      </c>
      <c r="I805">
        <v>15</v>
      </c>
      <c r="J805" t="s">
        <v>760</v>
      </c>
      <c r="K805" t="s">
        <v>165</v>
      </c>
      <c r="L805" t="s">
        <v>716</v>
      </c>
      <c r="Q805" t="s">
        <v>412</v>
      </c>
      <c r="R805" t="s">
        <v>709</v>
      </c>
      <c r="S805" t="s">
        <v>703</v>
      </c>
      <c r="T805" t="s">
        <v>615</v>
      </c>
      <c r="U805" s="1" t="s">
        <v>754</v>
      </c>
      <c r="V805" s="1">
        <f t="shared" si="118"/>
        <v>7.875000000000001E-9</v>
      </c>
      <c r="W805" s="1"/>
      <c r="X805" s="1"/>
      <c r="Y805" s="1"/>
      <c r="Z805" s="1"/>
      <c r="AA805" s="1">
        <v>7.5000000000000002E-7</v>
      </c>
      <c r="AC805">
        <v>105</v>
      </c>
      <c r="AE805" s="2"/>
      <c r="AF805" s="2"/>
      <c r="AJ805" t="s">
        <v>203</v>
      </c>
    </row>
    <row r="806" spans="1:36" x14ac:dyDescent="0.25">
      <c r="A806" t="s">
        <v>164</v>
      </c>
      <c r="B806" t="s">
        <v>53</v>
      </c>
      <c r="C806" t="s">
        <v>54</v>
      </c>
      <c r="D806" t="s">
        <v>18</v>
      </c>
      <c r="E806" t="s">
        <v>31</v>
      </c>
      <c r="F806" t="s">
        <v>32</v>
      </c>
      <c r="G806" t="s">
        <v>32</v>
      </c>
      <c r="H806" t="s">
        <v>712</v>
      </c>
      <c r="I806">
        <v>14</v>
      </c>
      <c r="J806" t="s">
        <v>760</v>
      </c>
      <c r="K806" t="s">
        <v>165</v>
      </c>
      <c r="L806" t="s">
        <v>716</v>
      </c>
      <c r="Q806" t="s">
        <v>412</v>
      </c>
      <c r="R806" t="s">
        <v>709</v>
      </c>
      <c r="S806" t="s">
        <v>703</v>
      </c>
      <c r="T806" t="s">
        <v>615</v>
      </c>
      <c r="U806" s="1" t="s">
        <v>754</v>
      </c>
      <c r="V806" s="1">
        <f t="shared" si="118"/>
        <v>7.6799999999999993E-10</v>
      </c>
      <c r="W806" s="1"/>
      <c r="X806" s="1"/>
      <c r="Y806" s="1"/>
      <c r="Z806" s="1"/>
      <c r="AA806" s="1">
        <v>1.1999999999999999E-7</v>
      </c>
      <c r="AC806">
        <v>64</v>
      </c>
      <c r="AE806" s="2"/>
      <c r="AF806" s="2"/>
      <c r="AJ806" t="s">
        <v>203</v>
      </c>
    </row>
    <row r="807" spans="1:36" x14ac:dyDescent="0.25">
      <c r="A807" t="s">
        <v>164</v>
      </c>
      <c r="B807" t="s">
        <v>53</v>
      </c>
      <c r="C807" t="s">
        <v>54</v>
      </c>
      <c r="D807" t="s">
        <v>18</v>
      </c>
      <c r="E807" t="s">
        <v>31</v>
      </c>
      <c r="F807" t="s">
        <v>32</v>
      </c>
      <c r="G807" t="s">
        <v>32</v>
      </c>
      <c r="H807" t="s">
        <v>712</v>
      </c>
      <c r="I807">
        <v>12</v>
      </c>
      <c r="J807" t="s">
        <v>760</v>
      </c>
      <c r="K807" t="s">
        <v>165</v>
      </c>
      <c r="L807" t="s">
        <v>716</v>
      </c>
      <c r="Q807" t="s">
        <v>412</v>
      </c>
      <c r="R807" t="s">
        <v>709</v>
      </c>
      <c r="S807" t="s">
        <v>703</v>
      </c>
      <c r="T807" t="s">
        <v>615</v>
      </c>
      <c r="U807" s="1" t="s">
        <v>754</v>
      </c>
      <c r="V807" s="1">
        <f t="shared" si="118"/>
        <v>1.2799999999999999E-9</v>
      </c>
      <c r="W807" s="1"/>
      <c r="X807" s="1"/>
      <c r="Y807" s="1"/>
      <c r="Z807" s="1"/>
      <c r="AA807" s="1">
        <v>1.9999999999999999E-7</v>
      </c>
      <c r="AC807">
        <v>64</v>
      </c>
      <c r="AE807" s="2"/>
      <c r="AF807" s="2"/>
      <c r="AJ807" t="s">
        <v>203</v>
      </c>
    </row>
    <row r="808" spans="1:36" x14ac:dyDescent="0.25">
      <c r="A808" t="s">
        <v>164</v>
      </c>
      <c r="B808" t="s">
        <v>53</v>
      </c>
      <c r="C808" t="s">
        <v>54</v>
      </c>
      <c r="D808" t="s">
        <v>18</v>
      </c>
      <c r="E808" t="s">
        <v>31</v>
      </c>
      <c r="F808" t="s">
        <v>32</v>
      </c>
      <c r="G808" t="s">
        <v>32</v>
      </c>
      <c r="H808" t="s">
        <v>712</v>
      </c>
      <c r="I808">
        <v>19</v>
      </c>
      <c r="J808" t="s">
        <v>760</v>
      </c>
      <c r="K808" t="s">
        <v>165</v>
      </c>
      <c r="L808" t="s">
        <v>716</v>
      </c>
      <c r="Q808" t="s">
        <v>412</v>
      </c>
      <c r="R808" t="s">
        <v>709</v>
      </c>
      <c r="S808" t="s">
        <v>703</v>
      </c>
      <c r="T808" t="s">
        <v>615</v>
      </c>
      <c r="U808" s="1" t="s">
        <v>754</v>
      </c>
      <c r="V808" s="1">
        <f t="shared" si="118"/>
        <v>3.248E-9</v>
      </c>
      <c r="W808" s="1"/>
      <c r="X808" s="1"/>
      <c r="Y808" s="1"/>
      <c r="Z808" s="1"/>
      <c r="AA808" s="1">
        <v>2.8999999999999998E-7</v>
      </c>
      <c r="AC808">
        <v>112</v>
      </c>
      <c r="AE808" s="2"/>
      <c r="AF808" s="2"/>
      <c r="AJ808" t="s">
        <v>203</v>
      </c>
    </row>
    <row r="809" spans="1:36" x14ac:dyDescent="0.25">
      <c r="A809" t="s">
        <v>164</v>
      </c>
      <c r="B809" t="s">
        <v>53</v>
      </c>
      <c r="C809" t="s">
        <v>54</v>
      </c>
      <c r="D809" t="s">
        <v>18</v>
      </c>
      <c r="E809" t="s">
        <v>31</v>
      </c>
      <c r="F809" t="s">
        <v>32</v>
      </c>
      <c r="G809" t="s">
        <v>32</v>
      </c>
      <c r="H809" t="s">
        <v>712</v>
      </c>
      <c r="I809">
        <v>13</v>
      </c>
      <c r="J809" t="s">
        <v>760</v>
      </c>
      <c r="K809" t="s">
        <v>165</v>
      </c>
      <c r="L809" t="s">
        <v>716</v>
      </c>
      <c r="Q809" t="s">
        <v>412</v>
      </c>
      <c r="R809" t="s">
        <v>709</v>
      </c>
      <c r="S809" t="s">
        <v>703</v>
      </c>
      <c r="T809" t="s">
        <v>615</v>
      </c>
      <c r="U809" s="1" t="s">
        <v>754</v>
      </c>
      <c r="V809" s="1">
        <f t="shared" si="118"/>
        <v>1.8879999999999997E-9</v>
      </c>
      <c r="W809" s="1"/>
      <c r="X809" s="1"/>
      <c r="Y809" s="1"/>
      <c r="Z809" s="1"/>
      <c r="AA809" s="1">
        <v>1.6E-7</v>
      </c>
      <c r="AC809">
        <v>118</v>
      </c>
      <c r="AE809" s="2"/>
      <c r="AF809" s="2"/>
      <c r="AJ809" t="s">
        <v>203</v>
      </c>
    </row>
    <row r="810" spans="1:36" x14ac:dyDescent="0.25">
      <c r="A810" t="s">
        <v>164</v>
      </c>
      <c r="B810" t="s">
        <v>53</v>
      </c>
      <c r="C810" t="s">
        <v>54</v>
      </c>
      <c r="D810" t="s">
        <v>18</v>
      </c>
      <c r="E810" t="s">
        <v>31</v>
      </c>
      <c r="F810" t="s">
        <v>32</v>
      </c>
      <c r="G810" t="s">
        <v>32</v>
      </c>
      <c r="H810" t="s">
        <v>712</v>
      </c>
      <c r="I810">
        <v>15</v>
      </c>
      <c r="J810" t="s">
        <v>760</v>
      </c>
      <c r="K810" t="s">
        <v>166</v>
      </c>
      <c r="L810" t="s">
        <v>716</v>
      </c>
      <c r="Q810" t="s">
        <v>412</v>
      </c>
      <c r="R810" t="s">
        <v>709</v>
      </c>
      <c r="S810" t="s">
        <v>703</v>
      </c>
      <c r="T810" t="s">
        <v>615</v>
      </c>
      <c r="U810" s="1" t="s">
        <v>754</v>
      </c>
      <c r="V810" s="1">
        <f t="shared" si="118"/>
        <v>9.4600000000000004E-10</v>
      </c>
      <c r="W810" s="1"/>
      <c r="X810" s="1"/>
      <c r="Y810" s="1"/>
      <c r="Z810" s="1"/>
      <c r="AA810" s="1">
        <v>5.5000000000000003E-8</v>
      </c>
      <c r="AC810">
        <v>172</v>
      </c>
      <c r="AE810" s="2"/>
      <c r="AF810" s="2"/>
      <c r="AJ810" t="s">
        <v>203</v>
      </c>
    </row>
    <row r="811" spans="1:36" x14ac:dyDescent="0.25">
      <c r="A811" t="s">
        <v>164</v>
      </c>
      <c r="B811" t="s">
        <v>53</v>
      </c>
      <c r="C811" t="s">
        <v>54</v>
      </c>
      <c r="D811" t="s">
        <v>18</v>
      </c>
      <c r="E811" t="s">
        <v>31</v>
      </c>
      <c r="F811" t="s">
        <v>32</v>
      </c>
      <c r="G811" t="s">
        <v>32</v>
      </c>
      <c r="H811" t="s">
        <v>712</v>
      </c>
      <c r="I811">
        <v>20</v>
      </c>
      <c r="J811" t="s">
        <v>760</v>
      </c>
      <c r="K811" t="s">
        <v>166</v>
      </c>
      <c r="L811" t="s">
        <v>716</v>
      </c>
      <c r="Q811" t="s">
        <v>412</v>
      </c>
      <c r="R811" t="s">
        <v>709</v>
      </c>
      <c r="S811" t="s">
        <v>703</v>
      </c>
      <c r="T811" t="s">
        <v>615</v>
      </c>
      <c r="U811" s="1" t="s">
        <v>754</v>
      </c>
      <c r="V811" s="1">
        <f t="shared" si="118"/>
        <v>3.0103999999999994E-9</v>
      </c>
      <c r="W811" s="1"/>
      <c r="X811" s="1"/>
      <c r="Y811" s="1"/>
      <c r="Z811" s="1"/>
      <c r="AA811" s="1">
        <v>7.0999999999999987E-8</v>
      </c>
      <c r="AC811">
        <v>424</v>
      </c>
      <c r="AE811" s="2"/>
      <c r="AF811" s="2"/>
      <c r="AJ811" t="s">
        <v>203</v>
      </c>
    </row>
    <row r="812" spans="1:36" x14ac:dyDescent="0.25">
      <c r="A812" t="s">
        <v>164</v>
      </c>
      <c r="B812" t="s">
        <v>53</v>
      </c>
      <c r="C812" t="s">
        <v>54</v>
      </c>
      <c r="D812" t="s">
        <v>18</v>
      </c>
      <c r="E812" t="s">
        <v>31</v>
      </c>
      <c r="F812" t="s">
        <v>32</v>
      </c>
      <c r="G812" t="s">
        <v>32</v>
      </c>
      <c r="H812" t="s">
        <v>712</v>
      </c>
      <c r="I812">
        <v>14</v>
      </c>
      <c r="J812" t="s">
        <v>760</v>
      </c>
      <c r="K812" t="s">
        <v>166</v>
      </c>
      <c r="L812" t="s">
        <v>716</v>
      </c>
      <c r="Q812" t="s">
        <v>412</v>
      </c>
      <c r="R812" t="s">
        <v>709</v>
      </c>
      <c r="S812" t="s">
        <v>703</v>
      </c>
      <c r="T812" t="s">
        <v>615</v>
      </c>
      <c r="U812" s="1" t="s">
        <v>754</v>
      </c>
      <c r="V812" s="1">
        <f t="shared" si="118"/>
        <v>1.312E-9</v>
      </c>
      <c r="W812" s="1"/>
      <c r="X812" s="1"/>
      <c r="Y812" s="1"/>
      <c r="Z812" s="1"/>
      <c r="AA812" s="1">
        <v>8.0000000000000002E-8</v>
      </c>
      <c r="AC812">
        <v>164</v>
      </c>
      <c r="AE812" s="2"/>
      <c r="AF812" s="2"/>
      <c r="AJ812" t="s">
        <v>203</v>
      </c>
    </row>
    <row r="813" spans="1:36" x14ac:dyDescent="0.25">
      <c r="A813" t="s">
        <v>164</v>
      </c>
      <c r="B813" t="s">
        <v>53</v>
      </c>
      <c r="C813" t="s">
        <v>54</v>
      </c>
      <c r="D813" t="s">
        <v>18</v>
      </c>
      <c r="E813" t="s">
        <v>31</v>
      </c>
      <c r="F813" t="s">
        <v>32</v>
      </c>
      <c r="G813" t="s">
        <v>32</v>
      </c>
      <c r="H813" t="s">
        <v>712</v>
      </c>
      <c r="I813">
        <v>12</v>
      </c>
      <c r="J813" t="s">
        <v>760</v>
      </c>
      <c r="K813" t="s">
        <v>166</v>
      </c>
      <c r="L813" t="s">
        <v>716</v>
      </c>
      <c r="Q813" t="s">
        <v>412</v>
      </c>
      <c r="R813" t="s">
        <v>709</v>
      </c>
      <c r="S813" t="s">
        <v>703</v>
      </c>
      <c r="T813" t="s">
        <v>615</v>
      </c>
      <c r="U813" s="1" t="s">
        <v>754</v>
      </c>
      <c r="V813" s="1">
        <f t="shared" si="118"/>
        <v>1.1760000000000001E-9</v>
      </c>
      <c r="W813" s="1"/>
      <c r="X813" s="1"/>
      <c r="Y813" s="1"/>
      <c r="Z813" s="1"/>
      <c r="AA813" s="1">
        <v>8.0000000000000002E-8</v>
      </c>
      <c r="AC813">
        <v>147</v>
      </c>
      <c r="AE813" s="2"/>
      <c r="AF813" s="2"/>
      <c r="AJ813" t="s">
        <v>203</v>
      </c>
    </row>
    <row r="814" spans="1:36" x14ac:dyDescent="0.25">
      <c r="A814" t="s">
        <v>164</v>
      </c>
      <c r="B814" t="s">
        <v>53</v>
      </c>
      <c r="C814" t="s">
        <v>54</v>
      </c>
      <c r="D814" t="s">
        <v>18</v>
      </c>
      <c r="E814" t="s">
        <v>31</v>
      </c>
      <c r="F814" t="s">
        <v>32</v>
      </c>
      <c r="G814" t="s">
        <v>32</v>
      </c>
      <c r="H814" t="s">
        <v>712</v>
      </c>
      <c r="I814">
        <v>14</v>
      </c>
      <c r="J814" t="s">
        <v>760</v>
      </c>
      <c r="K814" t="s">
        <v>166</v>
      </c>
      <c r="L814" t="s">
        <v>716</v>
      </c>
      <c r="Q814" t="s">
        <v>412</v>
      </c>
      <c r="R814" t="s">
        <v>709</v>
      </c>
      <c r="S814" t="s">
        <v>703</v>
      </c>
      <c r="T814" t="s">
        <v>615</v>
      </c>
      <c r="U814" s="1" t="s">
        <v>754</v>
      </c>
      <c r="V814" s="1">
        <f t="shared" si="118"/>
        <v>6.8820000000000006E-10</v>
      </c>
      <c r="W814" s="1"/>
      <c r="X814" s="1"/>
      <c r="Y814" s="1"/>
      <c r="Z814" s="1"/>
      <c r="AA814" s="1">
        <v>3.7E-8</v>
      </c>
      <c r="AC814">
        <v>186</v>
      </c>
      <c r="AE814" s="2"/>
      <c r="AF814" s="2"/>
      <c r="AJ814" t="s">
        <v>203</v>
      </c>
    </row>
    <row r="815" spans="1:36" x14ac:dyDescent="0.25">
      <c r="A815" t="s">
        <v>164</v>
      </c>
      <c r="B815" t="s">
        <v>53</v>
      </c>
      <c r="C815" t="s">
        <v>54</v>
      </c>
      <c r="D815" t="s">
        <v>18</v>
      </c>
      <c r="E815" t="s">
        <v>31</v>
      </c>
      <c r="F815" t="s">
        <v>32</v>
      </c>
      <c r="G815" t="s">
        <v>32</v>
      </c>
      <c r="H815" t="s">
        <v>712</v>
      </c>
      <c r="I815">
        <v>14</v>
      </c>
      <c r="J815" t="s">
        <v>760</v>
      </c>
      <c r="K815" t="s">
        <v>166</v>
      </c>
      <c r="L815" t="s">
        <v>716</v>
      </c>
      <c r="Q815" t="s">
        <v>412</v>
      </c>
      <c r="R815" t="s">
        <v>709</v>
      </c>
      <c r="S815" t="s">
        <v>703</v>
      </c>
      <c r="T815" t="s">
        <v>615</v>
      </c>
      <c r="U815" s="1" t="s">
        <v>754</v>
      </c>
      <c r="V815" s="1">
        <f t="shared" si="118"/>
        <v>1.3750000000000001E-9</v>
      </c>
      <c r="W815" s="1"/>
      <c r="X815" s="1"/>
      <c r="Y815" s="1"/>
      <c r="Z815" s="1"/>
      <c r="AA815" s="1">
        <v>1.1000000000000001E-7</v>
      </c>
      <c r="AC815">
        <v>125</v>
      </c>
      <c r="AE815" s="2"/>
      <c r="AF815" s="2"/>
      <c r="AJ815" t="s">
        <v>203</v>
      </c>
    </row>
    <row r="816" spans="1:36" x14ac:dyDescent="0.25">
      <c r="A816" t="s">
        <v>305</v>
      </c>
      <c r="B816" t="s">
        <v>306</v>
      </c>
      <c r="C816" t="s">
        <v>307</v>
      </c>
      <c r="D816" t="s">
        <v>308</v>
      </c>
      <c r="E816" t="s">
        <v>19</v>
      </c>
      <c r="F816" s="8" t="s">
        <v>117</v>
      </c>
      <c r="G816" t="s">
        <v>602</v>
      </c>
      <c r="H816" t="s">
        <v>713</v>
      </c>
      <c r="I816">
        <f>+AVERAGE(4,16)*30</f>
        <v>300</v>
      </c>
      <c r="J816" t="s">
        <v>778</v>
      </c>
      <c r="Q816" t="s">
        <v>412</v>
      </c>
      <c r="R816" t="s">
        <v>709</v>
      </c>
      <c r="S816" t="s">
        <v>703</v>
      </c>
      <c r="T816" t="s">
        <v>615</v>
      </c>
      <c r="U816" s="1"/>
      <c r="V816" s="1"/>
      <c r="W816" s="1"/>
      <c r="X816">
        <f>[104]Tyree_etal_1998_Fig4a!C2</f>
        <v>1.1043771043771E-9</v>
      </c>
      <c r="AA816" s="1">
        <f>[105]Tyree_etal_1998_Fig3a!C2</f>
        <v>1.47026431718061E-7</v>
      </c>
      <c r="AB816">
        <f>[106]Tyree_etal_1998_Fig4b!C2</f>
        <v>2.8571428571428503E-8</v>
      </c>
      <c r="AJ816" t="s">
        <v>47</v>
      </c>
    </row>
    <row r="817" spans="1:36" x14ac:dyDescent="0.25">
      <c r="A817" t="s">
        <v>305</v>
      </c>
      <c r="B817" t="s">
        <v>309</v>
      </c>
      <c r="C817" t="s">
        <v>310</v>
      </c>
      <c r="D817" t="s">
        <v>311</v>
      </c>
      <c r="E817" t="s">
        <v>19</v>
      </c>
      <c r="F817" s="8" t="s">
        <v>117</v>
      </c>
      <c r="G817" t="s">
        <v>602</v>
      </c>
      <c r="H817" t="s">
        <v>713</v>
      </c>
      <c r="I817">
        <f>+AVERAGE(4,16)*30</f>
        <v>300</v>
      </c>
      <c r="J817" t="s">
        <v>778</v>
      </c>
      <c r="Q817" t="s">
        <v>412</v>
      </c>
      <c r="R817" t="s">
        <v>709</v>
      </c>
      <c r="S817" t="s">
        <v>703</v>
      </c>
      <c r="T817" t="s">
        <v>615</v>
      </c>
      <c r="U817" s="1"/>
      <c r="V817" s="1"/>
      <c r="W817" s="1"/>
      <c r="X817">
        <f>[104]Tyree_etal_1998_Fig4a!C3</f>
        <v>6.4646464646464608E-10</v>
      </c>
      <c r="AA817" s="1">
        <f>[105]Tyree_etal_1998_Fig3a!C3</f>
        <v>8.0396475770925095E-8</v>
      </c>
      <c r="AB817">
        <f>[106]Tyree_etal_1998_Fig4b!C3</f>
        <v>2.04081632653061E-8</v>
      </c>
      <c r="AJ817" t="s">
        <v>47</v>
      </c>
    </row>
    <row r="818" spans="1:36" x14ac:dyDescent="0.25">
      <c r="A818" t="s">
        <v>305</v>
      </c>
      <c r="B818" t="s">
        <v>312</v>
      </c>
      <c r="C818" t="s">
        <v>313</v>
      </c>
      <c r="D818" t="s">
        <v>314</v>
      </c>
      <c r="E818" t="s">
        <v>19</v>
      </c>
      <c r="F818" s="8" t="s">
        <v>117</v>
      </c>
      <c r="G818" t="s">
        <v>602</v>
      </c>
      <c r="H818" t="s">
        <v>713</v>
      </c>
      <c r="I818">
        <f>+AVERAGE(4,16)*30</f>
        <v>300</v>
      </c>
      <c r="J818" t="s">
        <v>778</v>
      </c>
      <c r="Q818" t="s">
        <v>412</v>
      </c>
      <c r="R818" t="s">
        <v>709</v>
      </c>
      <c r="S818" t="s">
        <v>703</v>
      </c>
      <c r="T818" t="s">
        <v>615</v>
      </c>
      <c r="U818" s="1"/>
      <c r="V818" s="1"/>
      <c r="W818" s="1"/>
      <c r="X818">
        <f>[104]Tyree_etal_1998_Fig4a!C4</f>
        <v>4.5117845117845202E-10</v>
      </c>
      <c r="AA818" s="1">
        <f>[105]Tyree_etal_1998_Fig3a!C4</f>
        <v>1.8447136563876601E-7</v>
      </c>
      <c r="AB818">
        <f>[106]Tyree_etal_1998_Fig4b!C4</f>
        <v>3.2838589981447102E-8</v>
      </c>
      <c r="AJ818" t="s">
        <v>47</v>
      </c>
    </row>
    <row r="819" spans="1:36" x14ac:dyDescent="0.25">
      <c r="A819" t="s">
        <v>305</v>
      </c>
      <c r="B819" t="s">
        <v>315</v>
      </c>
      <c r="C819" t="s">
        <v>316</v>
      </c>
      <c r="D819" t="s">
        <v>317</v>
      </c>
      <c r="E819" t="s">
        <v>19</v>
      </c>
      <c r="F819" s="8" t="s">
        <v>117</v>
      </c>
      <c r="G819" t="s">
        <v>602</v>
      </c>
      <c r="H819" t="s">
        <v>713</v>
      </c>
      <c r="I819">
        <f>+AVERAGE(4,16)*30</f>
        <v>300</v>
      </c>
      <c r="J819" t="s">
        <v>778</v>
      </c>
      <c r="Q819" t="s">
        <v>412</v>
      </c>
      <c r="R819" t="s">
        <v>709</v>
      </c>
      <c r="S819" t="s">
        <v>703</v>
      </c>
      <c r="T819" t="s">
        <v>615</v>
      </c>
      <c r="U819" s="1"/>
      <c r="V819" s="1"/>
      <c r="W819" s="1"/>
      <c r="X819">
        <f>[104]Tyree_etal_1998_Fig4a!C5</f>
        <v>3.3265993265993205E-9</v>
      </c>
      <c r="AA819" s="1">
        <f>[105]Tyree_etal_1998_Fig3a!C5</f>
        <v>2.4339207048458099E-7</v>
      </c>
      <c r="AB819">
        <f>[106]Tyree_etal_1998_Fig4b!C5</f>
        <v>8.8311688311688216E-8</v>
      </c>
      <c r="AJ819" t="s">
        <v>47</v>
      </c>
    </row>
    <row r="820" spans="1:36" x14ac:dyDescent="0.25">
      <c r="A820" t="s">
        <v>305</v>
      </c>
      <c r="B820" t="s">
        <v>318</v>
      </c>
      <c r="C820" t="s">
        <v>319</v>
      </c>
      <c r="D820" t="s">
        <v>320</v>
      </c>
      <c r="E820" t="s">
        <v>19</v>
      </c>
      <c r="F820" s="8" t="s">
        <v>117</v>
      </c>
      <c r="G820" t="s">
        <v>602</v>
      </c>
      <c r="H820" t="s">
        <v>713</v>
      </c>
      <c r="I820">
        <f>+AVERAGE(4,16)*30</f>
        <v>300</v>
      </c>
      <c r="J820" t="s">
        <v>778</v>
      </c>
      <c r="Q820" t="s">
        <v>412</v>
      </c>
      <c r="R820" t="s">
        <v>709</v>
      </c>
      <c r="S820" t="s">
        <v>703</v>
      </c>
      <c r="T820" t="s">
        <v>615</v>
      </c>
      <c r="U820" s="1"/>
      <c r="V820" s="1"/>
      <c r="W820" s="1"/>
      <c r="X820">
        <f>[104]Tyree_etal_1998_Fig4a!C6</f>
        <v>1.8720538720538701E-9</v>
      </c>
      <c r="AA820" s="1">
        <f>[105]Tyree_etal_1998_Fig3a!C6</f>
        <v>7.48898678414096E-8</v>
      </c>
      <c r="AB820">
        <f>[106]Tyree_etal_1998_Fig4b!C6</f>
        <v>7.1799628942485998E-8</v>
      </c>
      <c r="AJ820" t="s">
        <v>47</v>
      </c>
    </row>
    <row r="821" spans="1:36" x14ac:dyDescent="0.25">
      <c r="A821" t="s">
        <v>167</v>
      </c>
      <c r="B821" t="s">
        <v>168</v>
      </c>
      <c r="C821" t="s">
        <v>169</v>
      </c>
      <c r="D821" t="s">
        <v>143</v>
      </c>
      <c r="E821" t="s">
        <v>19</v>
      </c>
      <c r="F821" t="s">
        <v>72</v>
      </c>
      <c r="G821" t="s">
        <v>624</v>
      </c>
      <c r="H821" t="s">
        <v>713</v>
      </c>
      <c r="I821">
        <f t="shared" ref="I821:I850" si="119">4*365</f>
        <v>1460</v>
      </c>
      <c r="J821" t="s">
        <v>775</v>
      </c>
      <c r="K821" t="s">
        <v>170</v>
      </c>
      <c r="L821" t="s">
        <v>716</v>
      </c>
      <c r="Q821" t="s">
        <v>412</v>
      </c>
      <c r="R821" t="s">
        <v>709</v>
      </c>
      <c r="S821" t="s">
        <v>703</v>
      </c>
      <c r="T821" t="s">
        <v>615</v>
      </c>
      <c r="U821" s="1" t="s">
        <v>754</v>
      </c>
      <c r="V821" s="1">
        <f t="shared" ref="V821:V852" si="120">+AB821*AH821</f>
        <v>2.1331392329719305E-9</v>
      </c>
      <c r="W821" s="1"/>
      <c r="X821" s="1"/>
      <c r="Y821" s="1"/>
      <c r="Z821" s="1"/>
      <c r="AB821" s="1">
        <f>[107]Nardini_etal_1998_Fig3!B2</f>
        <v>1.1386426920487E-7</v>
      </c>
      <c r="AE821" s="2"/>
      <c r="AF821" s="2"/>
      <c r="AH821" s="5">
        <f>[107]Nardini_etal_1998_Fig3!D2</f>
        <v>1.8734052814530298E-2</v>
      </c>
      <c r="AJ821" t="s">
        <v>203</v>
      </c>
    </row>
    <row r="822" spans="1:36" x14ac:dyDescent="0.25">
      <c r="A822" t="s">
        <v>167</v>
      </c>
      <c r="B822" t="s">
        <v>168</v>
      </c>
      <c r="C822" t="s">
        <v>169</v>
      </c>
      <c r="D822" t="s">
        <v>143</v>
      </c>
      <c r="E822" t="s">
        <v>19</v>
      </c>
      <c r="F822" t="s">
        <v>72</v>
      </c>
      <c r="G822" t="s">
        <v>624</v>
      </c>
      <c r="H822" t="s">
        <v>713</v>
      </c>
      <c r="I822">
        <f t="shared" si="119"/>
        <v>1460</v>
      </c>
      <c r="J822" t="s">
        <v>775</v>
      </c>
      <c r="K822" t="s">
        <v>171</v>
      </c>
      <c r="L822" t="s">
        <v>716</v>
      </c>
      <c r="Q822" t="s">
        <v>412</v>
      </c>
      <c r="R822" t="s">
        <v>709</v>
      </c>
      <c r="S822" t="s">
        <v>703</v>
      </c>
      <c r="T822" t="s">
        <v>615</v>
      </c>
      <c r="U822" s="1" t="s">
        <v>754</v>
      </c>
      <c r="V822" s="1">
        <f t="shared" si="120"/>
        <v>1.5329364865116511E-9</v>
      </c>
      <c r="W822" s="1"/>
      <c r="X822" s="1"/>
      <c r="Y822" s="1"/>
      <c r="Z822" s="1"/>
      <c r="AB822" s="1">
        <f>[107]Nardini_etal_1998_Fig3!B3</f>
        <v>9.0657906710102494E-8</v>
      </c>
      <c r="AE822" s="2"/>
      <c r="AF822" s="2"/>
      <c r="AH822" s="5">
        <f>[107]Nardini_etal_1998_Fig3!D3</f>
        <v>1.6909021420641601E-2</v>
      </c>
      <c r="AJ822" t="s">
        <v>203</v>
      </c>
    </row>
    <row r="823" spans="1:36" x14ac:dyDescent="0.25">
      <c r="A823" t="s">
        <v>167</v>
      </c>
      <c r="B823" t="s">
        <v>168</v>
      </c>
      <c r="C823" t="s">
        <v>169</v>
      </c>
      <c r="D823" t="s">
        <v>143</v>
      </c>
      <c r="E823" t="s">
        <v>19</v>
      </c>
      <c r="F823" t="s">
        <v>72</v>
      </c>
      <c r="G823" t="s">
        <v>624</v>
      </c>
      <c r="H823" t="s">
        <v>713</v>
      </c>
      <c r="I823">
        <f t="shared" si="119"/>
        <v>1460</v>
      </c>
      <c r="J823" t="s">
        <v>775</v>
      </c>
      <c r="K823" t="s">
        <v>172</v>
      </c>
      <c r="L823" t="s">
        <v>716</v>
      </c>
      <c r="Q823" t="s">
        <v>412</v>
      </c>
      <c r="R823" t="s">
        <v>709</v>
      </c>
      <c r="S823" t="s">
        <v>703</v>
      </c>
      <c r="T823" t="s">
        <v>615</v>
      </c>
      <c r="U823" s="1" t="s">
        <v>754</v>
      </c>
      <c r="V823" s="1">
        <f t="shared" si="120"/>
        <v>1.0021002749432196E-9</v>
      </c>
      <c r="W823" s="1"/>
      <c r="X823" s="1"/>
      <c r="Y823" s="1"/>
      <c r="Z823" s="1"/>
      <c r="AB823" s="1">
        <f>[107]Nardini_etal_1998_Fig3!B4</f>
        <v>2.81605911150745E-8</v>
      </c>
      <c r="AE823" s="2"/>
      <c r="AF823" s="2"/>
      <c r="AH823" s="5">
        <f>[107]Nardini_etal_1998_Fig3!D4</f>
        <v>3.55852002839099E-2</v>
      </c>
      <c r="AJ823" t="s">
        <v>203</v>
      </c>
    </row>
    <row r="824" spans="1:36" x14ac:dyDescent="0.25">
      <c r="A824" t="s">
        <v>167</v>
      </c>
      <c r="B824" t="s">
        <v>173</v>
      </c>
      <c r="C824" t="s">
        <v>142</v>
      </c>
      <c r="D824" t="s">
        <v>143</v>
      </c>
      <c r="E824" t="s">
        <v>19</v>
      </c>
      <c r="F824" t="s">
        <v>25</v>
      </c>
      <c r="G824" t="s">
        <v>625</v>
      </c>
      <c r="H824" t="s">
        <v>713</v>
      </c>
      <c r="I824">
        <f t="shared" si="119"/>
        <v>1460</v>
      </c>
      <c r="J824" t="s">
        <v>775</v>
      </c>
      <c r="K824" t="s">
        <v>170</v>
      </c>
      <c r="L824" t="s">
        <v>716</v>
      </c>
      <c r="Q824" t="s">
        <v>412</v>
      </c>
      <c r="R824" t="s">
        <v>709</v>
      </c>
      <c r="S824" t="s">
        <v>703</v>
      </c>
      <c r="T824" t="s">
        <v>615</v>
      </c>
      <c r="U824" s="1" t="s">
        <v>754</v>
      </c>
      <c r="V824" s="1">
        <f t="shared" si="120"/>
        <v>3.2898804039819464E-10</v>
      </c>
      <c r="W824" s="1"/>
      <c r="X824" s="1"/>
      <c r="Y824" s="1"/>
      <c r="Z824" s="1"/>
      <c r="AB824" s="1">
        <f>[107]Nardini_etal_1998_Fig3!B5</f>
        <v>3.5113146619422699E-8</v>
      </c>
      <c r="AE824" s="2"/>
      <c r="AF824" s="2"/>
      <c r="AH824" s="5">
        <f>[107]Nardini_etal_1998_Fig3!D5</f>
        <v>9.3693693693693691E-3</v>
      </c>
      <c r="AJ824" t="s">
        <v>203</v>
      </c>
    </row>
    <row r="825" spans="1:36" x14ac:dyDescent="0.25">
      <c r="A825" t="s">
        <v>167</v>
      </c>
      <c r="B825" t="s">
        <v>173</v>
      </c>
      <c r="C825" t="s">
        <v>142</v>
      </c>
      <c r="D825" t="s">
        <v>143</v>
      </c>
      <c r="E825" t="s">
        <v>19</v>
      </c>
      <c r="F825" t="s">
        <v>25</v>
      </c>
      <c r="G825" t="s">
        <v>625</v>
      </c>
      <c r="H825" t="s">
        <v>713</v>
      </c>
      <c r="I825">
        <f t="shared" si="119"/>
        <v>1460</v>
      </c>
      <c r="J825" t="s">
        <v>775</v>
      </c>
      <c r="K825" t="s">
        <v>171</v>
      </c>
      <c r="L825" t="s">
        <v>716</v>
      </c>
      <c r="Q825" t="s">
        <v>412</v>
      </c>
      <c r="R825" t="s">
        <v>709</v>
      </c>
      <c r="S825" t="s">
        <v>703</v>
      </c>
      <c r="T825" t="s">
        <v>615</v>
      </c>
      <c r="U825" s="1" t="s">
        <v>754</v>
      </c>
      <c r="V825" s="1">
        <f t="shared" si="120"/>
        <v>2.9624123727934537E-10</v>
      </c>
      <c r="W825" s="1"/>
      <c r="X825" s="1"/>
      <c r="Y825" s="1"/>
      <c r="Z825" s="1"/>
      <c r="AB825" s="1">
        <f>[107]Nardini_etal_1998_Fig3!B6</f>
        <v>2.2835262040283001E-8</v>
      </c>
      <c r="AE825" s="2"/>
      <c r="AF825" s="2"/>
      <c r="AH825" s="5">
        <f>[107]Nardini_etal_1998_Fig3!D6</f>
        <v>1.2972972972972899E-2</v>
      </c>
      <c r="AJ825" t="s">
        <v>203</v>
      </c>
    </row>
    <row r="826" spans="1:36" x14ac:dyDescent="0.25">
      <c r="A826" t="s">
        <v>167</v>
      </c>
      <c r="B826" t="s">
        <v>173</v>
      </c>
      <c r="C826" t="s">
        <v>142</v>
      </c>
      <c r="D826" t="s">
        <v>143</v>
      </c>
      <c r="E826" t="s">
        <v>19</v>
      </c>
      <c r="F826" t="s">
        <v>25</v>
      </c>
      <c r="G826" t="s">
        <v>625</v>
      </c>
      <c r="H826" t="s">
        <v>713</v>
      </c>
      <c r="I826">
        <f t="shared" si="119"/>
        <v>1460</v>
      </c>
      <c r="J826" t="s">
        <v>775</v>
      </c>
      <c r="K826" t="s">
        <v>172</v>
      </c>
      <c r="L826" t="s">
        <v>716</v>
      </c>
      <c r="Q826" t="s">
        <v>412</v>
      </c>
      <c r="R826" t="s">
        <v>709</v>
      </c>
      <c r="S826" t="s">
        <v>703</v>
      </c>
      <c r="T826" t="s">
        <v>615</v>
      </c>
      <c r="U826" s="1" t="s">
        <v>754</v>
      </c>
      <c r="V826" s="1">
        <f t="shared" si="120"/>
        <v>3.9598134075875364E-11</v>
      </c>
      <c r="W826" s="1"/>
      <c r="X826" s="1"/>
      <c r="Y826" s="1"/>
      <c r="Z826" s="1"/>
      <c r="AB826" s="1">
        <f>[107]Nardini_etal_1998_Fig3!B7</f>
        <v>3.62257655144685E-9</v>
      </c>
      <c r="AE826" s="2"/>
      <c r="AF826" s="2"/>
      <c r="AH826" s="5">
        <f>[107]Nardini_etal_1998_Fig3!D7</f>
        <v>1.09309309309309E-2</v>
      </c>
      <c r="AJ826" t="s">
        <v>203</v>
      </c>
    </row>
    <row r="827" spans="1:36" x14ac:dyDescent="0.25">
      <c r="A827" t="s">
        <v>167</v>
      </c>
      <c r="B827" t="s">
        <v>174</v>
      </c>
      <c r="C827" t="s">
        <v>142</v>
      </c>
      <c r="D827" t="s">
        <v>143</v>
      </c>
      <c r="E827" t="s">
        <v>19</v>
      </c>
      <c r="F827" t="s">
        <v>25</v>
      </c>
      <c r="G827" t="s">
        <v>625</v>
      </c>
      <c r="H827" t="s">
        <v>713</v>
      </c>
      <c r="I827">
        <f t="shared" si="119"/>
        <v>1460</v>
      </c>
      <c r="J827" t="s">
        <v>775</v>
      </c>
      <c r="K827" t="s">
        <v>170</v>
      </c>
      <c r="L827" t="s">
        <v>716</v>
      </c>
      <c r="Q827" t="s">
        <v>412</v>
      </c>
      <c r="R827" t="s">
        <v>709</v>
      </c>
      <c r="S827" t="s">
        <v>703</v>
      </c>
      <c r="T827" t="s">
        <v>615</v>
      </c>
      <c r="U827" s="1" t="s">
        <v>754</v>
      </c>
      <c r="V827" s="1">
        <f t="shared" si="120"/>
        <v>8.7748839941575369E-10</v>
      </c>
      <c r="W827" s="1"/>
      <c r="X827" s="1"/>
      <c r="Y827" s="1"/>
      <c r="Z827" s="1"/>
      <c r="AB827" s="1">
        <f>[107]Nardini_etal_1998_Fig3!B8</f>
        <v>2.3580056284710999E-8</v>
      </c>
      <c r="AE827" s="2"/>
      <c r="AF827" s="2"/>
      <c r="AH827" s="5">
        <f>[107]Nardini_etal_1998_Fig3!D8</f>
        <v>3.7213159664283998E-2</v>
      </c>
      <c r="AJ827" t="s">
        <v>203</v>
      </c>
    </row>
    <row r="828" spans="1:36" x14ac:dyDescent="0.25">
      <c r="A828" t="s">
        <v>167</v>
      </c>
      <c r="B828" t="s">
        <v>174</v>
      </c>
      <c r="C828" t="s">
        <v>142</v>
      </c>
      <c r="D828" t="s">
        <v>143</v>
      </c>
      <c r="E828" t="s">
        <v>19</v>
      </c>
      <c r="F828" t="s">
        <v>25</v>
      </c>
      <c r="G828" t="s">
        <v>625</v>
      </c>
      <c r="H828" t="s">
        <v>713</v>
      </c>
      <c r="I828">
        <f t="shared" si="119"/>
        <v>1460</v>
      </c>
      <c r="J828" t="s">
        <v>775</v>
      </c>
      <c r="K828" t="s">
        <v>171</v>
      </c>
      <c r="L828" t="s">
        <v>716</v>
      </c>
      <c r="Q828" t="s">
        <v>412</v>
      </c>
      <c r="R828" t="s">
        <v>709</v>
      </c>
      <c r="S828" t="s">
        <v>703</v>
      </c>
      <c r="T828" t="s">
        <v>615</v>
      </c>
      <c r="U828" s="1" t="s">
        <v>754</v>
      </c>
      <c r="V828" s="1">
        <f t="shared" si="120"/>
        <v>6.0001272347922908E-10</v>
      </c>
      <c r="W828" s="1"/>
      <c r="X828" s="1"/>
      <c r="Y828" s="1"/>
      <c r="Z828" s="1"/>
      <c r="AB828" s="1">
        <f>[107]Nardini_etal_1998_Fig3!B9</f>
        <v>1.8430752372176399E-8</v>
      </c>
      <c r="AE828" s="2"/>
      <c r="AF828" s="2"/>
      <c r="AH828" s="5">
        <f>[107]Nardini_etal_1998_Fig3!D9</f>
        <v>3.2554977212163397E-2</v>
      </c>
      <c r="AJ828" t="s">
        <v>203</v>
      </c>
    </row>
    <row r="829" spans="1:36" x14ac:dyDescent="0.25">
      <c r="A829" t="s">
        <v>167</v>
      </c>
      <c r="B829" t="s">
        <v>174</v>
      </c>
      <c r="C829" t="s">
        <v>142</v>
      </c>
      <c r="D829" t="s">
        <v>143</v>
      </c>
      <c r="E829" t="s">
        <v>19</v>
      </c>
      <c r="F829" t="s">
        <v>25</v>
      </c>
      <c r="G829" t="s">
        <v>625</v>
      </c>
      <c r="H829" t="s">
        <v>713</v>
      </c>
      <c r="I829">
        <f t="shared" si="119"/>
        <v>1460</v>
      </c>
      <c r="J829" t="s">
        <v>775</v>
      </c>
      <c r="K829" t="s">
        <v>172</v>
      </c>
      <c r="L829" t="s">
        <v>716</v>
      </c>
      <c r="Q829" t="s">
        <v>412</v>
      </c>
      <c r="R829" t="s">
        <v>709</v>
      </c>
      <c r="S829" t="s">
        <v>703</v>
      </c>
      <c r="T829" t="s">
        <v>615</v>
      </c>
      <c r="U829" s="1" t="s">
        <v>754</v>
      </c>
      <c r="V829" s="1">
        <f t="shared" si="120"/>
        <v>8.0968115626321555E-10</v>
      </c>
      <c r="W829" s="1"/>
      <c r="X829" s="1"/>
      <c r="Y829" s="1"/>
      <c r="Z829" s="1"/>
      <c r="AB829" s="1">
        <f>[107]Nardini_etal_1998_Fig3!B10</f>
        <v>3.05314671381964E-8</v>
      </c>
      <c r="AE829" s="2"/>
      <c r="AF829" s="2"/>
      <c r="AH829" s="5">
        <f>[107]Nardini_etal_1998_Fig3!D10</f>
        <v>2.6519562672776498E-2</v>
      </c>
      <c r="AJ829" t="s">
        <v>203</v>
      </c>
    </row>
    <row r="830" spans="1:36" x14ac:dyDescent="0.25">
      <c r="A830" t="s">
        <v>167</v>
      </c>
      <c r="B830" t="s">
        <v>175</v>
      </c>
      <c r="C830" t="s">
        <v>142</v>
      </c>
      <c r="D830" t="s">
        <v>143</v>
      </c>
      <c r="E830" t="s">
        <v>19</v>
      </c>
      <c r="F830" t="s">
        <v>72</v>
      </c>
      <c r="G830" t="s">
        <v>624</v>
      </c>
      <c r="H830" t="s">
        <v>713</v>
      </c>
      <c r="I830">
        <f t="shared" si="119"/>
        <v>1460</v>
      </c>
      <c r="J830" t="s">
        <v>775</v>
      </c>
      <c r="K830" t="s">
        <v>170</v>
      </c>
      <c r="L830" t="s">
        <v>716</v>
      </c>
      <c r="Q830" t="s">
        <v>412</v>
      </c>
      <c r="R830" t="s">
        <v>709</v>
      </c>
      <c r="S830" t="s">
        <v>703</v>
      </c>
      <c r="T830" t="s">
        <v>615</v>
      </c>
      <c r="U830" s="1" t="s">
        <v>754</v>
      </c>
      <c r="V830" s="1">
        <f t="shared" si="120"/>
        <v>2.6851881105333721E-10</v>
      </c>
      <c r="W830" s="1"/>
      <c r="X830" s="1"/>
      <c r="Y830" s="1"/>
      <c r="Z830" s="1"/>
      <c r="AB830" s="1">
        <f>[107]Nardini_etal_1998_Fig3!B11</f>
        <v>1.04543538106694E-8</v>
      </c>
      <c r="AE830" s="2"/>
      <c r="AF830" s="2"/>
      <c r="AH830" s="5">
        <f>[107]Nardini_etal_1998_Fig3!D11</f>
        <v>2.5684878847250698E-2</v>
      </c>
      <c r="AJ830" t="s">
        <v>203</v>
      </c>
    </row>
    <row r="831" spans="1:36" x14ac:dyDescent="0.25">
      <c r="A831" t="s">
        <v>167</v>
      </c>
      <c r="B831" t="s">
        <v>175</v>
      </c>
      <c r="C831" t="s">
        <v>142</v>
      </c>
      <c r="D831" t="s">
        <v>143</v>
      </c>
      <c r="E831" t="s">
        <v>19</v>
      </c>
      <c r="F831" t="s">
        <v>72</v>
      </c>
      <c r="G831" t="s">
        <v>624</v>
      </c>
      <c r="H831" t="s">
        <v>713</v>
      </c>
      <c r="I831">
        <f t="shared" si="119"/>
        <v>1460</v>
      </c>
      <c r="J831" t="s">
        <v>775</v>
      </c>
      <c r="K831" t="s">
        <v>171</v>
      </c>
      <c r="L831" t="s">
        <v>716</v>
      </c>
      <c r="Q831" t="s">
        <v>412</v>
      </c>
      <c r="R831" t="s">
        <v>709</v>
      </c>
      <c r="S831" t="s">
        <v>703</v>
      </c>
      <c r="T831" t="s">
        <v>615</v>
      </c>
      <c r="U831" s="1" t="s">
        <v>754</v>
      </c>
      <c r="V831" s="1">
        <f t="shared" si="120"/>
        <v>6.0227020168553445E-10</v>
      </c>
      <c r="W831" s="1"/>
      <c r="X831" s="1"/>
      <c r="Y831" s="1"/>
      <c r="Z831" s="1"/>
      <c r="AB831" s="1">
        <f>[107]Nardini_etal_1998_Fig3!B12</f>
        <v>2.1434240222216601E-8</v>
      </c>
      <c r="AE831" s="2"/>
      <c r="AF831" s="2"/>
      <c r="AH831" s="5">
        <f>[107]Nardini_etal_1998_Fig3!D12</f>
        <v>2.8098509461570796E-2</v>
      </c>
      <c r="AJ831" t="s">
        <v>203</v>
      </c>
    </row>
    <row r="832" spans="1:36" x14ac:dyDescent="0.25">
      <c r="A832" t="s">
        <v>167</v>
      </c>
      <c r="B832" t="s">
        <v>175</v>
      </c>
      <c r="C832" t="s">
        <v>142</v>
      </c>
      <c r="D832" t="s">
        <v>143</v>
      </c>
      <c r="E832" t="s">
        <v>19</v>
      </c>
      <c r="F832" t="s">
        <v>72</v>
      </c>
      <c r="G832" t="s">
        <v>624</v>
      </c>
      <c r="H832" t="s">
        <v>713</v>
      </c>
      <c r="I832">
        <f t="shared" si="119"/>
        <v>1460</v>
      </c>
      <c r="J832" t="s">
        <v>775</v>
      </c>
      <c r="K832" t="s">
        <v>172</v>
      </c>
      <c r="L832" t="s">
        <v>716</v>
      </c>
      <c r="Q832" t="s">
        <v>412</v>
      </c>
      <c r="R832" t="s">
        <v>709</v>
      </c>
      <c r="S832" t="s">
        <v>703</v>
      </c>
      <c r="T832" t="s">
        <v>615</v>
      </c>
      <c r="U832" s="1" t="s">
        <v>754</v>
      </c>
      <c r="V832" s="1">
        <f t="shared" si="120"/>
        <v>7.3497933356781707E-11</v>
      </c>
      <c r="W832" s="1"/>
      <c r="X832" s="1"/>
      <c r="Y832" s="1"/>
      <c r="Z832" s="1"/>
      <c r="AB832" s="1">
        <f>[107]Nardini_etal_1998_Fig3!B13</f>
        <v>4.8761191438706099E-9</v>
      </c>
      <c r="AE832" s="2"/>
      <c r="AF832" s="2"/>
      <c r="AH832" s="5">
        <f>[107]Nardini_etal_1998_Fig3!D13</f>
        <v>1.50730388631234E-2</v>
      </c>
      <c r="AJ832" t="s">
        <v>203</v>
      </c>
    </row>
    <row r="833" spans="1:36" x14ac:dyDescent="0.25">
      <c r="A833" t="s">
        <v>408</v>
      </c>
      <c r="B833" t="s">
        <v>176</v>
      </c>
      <c r="C833" t="s">
        <v>177</v>
      </c>
      <c r="D833" t="s">
        <v>178</v>
      </c>
      <c r="E833" t="s">
        <v>19</v>
      </c>
      <c r="F833" t="s">
        <v>72</v>
      </c>
      <c r="G833" t="s">
        <v>624</v>
      </c>
      <c r="H833" t="s">
        <v>713</v>
      </c>
      <c r="I833">
        <f t="shared" si="119"/>
        <v>1460</v>
      </c>
      <c r="J833" t="s">
        <v>775</v>
      </c>
      <c r="K833" t="s">
        <v>172</v>
      </c>
      <c r="L833" t="s">
        <v>716</v>
      </c>
      <c r="Q833" t="s">
        <v>412</v>
      </c>
      <c r="R833" t="s">
        <v>709</v>
      </c>
      <c r="S833" t="s">
        <v>703</v>
      </c>
      <c r="T833" t="s">
        <v>615</v>
      </c>
      <c r="U833" s="1" t="s">
        <v>754</v>
      </c>
      <c r="V833" s="1">
        <f t="shared" si="120"/>
        <v>4.4907671348520215E-10</v>
      </c>
      <c r="W833" s="1"/>
      <c r="X833" s="1"/>
      <c r="Y833" s="1"/>
      <c r="Z833" s="1"/>
      <c r="AB833" s="1">
        <f>[108]Nardini_etal_1998b_Fig4!A2</f>
        <v>1.0320396521088501E-7</v>
      </c>
      <c r="AE833" s="2"/>
      <c r="AF833" s="2"/>
      <c r="AH833" s="5">
        <f>[108]Nardini_etal_1998b_Fig4!B2</f>
        <v>4.3513513513513498E-3</v>
      </c>
      <c r="AJ833" t="s">
        <v>203</v>
      </c>
    </row>
    <row r="834" spans="1:36" x14ac:dyDescent="0.25">
      <c r="A834" t="s">
        <v>408</v>
      </c>
      <c r="B834" t="s">
        <v>176</v>
      </c>
      <c r="C834" t="s">
        <v>177</v>
      </c>
      <c r="D834" t="s">
        <v>178</v>
      </c>
      <c r="E834" t="s">
        <v>19</v>
      </c>
      <c r="F834" t="s">
        <v>72</v>
      </c>
      <c r="G834" t="s">
        <v>624</v>
      </c>
      <c r="H834" t="s">
        <v>713</v>
      </c>
      <c r="I834">
        <f t="shared" si="119"/>
        <v>1460</v>
      </c>
      <c r="J834" t="s">
        <v>775</v>
      </c>
      <c r="K834" t="s">
        <v>171</v>
      </c>
      <c r="L834" t="s">
        <v>716</v>
      </c>
      <c r="Q834" t="s">
        <v>412</v>
      </c>
      <c r="R834" t="s">
        <v>709</v>
      </c>
      <c r="S834" t="s">
        <v>703</v>
      </c>
      <c r="T834" t="s">
        <v>615</v>
      </c>
      <c r="U834" s="1" t="s">
        <v>754</v>
      </c>
      <c r="V834" s="1">
        <f t="shared" si="120"/>
        <v>1.3258282129506246E-9</v>
      </c>
      <c r="W834" s="1"/>
      <c r="X834" s="1"/>
      <c r="Y834" s="1"/>
      <c r="Z834" s="1"/>
      <c r="AB834" s="1">
        <f>[108]Nardini_etal_1998b_Fig4!A3</f>
        <v>1.6915739268680399E-7</v>
      </c>
      <c r="AE834" s="2"/>
      <c r="AF834" s="2"/>
      <c r="AH834" s="5">
        <f>[108]Nardini_etal_1998b_Fig4!B3</f>
        <v>7.8378378378378306E-3</v>
      </c>
      <c r="AJ834" t="s">
        <v>203</v>
      </c>
    </row>
    <row r="835" spans="1:36" x14ac:dyDescent="0.25">
      <c r="A835" t="s">
        <v>408</v>
      </c>
      <c r="B835" t="s">
        <v>176</v>
      </c>
      <c r="C835" t="s">
        <v>177</v>
      </c>
      <c r="D835" t="s">
        <v>178</v>
      </c>
      <c r="E835" t="s">
        <v>19</v>
      </c>
      <c r="F835" t="s">
        <v>72</v>
      </c>
      <c r="G835" t="s">
        <v>624</v>
      </c>
      <c r="H835" t="s">
        <v>713</v>
      </c>
      <c r="I835">
        <f t="shared" si="119"/>
        <v>1460</v>
      </c>
      <c r="J835" t="s">
        <v>775</v>
      </c>
      <c r="K835" t="s">
        <v>170</v>
      </c>
      <c r="L835" t="s">
        <v>716</v>
      </c>
      <c r="Q835" t="s">
        <v>412</v>
      </c>
      <c r="R835" t="s">
        <v>709</v>
      </c>
      <c r="S835" t="s">
        <v>703</v>
      </c>
      <c r="T835" t="s">
        <v>615</v>
      </c>
      <c r="U835" s="1" t="s">
        <v>754</v>
      </c>
      <c r="V835" s="1">
        <f t="shared" si="120"/>
        <v>1.4349978895008308E-9</v>
      </c>
      <c r="W835" s="1"/>
      <c r="X835" s="1"/>
      <c r="Y835" s="1"/>
      <c r="Z835" s="1"/>
      <c r="AB835" s="1">
        <f>[108]Nardini_etal_1998b_Fig4!A4</f>
        <v>4.4245768259608998E-7</v>
      </c>
      <c r="AE835" s="2"/>
      <c r="AF835" s="2"/>
      <c r="AH835" s="5">
        <f>[108]Nardini_etal_1998b_Fig4!B4</f>
        <v>3.24324324324324E-3</v>
      </c>
      <c r="AJ835" t="s">
        <v>203</v>
      </c>
    </row>
    <row r="836" spans="1:36" x14ac:dyDescent="0.25">
      <c r="A836" t="s">
        <v>408</v>
      </c>
      <c r="B836" t="s">
        <v>179</v>
      </c>
      <c r="C836" t="s">
        <v>180</v>
      </c>
      <c r="D836" t="s">
        <v>143</v>
      </c>
      <c r="E836" t="s">
        <v>19</v>
      </c>
      <c r="F836" t="s">
        <v>72</v>
      </c>
      <c r="G836" t="s">
        <v>624</v>
      </c>
      <c r="H836" t="s">
        <v>713</v>
      </c>
      <c r="I836">
        <f t="shared" si="119"/>
        <v>1460</v>
      </c>
      <c r="J836" t="s">
        <v>775</v>
      </c>
      <c r="K836" t="s">
        <v>172</v>
      </c>
      <c r="L836" t="s">
        <v>716</v>
      </c>
      <c r="Q836" t="s">
        <v>412</v>
      </c>
      <c r="R836" t="s">
        <v>709</v>
      </c>
      <c r="S836" t="s">
        <v>703</v>
      </c>
      <c r="T836" t="s">
        <v>615</v>
      </c>
      <c r="U836" s="1" t="s">
        <v>754</v>
      </c>
      <c r="V836" s="1">
        <f t="shared" si="120"/>
        <v>4.1444219243678212E-10</v>
      </c>
      <c r="W836" s="1"/>
      <c r="X836" s="1"/>
      <c r="Y836" s="1"/>
      <c r="Z836" s="1"/>
      <c r="AB836" s="1">
        <f>[108]Nardini_etal_1998b_Fig4!A5</f>
        <v>1.2010054657586401E-8</v>
      </c>
      <c r="AE836" s="2"/>
      <c r="AF836" s="2"/>
      <c r="AH836" s="5">
        <f>[108]Nardini_etal_1998b_Fig4!B5</f>
        <v>3.4507935580042601E-2</v>
      </c>
      <c r="AJ836" t="s">
        <v>203</v>
      </c>
    </row>
    <row r="837" spans="1:36" x14ac:dyDescent="0.25">
      <c r="A837" t="s">
        <v>408</v>
      </c>
      <c r="B837" t="s">
        <v>179</v>
      </c>
      <c r="C837" t="s">
        <v>180</v>
      </c>
      <c r="D837" t="s">
        <v>143</v>
      </c>
      <c r="E837" t="s">
        <v>19</v>
      </c>
      <c r="F837" t="s">
        <v>72</v>
      </c>
      <c r="G837" t="s">
        <v>624</v>
      </c>
      <c r="H837" t="s">
        <v>713</v>
      </c>
      <c r="I837">
        <f t="shared" si="119"/>
        <v>1460</v>
      </c>
      <c r="J837" t="s">
        <v>775</v>
      </c>
      <c r="K837" t="s">
        <v>171</v>
      </c>
      <c r="L837" t="s">
        <v>716</v>
      </c>
      <c r="Q837" t="s">
        <v>412</v>
      </c>
      <c r="R837" t="s">
        <v>709</v>
      </c>
      <c r="S837" t="s">
        <v>703</v>
      </c>
      <c r="T837" t="s">
        <v>615</v>
      </c>
      <c r="U837" s="1" t="s">
        <v>754</v>
      </c>
      <c r="V837" s="1">
        <f t="shared" si="120"/>
        <v>1.7635648405503608E-9</v>
      </c>
      <c r="W837" s="1"/>
      <c r="X837" s="1"/>
      <c r="Y837" s="1"/>
      <c r="Z837" s="1"/>
      <c r="AB837" s="1">
        <f>[108]Nardini_etal_1998b_Fig4!A6</f>
        <v>4.3308099260515003E-8</v>
      </c>
      <c r="AE837" s="2"/>
      <c r="AF837" s="2"/>
      <c r="AH837" s="5">
        <f>[108]Nardini_etal_1998b_Fig4!B6</f>
        <v>4.07213632245053E-2</v>
      </c>
      <c r="AJ837" t="s">
        <v>203</v>
      </c>
    </row>
    <row r="838" spans="1:36" x14ac:dyDescent="0.25">
      <c r="A838" t="s">
        <v>408</v>
      </c>
      <c r="B838" t="s">
        <v>179</v>
      </c>
      <c r="C838" t="s">
        <v>180</v>
      </c>
      <c r="D838" t="s">
        <v>143</v>
      </c>
      <c r="E838" t="s">
        <v>19</v>
      </c>
      <c r="F838" t="s">
        <v>72</v>
      </c>
      <c r="G838" t="s">
        <v>624</v>
      </c>
      <c r="H838" t="s">
        <v>713</v>
      </c>
      <c r="I838">
        <f t="shared" si="119"/>
        <v>1460</v>
      </c>
      <c r="J838" t="s">
        <v>775</v>
      </c>
      <c r="K838" t="s">
        <v>170</v>
      </c>
      <c r="L838" t="s">
        <v>716</v>
      </c>
      <c r="Q838" t="s">
        <v>412</v>
      </c>
      <c r="R838" t="s">
        <v>709</v>
      </c>
      <c r="S838" t="s">
        <v>703</v>
      </c>
      <c r="T838" t="s">
        <v>615</v>
      </c>
      <c r="U838" s="1" t="s">
        <v>754</v>
      </c>
      <c r="V838" s="1">
        <f t="shared" si="120"/>
        <v>2.051521391030843E-9</v>
      </c>
      <c r="W838" s="1"/>
      <c r="X838" s="1"/>
      <c r="Y838" s="1"/>
      <c r="Z838" s="1"/>
      <c r="AB838" s="1">
        <f>[108]Nardini_etal_1998b_Fig4!A7</f>
        <v>6.1168756515554596E-8</v>
      </c>
      <c r="AE838" s="2"/>
      <c r="AF838" s="2"/>
      <c r="AH838" s="5">
        <f>[108]Nardini_etal_1998b_Fig4!B7</f>
        <v>3.3538713354572799E-2</v>
      </c>
      <c r="AJ838" t="s">
        <v>203</v>
      </c>
    </row>
    <row r="839" spans="1:36" x14ac:dyDescent="0.25">
      <c r="A839" t="s">
        <v>408</v>
      </c>
      <c r="B839" t="s">
        <v>181</v>
      </c>
      <c r="C839" t="s">
        <v>182</v>
      </c>
      <c r="D839" t="s">
        <v>24</v>
      </c>
      <c r="E839" t="s">
        <v>19</v>
      </c>
      <c r="F839" t="s">
        <v>72</v>
      </c>
      <c r="G839" t="s">
        <v>624</v>
      </c>
      <c r="H839" t="s">
        <v>713</v>
      </c>
      <c r="I839">
        <f t="shared" si="119"/>
        <v>1460</v>
      </c>
      <c r="J839" t="s">
        <v>775</v>
      </c>
      <c r="K839" t="s">
        <v>172</v>
      </c>
      <c r="L839" t="s">
        <v>716</v>
      </c>
      <c r="Q839" t="s">
        <v>412</v>
      </c>
      <c r="R839" t="s">
        <v>709</v>
      </c>
      <c r="S839" t="s">
        <v>703</v>
      </c>
      <c r="T839" t="s">
        <v>615</v>
      </c>
      <c r="U839" s="1" t="s">
        <v>754</v>
      </c>
      <c r="V839" s="1">
        <f t="shared" si="120"/>
        <v>3.2787123328604589E-10</v>
      </c>
      <c r="W839" s="1"/>
      <c r="X839" s="1"/>
      <c r="Y839" s="1"/>
      <c r="Z839" s="1"/>
      <c r="AB839" s="1">
        <f>[108]Nardini_etal_1998b_Fig4!A8</f>
        <v>1.39226519337016E-8</v>
      </c>
      <c r="AE839" s="2"/>
      <c r="AF839" s="2"/>
      <c r="AH839" s="5">
        <f>[108]Nardini_etal_1998b_Fig4!B8</f>
        <v>2.35494814384026E-2</v>
      </c>
      <c r="AJ839" t="s">
        <v>203</v>
      </c>
    </row>
    <row r="840" spans="1:36" x14ac:dyDescent="0.25">
      <c r="A840" t="s">
        <v>408</v>
      </c>
      <c r="B840" t="s">
        <v>181</v>
      </c>
      <c r="C840" t="s">
        <v>182</v>
      </c>
      <c r="D840" t="s">
        <v>24</v>
      </c>
      <c r="E840" t="s">
        <v>19</v>
      </c>
      <c r="F840" t="s">
        <v>72</v>
      </c>
      <c r="G840" t="s">
        <v>624</v>
      </c>
      <c r="H840" t="s">
        <v>713</v>
      </c>
      <c r="I840">
        <f t="shared" si="119"/>
        <v>1460</v>
      </c>
      <c r="J840" t="s">
        <v>775</v>
      </c>
      <c r="K840" t="s">
        <v>170</v>
      </c>
      <c r="L840" t="s">
        <v>716</v>
      </c>
      <c r="Q840" t="s">
        <v>412</v>
      </c>
      <c r="R840" t="s">
        <v>709</v>
      </c>
      <c r="S840" t="s">
        <v>703</v>
      </c>
      <c r="T840" t="s">
        <v>615</v>
      </c>
      <c r="U840" s="1" t="s">
        <v>754</v>
      </c>
      <c r="V840" s="1">
        <f t="shared" si="120"/>
        <v>2.4161494973966141E-9</v>
      </c>
      <c r="W840" s="1"/>
      <c r="X840" s="1"/>
      <c r="Y840" s="1"/>
      <c r="Z840" s="1"/>
      <c r="AB840" s="1">
        <f>[108]Nardini_etal_1998b_Fig4!A9</f>
        <v>4.4751381215469598E-8</v>
      </c>
      <c r="AE840" s="2"/>
      <c r="AF840" s="2"/>
      <c r="AH840" s="5">
        <f>[108]Nardini_etal_1998b_Fig4!B9</f>
        <v>5.39905011146651E-2</v>
      </c>
      <c r="AJ840" t="s">
        <v>203</v>
      </c>
    </row>
    <row r="841" spans="1:36" x14ac:dyDescent="0.25">
      <c r="A841" t="s">
        <v>408</v>
      </c>
      <c r="B841" t="s">
        <v>181</v>
      </c>
      <c r="C841" t="s">
        <v>182</v>
      </c>
      <c r="D841" t="s">
        <v>24</v>
      </c>
      <c r="E841" t="s">
        <v>19</v>
      </c>
      <c r="F841" t="s">
        <v>72</v>
      </c>
      <c r="G841" t="s">
        <v>624</v>
      </c>
      <c r="H841" t="s">
        <v>713</v>
      </c>
      <c r="I841">
        <f t="shared" si="119"/>
        <v>1460</v>
      </c>
      <c r="J841" t="s">
        <v>775</v>
      </c>
      <c r="K841" t="s">
        <v>171</v>
      </c>
      <c r="L841" t="s">
        <v>716</v>
      </c>
      <c r="Q841" t="s">
        <v>412</v>
      </c>
      <c r="R841" t="s">
        <v>709</v>
      </c>
      <c r="S841" t="s">
        <v>703</v>
      </c>
      <c r="T841" t="s">
        <v>615</v>
      </c>
      <c r="U841" s="1" t="s">
        <v>754</v>
      </c>
      <c r="V841" s="1">
        <f t="shared" si="120"/>
        <v>2.8959041479037088E-9</v>
      </c>
      <c r="W841" s="1"/>
      <c r="X841" s="1"/>
      <c r="Y841" s="1"/>
      <c r="Z841" s="1"/>
      <c r="AB841" s="1">
        <f>[108]Nardini_etal_1998b_Fig4!A10</f>
        <v>8.3204419889502802E-8</v>
      </c>
      <c r="AE841" s="2"/>
      <c r="AF841" s="2"/>
      <c r="AH841" s="5">
        <f>[108]Nardini_etal_1998b_Fig4!B10</f>
        <v>3.48046912862265E-2</v>
      </c>
      <c r="AJ841" t="s">
        <v>203</v>
      </c>
    </row>
    <row r="842" spans="1:36" x14ac:dyDescent="0.25">
      <c r="A842" t="s">
        <v>408</v>
      </c>
      <c r="B842" t="s">
        <v>183</v>
      </c>
      <c r="C842" t="s">
        <v>182</v>
      </c>
      <c r="D842" t="s">
        <v>24</v>
      </c>
      <c r="E842" t="s">
        <v>19</v>
      </c>
      <c r="F842" t="s">
        <v>72</v>
      </c>
      <c r="G842" t="s">
        <v>624</v>
      </c>
      <c r="H842" t="s">
        <v>713</v>
      </c>
      <c r="I842">
        <f t="shared" si="119"/>
        <v>1460</v>
      </c>
      <c r="J842" t="s">
        <v>775</v>
      </c>
      <c r="K842" t="s">
        <v>172</v>
      </c>
      <c r="L842" t="s">
        <v>716</v>
      </c>
      <c r="Q842" t="s">
        <v>412</v>
      </c>
      <c r="R842" t="s">
        <v>709</v>
      </c>
      <c r="S842" t="s">
        <v>703</v>
      </c>
      <c r="T842" t="s">
        <v>615</v>
      </c>
      <c r="U842" s="1" t="s">
        <v>754</v>
      </c>
      <c r="V842" s="1">
        <f t="shared" si="120"/>
        <v>2.9697610777129179E-10</v>
      </c>
      <c r="W842" s="1"/>
      <c r="X842" s="1"/>
      <c r="Y842" s="1"/>
      <c r="Z842" s="1"/>
      <c r="AB842" s="1">
        <f>[108]Nardini_etal_1998b_Fig4!A11</f>
        <v>8.78180989209544E-9</v>
      </c>
      <c r="AE842" s="2"/>
      <c r="AF842" s="2"/>
      <c r="AH842" s="5">
        <f>[108]Nardini_etal_1998b_Fig4!B11</f>
        <v>3.3817187051453E-2</v>
      </c>
      <c r="AJ842" t="s">
        <v>203</v>
      </c>
    </row>
    <row r="843" spans="1:36" x14ac:dyDescent="0.25">
      <c r="A843" t="s">
        <v>408</v>
      </c>
      <c r="B843" t="s">
        <v>183</v>
      </c>
      <c r="C843" t="s">
        <v>182</v>
      </c>
      <c r="D843" t="s">
        <v>24</v>
      </c>
      <c r="E843" t="s">
        <v>19</v>
      </c>
      <c r="F843" t="s">
        <v>72</v>
      </c>
      <c r="G843" t="s">
        <v>624</v>
      </c>
      <c r="H843" t="s">
        <v>713</v>
      </c>
      <c r="I843">
        <f t="shared" si="119"/>
        <v>1460</v>
      </c>
      <c r="J843" t="s">
        <v>775</v>
      </c>
      <c r="K843" t="s">
        <v>170</v>
      </c>
      <c r="L843" t="s">
        <v>716</v>
      </c>
      <c r="Q843" t="s">
        <v>412</v>
      </c>
      <c r="R843" t="s">
        <v>709</v>
      </c>
      <c r="S843" t="s">
        <v>703</v>
      </c>
      <c r="T843" t="s">
        <v>615</v>
      </c>
      <c r="U843" s="1" t="s">
        <v>754</v>
      </c>
      <c r="V843" s="1">
        <f t="shared" si="120"/>
        <v>6.9253608844557525E-10</v>
      </c>
      <c r="W843" s="1"/>
      <c r="X843" s="1"/>
      <c r="Y843" s="1"/>
      <c r="Z843" s="1"/>
      <c r="AB843" s="1">
        <f>[108]Nardini_etal_1998b_Fig4!A12</f>
        <v>2.5724345227038599E-8</v>
      </c>
      <c r="AE843" s="2"/>
      <c r="AF843" s="2"/>
      <c r="AH843" s="5">
        <f>[108]Nardini_etal_1998b_Fig4!B12</f>
        <v>2.69214272446343E-2</v>
      </c>
      <c r="AJ843" t="s">
        <v>203</v>
      </c>
    </row>
    <row r="844" spans="1:36" x14ac:dyDescent="0.25">
      <c r="A844" t="s">
        <v>408</v>
      </c>
      <c r="B844" t="s">
        <v>183</v>
      </c>
      <c r="C844" t="s">
        <v>182</v>
      </c>
      <c r="D844" t="s">
        <v>24</v>
      </c>
      <c r="E844" t="s">
        <v>19</v>
      </c>
      <c r="F844" t="s">
        <v>72</v>
      </c>
      <c r="G844" t="s">
        <v>624</v>
      </c>
      <c r="H844" t="s">
        <v>713</v>
      </c>
      <c r="I844">
        <f t="shared" si="119"/>
        <v>1460</v>
      </c>
      <c r="J844" t="s">
        <v>775</v>
      </c>
      <c r="K844" t="s">
        <v>171</v>
      </c>
      <c r="L844" t="s">
        <v>716</v>
      </c>
      <c r="Q844" t="s">
        <v>412</v>
      </c>
      <c r="R844" t="s">
        <v>709</v>
      </c>
      <c r="S844" t="s">
        <v>703</v>
      </c>
      <c r="T844" t="s">
        <v>615</v>
      </c>
      <c r="U844" s="1" t="s">
        <v>754</v>
      </c>
      <c r="V844" s="1">
        <f t="shared" si="120"/>
        <v>8.1211428236199464E-10</v>
      </c>
      <c r="W844" s="1"/>
      <c r="X844" s="1"/>
      <c r="Y844" s="1"/>
      <c r="Z844" s="1"/>
      <c r="AB844" s="1">
        <f>[108]Nardini_etal_1998b_Fig4!A13</f>
        <v>3.1878957766932899E-8</v>
      </c>
      <c r="AE844" s="2"/>
      <c r="AF844" s="2"/>
      <c r="AH844" s="5">
        <f>[108]Nardini_etal_1998b_Fig4!B13</f>
        <v>2.5474932031949199E-2</v>
      </c>
      <c r="AJ844" t="s">
        <v>203</v>
      </c>
    </row>
    <row r="845" spans="1:36" x14ac:dyDescent="0.25">
      <c r="A845" t="s">
        <v>408</v>
      </c>
      <c r="B845" t="s">
        <v>184</v>
      </c>
      <c r="C845" t="s">
        <v>185</v>
      </c>
      <c r="D845" t="s">
        <v>92</v>
      </c>
      <c r="E845" t="s">
        <v>19</v>
      </c>
      <c r="F845" t="s">
        <v>25</v>
      </c>
      <c r="G845" t="s">
        <v>625</v>
      </c>
      <c r="H845" t="s">
        <v>713</v>
      </c>
      <c r="I845">
        <f t="shared" si="119"/>
        <v>1460</v>
      </c>
      <c r="J845" t="s">
        <v>775</v>
      </c>
      <c r="K845" t="s">
        <v>172</v>
      </c>
      <c r="L845" t="s">
        <v>716</v>
      </c>
      <c r="Q845" t="s">
        <v>412</v>
      </c>
      <c r="R845" t="s">
        <v>709</v>
      </c>
      <c r="S845" t="s">
        <v>703</v>
      </c>
      <c r="T845" t="s">
        <v>615</v>
      </c>
      <c r="U845" s="1" t="s">
        <v>754</v>
      </c>
      <c r="V845" s="1">
        <f t="shared" si="120"/>
        <v>1.3040863357772075E-10</v>
      </c>
      <c r="W845" s="1"/>
      <c r="X845" s="1"/>
      <c r="Y845" s="1"/>
      <c r="Z845" s="1"/>
      <c r="AB845" s="1">
        <f>[108]Nardini_etal_1998b_Fig4!A14</f>
        <v>4.9165379189898701E-9</v>
      </c>
      <c r="AE845" s="2"/>
      <c r="AF845" s="2"/>
      <c r="AH845" s="5">
        <f>[108]Nardini_etal_1998b_Fig4!B14</f>
        <v>2.65244844495197E-2</v>
      </c>
      <c r="AJ845" t="s">
        <v>203</v>
      </c>
    </row>
    <row r="846" spans="1:36" x14ac:dyDescent="0.25">
      <c r="A846" t="s">
        <v>408</v>
      </c>
      <c r="B846" t="s">
        <v>184</v>
      </c>
      <c r="C846" t="s">
        <v>185</v>
      </c>
      <c r="D846" t="s">
        <v>92</v>
      </c>
      <c r="E846" t="s">
        <v>19</v>
      </c>
      <c r="F846" t="s">
        <v>25</v>
      </c>
      <c r="G846" t="s">
        <v>625</v>
      </c>
      <c r="H846" t="s">
        <v>713</v>
      </c>
      <c r="I846">
        <f t="shared" si="119"/>
        <v>1460</v>
      </c>
      <c r="J846" t="s">
        <v>775</v>
      </c>
      <c r="K846" t="s">
        <v>170</v>
      </c>
      <c r="L846" t="s">
        <v>716</v>
      </c>
      <c r="Q846" t="s">
        <v>412</v>
      </c>
      <c r="R846" t="s">
        <v>709</v>
      </c>
      <c r="S846" t="s">
        <v>703</v>
      </c>
      <c r="T846" t="s">
        <v>615</v>
      </c>
      <c r="U846" s="1" t="s">
        <v>754</v>
      </c>
      <c r="V846" s="1">
        <f t="shared" si="120"/>
        <v>2.9791085172751488E-10</v>
      </c>
      <c r="W846" s="1"/>
      <c r="X846" s="1"/>
      <c r="Y846" s="1"/>
      <c r="Z846" s="1"/>
      <c r="AB846" s="1">
        <f>[108]Nardini_etal_1998b_Fig4!A15</f>
        <v>1.1871935245516299E-8</v>
      </c>
      <c r="AE846" s="2"/>
      <c r="AF846" s="2"/>
      <c r="AH846" s="5">
        <f>[108]Nardini_etal_1998b_Fig4!B15</f>
        <v>2.5093705917914901E-2</v>
      </c>
      <c r="AJ846" t="s">
        <v>203</v>
      </c>
    </row>
    <row r="847" spans="1:36" x14ac:dyDescent="0.25">
      <c r="A847" t="s">
        <v>408</v>
      </c>
      <c r="B847" t="s">
        <v>184</v>
      </c>
      <c r="C847" t="s">
        <v>185</v>
      </c>
      <c r="D847" t="s">
        <v>92</v>
      </c>
      <c r="E847" t="s">
        <v>19</v>
      </c>
      <c r="F847" t="s">
        <v>25</v>
      </c>
      <c r="G847" t="s">
        <v>625</v>
      </c>
      <c r="H847" t="s">
        <v>713</v>
      </c>
      <c r="I847">
        <f t="shared" si="119"/>
        <v>1460</v>
      </c>
      <c r="J847" t="s">
        <v>775</v>
      </c>
      <c r="K847" t="s">
        <v>171</v>
      </c>
      <c r="L847" t="s">
        <v>716</v>
      </c>
      <c r="Q847" t="s">
        <v>412</v>
      </c>
      <c r="R847" t="s">
        <v>709</v>
      </c>
      <c r="S847" t="s">
        <v>703</v>
      </c>
      <c r="T847" t="s">
        <v>615</v>
      </c>
      <c r="U847" s="1" t="s">
        <v>754</v>
      </c>
      <c r="V847" s="1">
        <f t="shared" si="120"/>
        <v>6.8243547112706735E-10</v>
      </c>
      <c r="W847" s="1"/>
      <c r="X847" s="1"/>
      <c r="Y847" s="1"/>
      <c r="Z847" s="1"/>
      <c r="AB847" s="1">
        <f>[108]Nardini_etal_1998b_Fig4!A16</f>
        <v>3.6872271109021397E-8</v>
      </c>
      <c r="AE847" s="2"/>
      <c r="AF847" s="2"/>
      <c r="AH847" s="5">
        <f>[108]Nardini_etal_1998b_Fig4!B16</f>
        <v>1.8508094310472199E-2</v>
      </c>
      <c r="AJ847" t="s">
        <v>203</v>
      </c>
    </row>
    <row r="848" spans="1:36" x14ac:dyDescent="0.25">
      <c r="A848" t="s">
        <v>408</v>
      </c>
      <c r="B848" t="s">
        <v>186</v>
      </c>
      <c r="C848" t="s">
        <v>23</v>
      </c>
      <c r="D848" t="s">
        <v>24</v>
      </c>
      <c r="E848" t="s">
        <v>19</v>
      </c>
      <c r="F848" t="s">
        <v>25</v>
      </c>
      <c r="G848" t="s">
        <v>601</v>
      </c>
      <c r="H848" t="s">
        <v>713</v>
      </c>
      <c r="I848">
        <f t="shared" si="119"/>
        <v>1460</v>
      </c>
      <c r="J848" t="s">
        <v>775</v>
      </c>
      <c r="K848" t="s">
        <v>172</v>
      </c>
      <c r="L848" t="s">
        <v>716</v>
      </c>
      <c r="Q848" t="s">
        <v>412</v>
      </c>
      <c r="R848" t="s">
        <v>709</v>
      </c>
      <c r="S848" t="s">
        <v>703</v>
      </c>
      <c r="T848" t="s">
        <v>615</v>
      </c>
      <c r="U848" s="1" t="s">
        <v>754</v>
      </c>
      <c r="V848" s="1">
        <f t="shared" si="120"/>
        <v>2.2598388097028E-9</v>
      </c>
      <c r="W848" s="1"/>
      <c r="X848" s="1"/>
      <c r="Y848" s="1"/>
      <c r="Z848" s="1"/>
      <c r="AB848" s="1">
        <f>[108]Nardini_etal_1998b_Fig4!A17</f>
        <v>9.1097266071068695E-8</v>
      </c>
      <c r="AE848" s="2"/>
      <c r="AF848" s="2"/>
      <c r="AH848" s="5">
        <f>[108]Nardini_etal_1998b_Fig4!B17</f>
        <v>2.4806878484583801E-2</v>
      </c>
      <c r="AJ848" t="s">
        <v>203</v>
      </c>
    </row>
    <row r="849" spans="1:36" x14ac:dyDescent="0.25">
      <c r="A849" t="s">
        <v>408</v>
      </c>
      <c r="B849" t="s">
        <v>186</v>
      </c>
      <c r="C849" t="s">
        <v>23</v>
      </c>
      <c r="D849" t="s">
        <v>24</v>
      </c>
      <c r="E849" t="s">
        <v>19</v>
      </c>
      <c r="F849" t="s">
        <v>25</v>
      </c>
      <c r="G849" t="s">
        <v>601</v>
      </c>
      <c r="H849" t="s">
        <v>713</v>
      </c>
      <c r="I849">
        <f t="shared" si="119"/>
        <v>1460</v>
      </c>
      <c r="J849" t="s">
        <v>775</v>
      </c>
      <c r="K849" t="s">
        <v>171</v>
      </c>
      <c r="L849" t="s">
        <v>716</v>
      </c>
      <c r="Q849" t="s">
        <v>412</v>
      </c>
      <c r="R849" t="s">
        <v>709</v>
      </c>
      <c r="S849" t="s">
        <v>703</v>
      </c>
      <c r="T849" t="s">
        <v>615</v>
      </c>
      <c r="U849" s="1" t="s">
        <v>754</v>
      </c>
      <c r="V849" s="1">
        <f t="shared" si="120"/>
        <v>1.4669310880914008E-9</v>
      </c>
      <c r="W849" s="1"/>
      <c r="X849" s="1"/>
      <c r="Y849" s="1"/>
      <c r="Z849" s="1"/>
      <c r="AB849" s="1">
        <f>[108]Nardini_etal_1998b_Fig4!A18</f>
        <v>9.2054980855780197E-8</v>
      </c>
      <c r="AE849" s="2"/>
      <c r="AF849" s="2"/>
      <c r="AH849" s="5">
        <f>[108]Nardini_etal_1998b_Fig4!B18</f>
        <v>1.5935379861624199E-2</v>
      </c>
      <c r="AJ849" t="s">
        <v>203</v>
      </c>
    </row>
    <row r="850" spans="1:36" x14ac:dyDescent="0.25">
      <c r="A850" t="s">
        <v>408</v>
      </c>
      <c r="B850" t="s">
        <v>186</v>
      </c>
      <c r="C850" t="s">
        <v>23</v>
      </c>
      <c r="D850" t="s">
        <v>24</v>
      </c>
      <c r="E850" t="s">
        <v>19</v>
      </c>
      <c r="F850" t="s">
        <v>25</v>
      </c>
      <c r="G850" t="s">
        <v>601</v>
      </c>
      <c r="H850" t="s">
        <v>713</v>
      </c>
      <c r="I850">
        <f t="shared" si="119"/>
        <v>1460</v>
      </c>
      <c r="J850" t="s">
        <v>775</v>
      </c>
      <c r="K850" t="s">
        <v>170</v>
      </c>
      <c r="L850" t="s">
        <v>716</v>
      </c>
      <c r="Q850" t="s">
        <v>412</v>
      </c>
      <c r="R850" t="s">
        <v>709</v>
      </c>
      <c r="S850" t="s">
        <v>703</v>
      </c>
      <c r="T850" t="s">
        <v>615</v>
      </c>
      <c r="U850" s="1" t="s">
        <v>754</v>
      </c>
      <c r="V850" s="1">
        <f t="shared" si="120"/>
        <v>1.3593463661669048E-9</v>
      </c>
      <c r="W850" s="1"/>
      <c r="X850" s="1"/>
      <c r="Y850" s="1"/>
      <c r="Z850" s="1"/>
      <c r="AB850" s="1">
        <f>[108]Nardini_etal_1998b_Fig4!A19</f>
        <v>1.2021260159870999E-7</v>
      </c>
      <c r="AE850" s="2"/>
      <c r="AF850" s="2"/>
      <c r="AH850" s="5">
        <f>[108]Nardini_etal_1998b_Fig4!B19</f>
        <v>1.13078524887485E-2</v>
      </c>
      <c r="AJ850" t="s">
        <v>203</v>
      </c>
    </row>
    <row r="851" spans="1:36" x14ac:dyDescent="0.25">
      <c r="A851" t="s">
        <v>187</v>
      </c>
      <c r="B851" t="s">
        <v>186</v>
      </c>
      <c r="C851" t="s">
        <v>23</v>
      </c>
      <c r="D851" t="s">
        <v>24</v>
      </c>
      <c r="E851" t="s">
        <v>19</v>
      </c>
      <c r="F851" t="s">
        <v>25</v>
      </c>
      <c r="G851" t="s">
        <v>601</v>
      </c>
      <c r="H851" t="s">
        <v>713</v>
      </c>
      <c r="I851">
        <f>3*365</f>
        <v>1095</v>
      </c>
      <c r="J851" t="s">
        <v>51</v>
      </c>
      <c r="K851" t="s">
        <v>39</v>
      </c>
      <c r="L851" t="str">
        <f t="shared" ref="L851:L858" si="121">+IF(K851 = "Control", "Control", "Stress")</f>
        <v>Control</v>
      </c>
      <c r="Q851" t="s">
        <v>412</v>
      </c>
      <c r="R851" t="s">
        <v>709</v>
      </c>
      <c r="S851" t="s">
        <v>703</v>
      </c>
      <c r="T851" t="s">
        <v>615</v>
      </c>
      <c r="U851" s="1" t="s">
        <v>754</v>
      </c>
      <c r="V851" s="1">
        <f t="shared" si="120"/>
        <v>2.0586E-10</v>
      </c>
      <c r="W851" s="1"/>
      <c r="X851" s="1"/>
      <c r="Y851" s="1"/>
      <c r="Z851" s="1"/>
      <c r="AB851" s="1">
        <v>1.46E-8</v>
      </c>
      <c r="AE851" s="2"/>
      <c r="AF851" s="2"/>
      <c r="AH851" s="5">
        <v>1.41E-2</v>
      </c>
      <c r="AJ851" t="s">
        <v>203</v>
      </c>
    </row>
    <row r="852" spans="1:36" x14ac:dyDescent="0.25">
      <c r="A852" t="s">
        <v>187</v>
      </c>
      <c r="B852" t="s">
        <v>186</v>
      </c>
      <c r="C852" t="s">
        <v>23</v>
      </c>
      <c r="D852" t="s">
        <v>24</v>
      </c>
      <c r="E852" t="s">
        <v>19</v>
      </c>
      <c r="F852" t="s">
        <v>25</v>
      </c>
      <c r="G852" t="s">
        <v>601</v>
      </c>
      <c r="H852" t="s">
        <v>713</v>
      </c>
      <c r="I852">
        <v>1095</v>
      </c>
      <c r="J852" t="s">
        <v>51</v>
      </c>
      <c r="K852" t="s">
        <v>51</v>
      </c>
      <c r="L852" t="str">
        <f t="shared" si="121"/>
        <v>Stress</v>
      </c>
      <c r="Q852" t="s">
        <v>412</v>
      </c>
      <c r="R852" t="s">
        <v>709</v>
      </c>
      <c r="S852" t="s">
        <v>703</v>
      </c>
      <c r="T852" t="s">
        <v>615</v>
      </c>
      <c r="U852" s="1" t="s">
        <v>754</v>
      </c>
      <c r="V852" s="1">
        <f t="shared" si="120"/>
        <v>3.2429999999999998E-11</v>
      </c>
      <c r="W852" s="1"/>
      <c r="X852" s="1"/>
      <c r="Y852" s="1"/>
      <c r="Z852" s="1"/>
      <c r="AB852" s="1">
        <v>2.2999999999999999E-9</v>
      </c>
      <c r="AE852" s="2"/>
      <c r="AF852" s="2"/>
      <c r="AH852" s="5">
        <v>1.41E-2</v>
      </c>
      <c r="AJ852" t="s">
        <v>203</v>
      </c>
    </row>
    <row r="853" spans="1:36" x14ac:dyDescent="0.25">
      <c r="A853" t="s">
        <v>538</v>
      </c>
      <c r="B853" t="s">
        <v>539</v>
      </c>
      <c r="C853" t="s">
        <v>540</v>
      </c>
      <c r="D853" t="s">
        <v>541</v>
      </c>
      <c r="E853" t="s">
        <v>19</v>
      </c>
      <c r="F853" t="s">
        <v>37</v>
      </c>
      <c r="G853" t="s">
        <v>622</v>
      </c>
      <c r="H853" t="s">
        <v>714</v>
      </c>
      <c r="I853">
        <f>5*7+7</f>
        <v>42</v>
      </c>
      <c r="J853" t="s">
        <v>673</v>
      </c>
      <c r="K853" t="s">
        <v>39</v>
      </c>
      <c r="L853" t="str">
        <f t="shared" si="121"/>
        <v>Control</v>
      </c>
      <c r="M853" t="s">
        <v>542</v>
      </c>
      <c r="N853" t="s">
        <v>716</v>
      </c>
      <c r="Q853" t="s">
        <v>412</v>
      </c>
      <c r="R853" t="s">
        <v>709</v>
      </c>
      <c r="S853" t="s">
        <v>703</v>
      </c>
      <c r="T853" t="s">
        <v>615</v>
      </c>
      <c r="U853" s="1"/>
      <c r="V853" s="1"/>
      <c r="W853" s="1"/>
      <c r="X853" s="1">
        <v>2.8999999999999999E-9</v>
      </c>
      <c r="Y853" s="1"/>
      <c r="Z853" s="1"/>
      <c r="AB853" s="1"/>
      <c r="AE853" s="2"/>
      <c r="AF853" s="2"/>
      <c r="AJ853" t="s">
        <v>364</v>
      </c>
    </row>
    <row r="854" spans="1:36" x14ac:dyDescent="0.25">
      <c r="A854" t="s">
        <v>538</v>
      </c>
      <c r="B854" t="s">
        <v>539</v>
      </c>
      <c r="C854" t="s">
        <v>540</v>
      </c>
      <c r="D854" t="s">
        <v>541</v>
      </c>
      <c r="E854" t="s">
        <v>19</v>
      </c>
      <c r="F854" t="s">
        <v>37</v>
      </c>
      <c r="G854" t="s">
        <v>622</v>
      </c>
      <c r="H854" t="s">
        <v>714</v>
      </c>
      <c r="I854">
        <f>5*7+7</f>
        <v>42</v>
      </c>
      <c r="J854" t="s">
        <v>673</v>
      </c>
      <c r="K854" t="s">
        <v>500</v>
      </c>
      <c r="L854" t="str">
        <f t="shared" si="121"/>
        <v>Stress</v>
      </c>
      <c r="M854" t="s">
        <v>542</v>
      </c>
      <c r="N854" t="s">
        <v>716</v>
      </c>
      <c r="Q854" t="s">
        <v>412</v>
      </c>
      <c r="R854" t="s">
        <v>709</v>
      </c>
      <c r="S854" t="s">
        <v>703</v>
      </c>
      <c r="T854" t="s">
        <v>615</v>
      </c>
      <c r="U854" s="1"/>
      <c r="V854" s="1"/>
      <c r="W854" s="1"/>
      <c r="X854" s="1">
        <v>1.38E-9</v>
      </c>
      <c r="Y854" s="1"/>
      <c r="Z854" s="1"/>
      <c r="AB854" s="1"/>
      <c r="AE854" s="2"/>
      <c r="AF854" s="2"/>
      <c r="AJ854" t="s">
        <v>364</v>
      </c>
    </row>
    <row r="855" spans="1:36" x14ac:dyDescent="0.25">
      <c r="A855" t="s">
        <v>538</v>
      </c>
      <c r="B855" t="s">
        <v>539</v>
      </c>
      <c r="C855" t="s">
        <v>540</v>
      </c>
      <c r="D855" t="s">
        <v>541</v>
      </c>
      <c r="E855" t="s">
        <v>19</v>
      </c>
      <c r="F855" t="s">
        <v>37</v>
      </c>
      <c r="G855" t="s">
        <v>622</v>
      </c>
      <c r="H855" t="s">
        <v>714</v>
      </c>
      <c r="I855">
        <f>5*7+7</f>
        <v>42</v>
      </c>
      <c r="J855" t="s">
        <v>673</v>
      </c>
      <c r="K855" t="s">
        <v>39</v>
      </c>
      <c r="L855" t="str">
        <f t="shared" si="121"/>
        <v>Control</v>
      </c>
      <c r="M855" t="s">
        <v>543</v>
      </c>
      <c r="N855" t="s">
        <v>716</v>
      </c>
      <c r="Q855" t="s">
        <v>412</v>
      </c>
      <c r="R855" t="s">
        <v>709</v>
      </c>
      <c r="S855" t="s">
        <v>703</v>
      </c>
      <c r="T855" t="s">
        <v>615</v>
      </c>
      <c r="U855" s="1"/>
      <c r="V855" s="1"/>
      <c r="W855" s="1"/>
      <c r="X855" s="1">
        <v>2.3500000000000004E-9</v>
      </c>
      <c r="Y855" s="1"/>
      <c r="Z855" s="1"/>
      <c r="AB855" s="1"/>
      <c r="AE855" s="2"/>
      <c r="AF855" s="2"/>
      <c r="AJ855" t="s">
        <v>364</v>
      </c>
    </row>
    <row r="856" spans="1:36" x14ac:dyDescent="0.25">
      <c r="A856" t="s">
        <v>538</v>
      </c>
      <c r="B856" t="s">
        <v>539</v>
      </c>
      <c r="C856" t="s">
        <v>540</v>
      </c>
      <c r="D856" t="s">
        <v>541</v>
      </c>
      <c r="E856" t="s">
        <v>19</v>
      </c>
      <c r="F856" t="s">
        <v>37</v>
      </c>
      <c r="G856" t="s">
        <v>622</v>
      </c>
      <c r="H856" t="s">
        <v>714</v>
      </c>
      <c r="I856">
        <f>5*7+7</f>
        <v>42</v>
      </c>
      <c r="J856" t="s">
        <v>673</v>
      </c>
      <c r="K856" t="s">
        <v>500</v>
      </c>
      <c r="L856" t="str">
        <f t="shared" si="121"/>
        <v>Stress</v>
      </c>
      <c r="M856" t="s">
        <v>543</v>
      </c>
      <c r="N856" t="s">
        <v>716</v>
      </c>
      <c r="Q856" t="s">
        <v>412</v>
      </c>
      <c r="R856" t="s">
        <v>709</v>
      </c>
      <c r="S856" t="s">
        <v>703</v>
      </c>
      <c r="T856" t="s">
        <v>615</v>
      </c>
      <c r="U856" s="1"/>
      <c r="V856" s="1"/>
      <c r="W856" s="1"/>
      <c r="X856" s="1">
        <v>1.63E-9</v>
      </c>
      <c r="Y856" s="1"/>
      <c r="Z856" s="1"/>
      <c r="AB856" s="1"/>
      <c r="AE856" s="2"/>
      <c r="AF856" s="2"/>
      <c r="AJ856" t="s">
        <v>364</v>
      </c>
    </row>
    <row r="857" spans="1:36" x14ac:dyDescent="0.25">
      <c r="A857" t="s">
        <v>605</v>
      </c>
      <c r="B857" t="s">
        <v>34</v>
      </c>
      <c r="C857" t="s">
        <v>35</v>
      </c>
      <c r="D857" t="s">
        <v>36</v>
      </c>
      <c r="E857" t="s">
        <v>19</v>
      </c>
      <c r="F857" t="s">
        <v>37</v>
      </c>
      <c r="G857" t="s">
        <v>622</v>
      </c>
      <c r="H857" t="s">
        <v>714</v>
      </c>
      <c r="I857">
        <f>2*30+14</f>
        <v>74</v>
      </c>
      <c r="J857" t="s">
        <v>51</v>
      </c>
      <c r="K857" t="s">
        <v>39</v>
      </c>
      <c r="L857" t="str">
        <f t="shared" si="121"/>
        <v>Control</v>
      </c>
      <c r="Q857" t="s">
        <v>412</v>
      </c>
      <c r="R857" t="s">
        <v>709</v>
      </c>
      <c r="S857" t="s">
        <v>703</v>
      </c>
      <c r="T857" t="s">
        <v>616</v>
      </c>
      <c r="U857" s="1"/>
      <c r="V857" s="1"/>
      <c r="W857" s="1"/>
      <c r="X857" s="1"/>
      <c r="Y857" s="1"/>
      <c r="Z857" s="1"/>
      <c r="AA857" s="1">
        <v>3.9700000000000002E-7</v>
      </c>
      <c r="AE857" s="2"/>
      <c r="AF857" s="2"/>
      <c r="AJ857" t="s">
        <v>608</v>
      </c>
    </row>
    <row r="858" spans="1:36" x14ac:dyDescent="0.25">
      <c r="A858" t="s">
        <v>605</v>
      </c>
      <c r="B858" t="s">
        <v>34</v>
      </c>
      <c r="C858" t="s">
        <v>35</v>
      </c>
      <c r="D858" t="s">
        <v>36</v>
      </c>
      <c r="E858" t="s">
        <v>19</v>
      </c>
      <c r="F858" t="s">
        <v>37</v>
      </c>
      <c r="G858" t="s">
        <v>622</v>
      </c>
      <c r="H858" t="s">
        <v>714</v>
      </c>
      <c r="I858">
        <f>2*30+14</f>
        <v>74</v>
      </c>
      <c r="J858" t="s">
        <v>51</v>
      </c>
      <c r="K858" t="s">
        <v>51</v>
      </c>
      <c r="L858" t="str">
        <f t="shared" si="121"/>
        <v>Stress</v>
      </c>
      <c r="Q858" t="s">
        <v>412</v>
      </c>
      <c r="R858" t="s">
        <v>709</v>
      </c>
      <c r="S858" t="s">
        <v>703</v>
      </c>
      <c r="T858" t="s">
        <v>616</v>
      </c>
      <c r="U858" s="1"/>
      <c r="V858" s="1"/>
      <c r="W858" s="1"/>
      <c r="X858" s="1"/>
      <c r="Y858" s="1"/>
      <c r="Z858" s="1"/>
      <c r="AA858" s="1">
        <v>1.4100000000000001E-7</v>
      </c>
      <c r="AE858" s="2"/>
      <c r="AF858" s="2"/>
      <c r="AJ858" t="s">
        <v>608</v>
      </c>
    </row>
    <row r="859" spans="1:36" x14ac:dyDescent="0.25">
      <c r="A859" t="s">
        <v>603</v>
      </c>
      <c r="B859" t="s">
        <v>604</v>
      </c>
      <c r="C859" t="s">
        <v>177</v>
      </c>
      <c r="D859" t="s">
        <v>178</v>
      </c>
      <c r="E859" t="s">
        <v>19</v>
      </c>
      <c r="F859" t="s">
        <v>72</v>
      </c>
      <c r="G859" t="s">
        <v>624</v>
      </c>
      <c r="H859" t="s">
        <v>713</v>
      </c>
      <c r="J859" t="s">
        <v>778</v>
      </c>
      <c r="Q859" t="s">
        <v>412</v>
      </c>
      <c r="R859" t="s">
        <v>709</v>
      </c>
      <c r="S859" t="s">
        <v>703</v>
      </c>
      <c r="T859" t="s">
        <v>615</v>
      </c>
      <c r="U859" s="1"/>
      <c r="V859" s="1"/>
      <c r="W859" s="1"/>
      <c r="X859" s="1"/>
      <c r="Y859" s="1"/>
      <c r="Z859" s="1"/>
      <c r="AB859" s="1">
        <f>1/(20600000)</f>
        <v>4.8543689320388351E-8</v>
      </c>
      <c r="AE859" s="2"/>
      <c r="AF859" s="2"/>
      <c r="AJ859" t="s">
        <v>47</v>
      </c>
    </row>
    <row r="860" spans="1:36" x14ac:dyDescent="0.25">
      <c r="A860" t="s">
        <v>188</v>
      </c>
      <c r="B860" t="s">
        <v>189</v>
      </c>
      <c r="C860" t="s">
        <v>190</v>
      </c>
      <c r="D860" t="s">
        <v>191</v>
      </c>
      <c r="E860" t="s">
        <v>19</v>
      </c>
      <c r="F860" t="s">
        <v>37</v>
      </c>
      <c r="G860" t="s">
        <v>622</v>
      </c>
      <c r="H860" t="s">
        <v>714</v>
      </c>
      <c r="I860">
        <f t="shared" ref="I860:I868" si="122">+AVERAGE(3,8)*7</f>
        <v>38.5</v>
      </c>
      <c r="J860" t="s">
        <v>760</v>
      </c>
      <c r="K860" t="s">
        <v>467</v>
      </c>
      <c r="L860" t="s">
        <v>716</v>
      </c>
      <c r="Q860" t="s">
        <v>411</v>
      </c>
      <c r="R860" t="s">
        <v>709</v>
      </c>
      <c r="S860" t="s">
        <v>703</v>
      </c>
      <c r="T860" t="s">
        <v>615</v>
      </c>
      <c r="U860" s="1" t="s">
        <v>755</v>
      </c>
      <c r="V860" s="1">
        <f>'[109]Yang&amp;Grantz_1996_Fig7'!D8</f>
        <v>2.41858786133791E-9</v>
      </c>
      <c r="W860" s="1"/>
      <c r="X860" s="1"/>
      <c r="Y860" s="1"/>
      <c r="Z860" s="1"/>
      <c r="AB860" s="1"/>
      <c r="AE860" s="2"/>
      <c r="AF860" s="2"/>
      <c r="AH860" s="5">
        <f>'[109]Yang&amp;Grantz_1996_Fig7'!C8</f>
        <v>5.9264501866277498E-2</v>
      </c>
      <c r="AJ860" t="s">
        <v>47</v>
      </c>
    </row>
    <row r="861" spans="1:36" x14ac:dyDescent="0.25">
      <c r="A861" t="s">
        <v>188</v>
      </c>
      <c r="B861" t="s">
        <v>189</v>
      </c>
      <c r="C861" t="s">
        <v>190</v>
      </c>
      <c r="D861" t="s">
        <v>191</v>
      </c>
      <c r="E861" t="s">
        <v>19</v>
      </c>
      <c r="F861" t="s">
        <v>37</v>
      </c>
      <c r="G861" t="s">
        <v>622</v>
      </c>
      <c r="H861" t="s">
        <v>714</v>
      </c>
      <c r="I861">
        <f t="shared" si="122"/>
        <v>38.5</v>
      </c>
      <c r="J861" t="s">
        <v>760</v>
      </c>
      <c r="K861" t="s">
        <v>467</v>
      </c>
      <c r="L861" t="s">
        <v>716</v>
      </c>
      <c r="Q861" t="s">
        <v>412</v>
      </c>
      <c r="R861" t="s">
        <v>709</v>
      </c>
      <c r="S861" t="s">
        <v>703</v>
      </c>
      <c r="T861" t="s">
        <v>615</v>
      </c>
      <c r="U861" s="1" t="s">
        <v>755</v>
      </c>
      <c r="V861" s="1">
        <f>'[109]Yang&amp;Grantz_1996_Fig7'!D9</f>
        <v>7.0663911070891223E-9</v>
      </c>
      <c r="W861" s="1"/>
      <c r="X861" s="1"/>
      <c r="Y861" s="1"/>
      <c r="Z861" s="1"/>
      <c r="AB861" s="1"/>
      <c r="AE861" s="2"/>
      <c r="AF861" s="2"/>
      <c r="AH861" s="5">
        <f>'[109]Yang&amp;Grantz_1996_Fig7'!C9</f>
        <v>0.1190892908447397</v>
      </c>
      <c r="AJ861" t="s">
        <v>47</v>
      </c>
    </row>
    <row r="862" spans="1:36" x14ac:dyDescent="0.25">
      <c r="A862" t="s">
        <v>188</v>
      </c>
      <c r="B862" t="s">
        <v>189</v>
      </c>
      <c r="C862" t="s">
        <v>190</v>
      </c>
      <c r="D862" t="s">
        <v>191</v>
      </c>
      <c r="E862" t="s">
        <v>19</v>
      </c>
      <c r="F862" t="s">
        <v>37</v>
      </c>
      <c r="G862" t="s">
        <v>622</v>
      </c>
      <c r="H862" t="s">
        <v>714</v>
      </c>
      <c r="I862">
        <f t="shared" si="122"/>
        <v>38.5</v>
      </c>
      <c r="J862" t="s">
        <v>760</v>
      </c>
      <c r="K862" t="s">
        <v>467</v>
      </c>
      <c r="L862" t="s">
        <v>716</v>
      </c>
      <c r="Q862" t="s">
        <v>413</v>
      </c>
      <c r="R862" t="s">
        <v>709</v>
      </c>
      <c r="S862" t="s">
        <v>703</v>
      </c>
      <c r="T862" t="s">
        <v>615</v>
      </c>
      <c r="U862" s="1" t="s">
        <v>755</v>
      </c>
      <c r="V862" s="1">
        <f>'[109]Yang&amp;Grantz_1996_Fig7'!D10</f>
        <v>1.54333314763407E-8</v>
      </c>
      <c r="W862" s="1"/>
      <c r="X862" s="1"/>
      <c r="Y862" s="1"/>
      <c r="Z862" s="1"/>
      <c r="AB862" s="1"/>
      <c r="AE862" s="2"/>
      <c r="AF862" s="2"/>
      <c r="AH862" s="5">
        <f>'[109]Yang&amp;Grantz_1996_Fig7'!C10</f>
        <v>0.202214005030185</v>
      </c>
      <c r="AJ862" t="s">
        <v>47</v>
      </c>
    </row>
    <row r="863" spans="1:36" x14ac:dyDescent="0.25">
      <c r="A863" t="s">
        <v>188</v>
      </c>
      <c r="B863" t="s">
        <v>189</v>
      </c>
      <c r="C863" t="s">
        <v>190</v>
      </c>
      <c r="D863" t="s">
        <v>191</v>
      </c>
      <c r="E863" t="s">
        <v>19</v>
      </c>
      <c r="F863" t="s">
        <v>37</v>
      </c>
      <c r="G863" t="s">
        <v>622</v>
      </c>
      <c r="H863" t="s">
        <v>714</v>
      </c>
      <c r="I863">
        <f t="shared" si="122"/>
        <v>38.5</v>
      </c>
      <c r="J863" t="s">
        <v>760</v>
      </c>
      <c r="K863" t="s">
        <v>466</v>
      </c>
      <c r="L863" t="s">
        <v>716</v>
      </c>
      <c r="Q863" t="s">
        <v>411</v>
      </c>
      <c r="R863" t="s">
        <v>709</v>
      </c>
      <c r="S863" t="s">
        <v>703</v>
      </c>
      <c r="T863" t="s">
        <v>615</v>
      </c>
      <c r="U863" s="1" t="s">
        <v>755</v>
      </c>
      <c r="V863" s="1">
        <f>'[109]Yang&amp;Grantz_1996_Fig7'!D19</f>
        <v>4.2634080523726196E-9</v>
      </c>
      <c r="W863" s="1"/>
      <c r="X863" s="1"/>
      <c r="Y863" s="1"/>
      <c r="Z863" s="1"/>
      <c r="AB863" s="1"/>
      <c r="AE863" s="2"/>
      <c r="AF863" s="2"/>
      <c r="AH863" s="5">
        <f>'[109]Yang&amp;Grantz_1996_Fig7'!C19</f>
        <v>7.7928550852835093E-2</v>
      </c>
      <c r="AJ863" t="s">
        <v>203</v>
      </c>
    </row>
    <row r="864" spans="1:36" x14ac:dyDescent="0.25">
      <c r="A864" t="s">
        <v>188</v>
      </c>
      <c r="B864" t="s">
        <v>189</v>
      </c>
      <c r="C864" t="s">
        <v>190</v>
      </c>
      <c r="D864" t="s">
        <v>191</v>
      </c>
      <c r="E864" t="s">
        <v>19</v>
      </c>
      <c r="F864" t="s">
        <v>37</v>
      </c>
      <c r="G864" t="s">
        <v>622</v>
      </c>
      <c r="H864" t="s">
        <v>714</v>
      </c>
      <c r="I864">
        <f t="shared" si="122"/>
        <v>38.5</v>
      </c>
      <c r="J864" t="s">
        <v>760</v>
      </c>
      <c r="K864" t="s">
        <v>466</v>
      </c>
      <c r="L864" t="s">
        <v>716</v>
      </c>
      <c r="Q864" t="s">
        <v>412</v>
      </c>
      <c r="R864" t="s">
        <v>709</v>
      </c>
      <c r="S864" t="s">
        <v>703</v>
      </c>
      <c r="T864" t="s">
        <v>615</v>
      </c>
      <c r="U864" s="1" t="s">
        <v>755</v>
      </c>
      <c r="V864" s="1">
        <f>'[109]Yang&amp;Grantz_1996_Fig7'!D20</f>
        <v>6.8037203342866557E-9</v>
      </c>
      <c r="W864" s="1"/>
      <c r="X864" s="1"/>
      <c r="Y864" s="1"/>
      <c r="Z864" s="1"/>
      <c r="AB864" s="1"/>
      <c r="AE864" s="2"/>
      <c r="AF864" s="2"/>
      <c r="AH864" s="5">
        <f>'[109]Yang&amp;Grantz_1996_Fig7'!C20</f>
        <v>0.11593217618815889</v>
      </c>
      <c r="AJ864" t="s">
        <v>203</v>
      </c>
    </row>
    <row r="865" spans="1:36" x14ac:dyDescent="0.25">
      <c r="A865" t="s">
        <v>188</v>
      </c>
      <c r="B865" t="s">
        <v>189</v>
      </c>
      <c r="C865" t="s">
        <v>190</v>
      </c>
      <c r="D865" t="s">
        <v>191</v>
      </c>
      <c r="E865" t="s">
        <v>19</v>
      </c>
      <c r="F865" t="s">
        <v>37</v>
      </c>
      <c r="G865" t="s">
        <v>622</v>
      </c>
      <c r="H865" t="s">
        <v>714</v>
      </c>
      <c r="I865">
        <f t="shared" si="122"/>
        <v>38.5</v>
      </c>
      <c r="J865" t="s">
        <v>760</v>
      </c>
      <c r="K865" t="s">
        <v>466</v>
      </c>
      <c r="L865" t="s">
        <v>716</v>
      </c>
      <c r="Q865" t="s">
        <v>413</v>
      </c>
      <c r="R865" t="s">
        <v>709</v>
      </c>
      <c r="S865" t="s">
        <v>703</v>
      </c>
      <c r="T865" t="s">
        <v>615</v>
      </c>
      <c r="U865" s="1" t="s">
        <v>755</v>
      </c>
      <c r="V865" s="1">
        <f>'[109]Yang&amp;Grantz_1996_Fig7'!D21</f>
        <v>9.2215781628546201E-9</v>
      </c>
      <c r="W865" s="1"/>
      <c r="X865" s="1"/>
      <c r="Y865" s="1"/>
      <c r="Z865" s="1"/>
      <c r="AB865" s="1"/>
      <c r="AE865" s="2"/>
      <c r="AF865" s="2"/>
      <c r="AH865" s="5">
        <f>'[109]Yang&amp;Grantz_1996_Fig7'!C21</f>
        <v>0.15123446410591901</v>
      </c>
      <c r="AJ865" t="s">
        <v>203</v>
      </c>
    </row>
    <row r="866" spans="1:36" x14ac:dyDescent="0.25">
      <c r="A866" t="s">
        <v>188</v>
      </c>
      <c r="B866" t="s">
        <v>189</v>
      </c>
      <c r="C866" t="s">
        <v>190</v>
      </c>
      <c r="D866" t="s">
        <v>191</v>
      </c>
      <c r="E866" t="s">
        <v>19</v>
      </c>
      <c r="F866" t="s">
        <v>37</v>
      </c>
      <c r="G866" t="s">
        <v>622</v>
      </c>
      <c r="H866" t="s">
        <v>714</v>
      </c>
      <c r="I866">
        <f t="shared" si="122"/>
        <v>38.5</v>
      </c>
      <c r="J866" t="s">
        <v>760</v>
      </c>
      <c r="K866" t="s">
        <v>466</v>
      </c>
      <c r="L866" t="s">
        <v>716</v>
      </c>
      <c r="Q866" t="s">
        <v>411</v>
      </c>
      <c r="R866" t="s">
        <v>709</v>
      </c>
      <c r="S866" t="s">
        <v>703</v>
      </c>
      <c r="T866" t="s">
        <v>615</v>
      </c>
      <c r="U866" s="1" t="s">
        <v>755</v>
      </c>
      <c r="V866" s="1">
        <f>'[109]Yang&amp;Grantz_1996_Fig7'!D31</f>
        <v>5.0874484967645304E-9</v>
      </c>
      <c r="W866" s="1"/>
      <c r="X866" s="1"/>
      <c r="Y866" s="1"/>
      <c r="Z866" s="1"/>
      <c r="AB866" s="1"/>
      <c r="AE866" s="2"/>
      <c r="AF866" s="2"/>
      <c r="AH866" s="5">
        <f>'[109]Yang&amp;Grantz_1996_Fig7'!C31</f>
        <v>7.7544272287647195E-2</v>
      </c>
      <c r="AJ866" t="s">
        <v>47</v>
      </c>
    </row>
    <row r="867" spans="1:36" x14ac:dyDescent="0.25">
      <c r="A867" t="s">
        <v>188</v>
      </c>
      <c r="B867" t="s">
        <v>189</v>
      </c>
      <c r="C867" t="s">
        <v>190</v>
      </c>
      <c r="D867" t="s">
        <v>191</v>
      </c>
      <c r="E867" t="s">
        <v>19</v>
      </c>
      <c r="F867" t="s">
        <v>37</v>
      </c>
      <c r="G867" t="s">
        <v>622</v>
      </c>
      <c r="H867" t="s">
        <v>714</v>
      </c>
      <c r="I867">
        <f t="shared" si="122"/>
        <v>38.5</v>
      </c>
      <c r="J867" t="s">
        <v>760</v>
      </c>
      <c r="K867" t="s">
        <v>466</v>
      </c>
      <c r="L867" t="s">
        <v>716</v>
      </c>
      <c r="Q867" t="s">
        <v>412</v>
      </c>
      <c r="R867" t="s">
        <v>709</v>
      </c>
      <c r="S867" t="s">
        <v>703</v>
      </c>
      <c r="T867" t="s">
        <v>615</v>
      </c>
      <c r="U867" s="1" t="s">
        <v>755</v>
      </c>
      <c r="V867" s="1">
        <f>'[109]Yang&amp;Grantz_1996_Fig7'!D32</f>
        <v>9.6078854546604429E-9</v>
      </c>
      <c r="W867" s="1"/>
      <c r="X867" s="1"/>
      <c r="Y867" s="1"/>
      <c r="Z867" s="1"/>
      <c r="AB867" s="1"/>
      <c r="AE867" s="2"/>
      <c r="AF867" s="2"/>
      <c r="AH867" s="5">
        <f>'[109]Yang&amp;Grantz_1996_Fig7'!C32</f>
        <v>0.11905980353924644</v>
      </c>
      <c r="AJ867" t="s">
        <v>47</v>
      </c>
    </row>
    <row r="868" spans="1:36" x14ac:dyDescent="0.25">
      <c r="A868" t="s">
        <v>188</v>
      </c>
      <c r="B868" t="s">
        <v>189</v>
      </c>
      <c r="C868" t="s">
        <v>190</v>
      </c>
      <c r="D868" t="s">
        <v>191</v>
      </c>
      <c r="E868" t="s">
        <v>19</v>
      </c>
      <c r="F868" t="s">
        <v>37</v>
      </c>
      <c r="G868" t="s">
        <v>622</v>
      </c>
      <c r="H868" t="s">
        <v>714</v>
      </c>
      <c r="I868">
        <f t="shared" si="122"/>
        <v>38.5</v>
      </c>
      <c r="J868" t="s">
        <v>760</v>
      </c>
      <c r="K868" t="s">
        <v>466</v>
      </c>
      <c r="L868" t="s">
        <v>716</v>
      </c>
      <c r="Q868" t="s">
        <v>413</v>
      </c>
      <c r="R868" t="s">
        <v>709</v>
      </c>
      <c r="S868" t="s">
        <v>703</v>
      </c>
      <c r="T868" t="s">
        <v>615</v>
      </c>
      <c r="U868" s="1" t="s">
        <v>755</v>
      </c>
      <c r="V868" s="1">
        <f>'[109]Yang&amp;Grantz_1996_Fig7'!D33</f>
        <v>1.1611946531296399E-8</v>
      </c>
      <c r="W868" s="1"/>
      <c r="X868" s="1"/>
      <c r="Y868" s="1"/>
      <c r="Z868" s="1"/>
      <c r="AB868" s="1"/>
      <c r="AE868" s="2"/>
      <c r="AF868" s="2"/>
      <c r="AH868" s="5">
        <f>'[109]Yang&amp;Grantz_1996_Fig7'!C33</f>
        <v>0.15287985575244201</v>
      </c>
      <c r="AJ868" t="s">
        <v>47</v>
      </c>
    </row>
    <row r="869" spans="1:36" x14ac:dyDescent="0.25">
      <c r="A869" t="s">
        <v>335</v>
      </c>
      <c r="B869" t="s">
        <v>298</v>
      </c>
      <c r="C869" t="s">
        <v>142</v>
      </c>
      <c r="D869" t="s">
        <v>143</v>
      </c>
      <c r="E869" t="s">
        <v>19</v>
      </c>
      <c r="F869" t="s">
        <v>72</v>
      </c>
      <c r="G869" t="s">
        <v>624</v>
      </c>
      <c r="H869" t="s">
        <v>713</v>
      </c>
      <c r="I869">
        <f>+AVERAGE(2.5,4.2)*30</f>
        <v>100.5</v>
      </c>
      <c r="J869" t="s">
        <v>594</v>
      </c>
      <c r="K869" t="s">
        <v>385</v>
      </c>
      <c r="L869" t="str">
        <f t="shared" ref="L869:L888" si="123">+IF(K869 = "Control", "Control", "Stress")</f>
        <v>Stress</v>
      </c>
      <c r="Q869" t="s">
        <v>412</v>
      </c>
      <c r="R869" t="s">
        <v>709</v>
      </c>
      <c r="S869" t="s">
        <v>703</v>
      </c>
      <c r="T869" t="s">
        <v>615</v>
      </c>
      <c r="U869" s="1" t="s">
        <v>755</v>
      </c>
      <c r="V869" s="1">
        <v>8.6000000000000003E-10</v>
      </c>
      <c r="W869" s="1">
        <v>8.6000000000000003E-10</v>
      </c>
      <c r="X869" s="2"/>
      <c r="Y869" s="2"/>
      <c r="Z869" s="1"/>
      <c r="AA869" s="1">
        <v>3.1E-8</v>
      </c>
      <c r="AC869">
        <v>372.4</v>
      </c>
      <c r="AE869" s="2"/>
      <c r="AF869" s="2">
        <v>7.1</v>
      </c>
      <c r="AJ869" t="s">
        <v>202</v>
      </c>
    </row>
    <row r="870" spans="1:36" x14ac:dyDescent="0.25">
      <c r="A870" t="s">
        <v>335</v>
      </c>
      <c r="B870" t="s">
        <v>298</v>
      </c>
      <c r="C870" t="s">
        <v>142</v>
      </c>
      <c r="D870" t="s">
        <v>143</v>
      </c>
      <c r="E870" t="s">
        <v>19</v>
      </c>
      <c r="F870" t="s">
        <v>72</v>
      </c>
      <c r="G870" t="s">
        <v>624</v>
      </c>
      <c r="H870" t="s">
        <v>713</v>
      </c>
      <c r="I870">
        <f>+AVERAGE(2.5,4.2)*30</f>
        <v>100.5</v>
      </c>
      <c r="J870" t="s">
        <v>594</v>
      </c>
      <c r="K870" t="s">
        <v>39</v>
      </c>
      <c r="L870" t="str">
        <f t="shared" si="123"/>
        <v>Control</v>
      </c>
      <c r="Q870" t="s">
        <v>412</v>
      </c>
      <c r="R870" t="s">
        <v>709</v>
      </c>
      <c r="S870" t="s">
        <v>703</v>
      </c>
      <c r="T870" t="s">
        <v>615</v>
      </c>
      <c r="U870" s="1" t="s">
        <v>755</v>
      </c>
      <c r="V870" s="1">
        <v>1.0800000000000002E-9</v>
      </c>
      <c r="W870" s="1">
        <v>1.0800000000000002E-9</v>
      </c>
      <c r="X870" s="2"/>
      <c r="Y870" s="2"/>
      <c r="Z870" s="1"/>
      <c r="AA870" s="1">
        <v>2.4999999999999999E-8</v>
      </c>
      <c r="AC870">
        <v>461.8</v>
      </c>
      <c r="AE870" s="2"/>
      <c r="AF870" s="2">
        <v>13.9</v>
      </c>
      <c r="AJ870" t="s">
        <v>202</v>
      </c>
    </row>
    <row r="871" spans="1:36" x14ac:dyDescent="0.25">
      <c r="A871" t="s">
        <v>335</v>
      </c>
      <c r="B871" t="s">
        <v>298</v>
      </c>
      <c r="C871" t="s">
        <v>142</v>
      </c>
      <c r="D871" t="s">
        <v>143</v>
      </c>
      <c r="E871" t="s">
        <v>19</v>
      </c>
      <c r="F871" t="s">
        <v>72</v>
      </c>
      <c r="G871" t="s">
        <v>624</v>
      </c>
      <c r="H871" t="s">
        <v>713</v>
      </c>
      <c r="I871">
        <f>+AVERAGE(5.3,7.9)*30</f>
        <v>198</v>
      </c>
      <c r="J871" t="s">
        <v>594</v>
      </c>
      <c r="K871" t="s">
        <v>385</v>
      </c>
      <c r="L871" t="str">
        <f t="shared" si="123"/>
        <v>Stress</v>
      </c>
      <c r="Q871" t="s">
        <v>412</v>
      </c>
      <c r="R871" t="s">
        <v>709</v>
      </c>
      <c r="S871" t="s">
        <v>703</v>
      </c>
      <c r="T871" t="s">
        <v>615</v>
      </c>
      <c r="U871" s="1" t="s">
        <v>755</v>
      </c>
      <c r="V871" s="1">
        <v>8.9999999999999999E-10</v>
      </c>
      <c r="W871" s="1">
        <v>8.9999999999999999E-10</v>
      </c>
      <c r="X871" s="2"/>
      <c r="Y871" s="2"/>
      <c r="Z871" s="1"/>
      <c r="AA871" s="1">
        <v>1.5000000000000002E-8</v>
      </c>
      <c r="AC871">
        <v>718.3</v>
      </c>
      <c r="AE871" s="2"/>
      <c r="AF871" s="2">
        <v>20.7</v>
      </c>
      <c r="AJ871" t="s">
        <v>202</v>
      </c>
    </row>
    <row r="872" spans="1:36" x14ac:dyDescent="0.25">
      <c r="A872" t="s">
        <v>335</v>
      </c>
      <c r="B872" t="s">
        <v>298</v>
      </c>
      <c r="C872" t="s">
        <v>142</v>
      </c>
      <c r="D872" t="s">
        <v>143</v>
      </c>
      <c r="E872" t="s">
        <v>19</v>
      </c>
      <c r="F872" t="s">
        <v>72</v>
      </c>
      <c r="G872" t="s">
        <v>624</v>
      </c>
      <c r="H872" t="s">
        <v>713</v>
      </c>
      <c r="I872">
        <f>+AVERAGE(5.3,7.9)*30</f>
        <v>198</v>
      </c>
      <c r="J872" t="s">
        <v>594</v>
      </c>
      <c r="K872" t="s">
        <v>39</v>
      </c>
      <c r="L872" t="str">
        <f t="shared" si="123"/>
        <v>Control</v>
      </c>
      <c r="Q872" t="s">
        <v>412</v>
      </c>
      <c r="R872" t="s">
        <v>709</v>
      </c>
      <c r="S872" t="s">
        <v>703</v>
      </c>
      <c r="T872" t="s">
        <v>615</v>
      </c>
      <c r="U872" s="1" t="s">
        <v>755</v>
      </c>
      <c r="V872" s="1">
        <v>1.4599999999999999E-9</v>
      </c>
      <c r="W872" s="1">
        <v>1.4599999999999999E-9</v>
      </c>
      <c r="X872" s="2"/>
      <c r="Y872" s="2"/>
      <c r="Z872" s="1"/>
      <c r="AA872" s="1">
        <v>7.7000000000000011E-9</v>
      </c>
      <c r="AC872">
        <v>2485.6999999999998</v>
      </c>
      <c r="AE872" s="2"/>
      <c r="AF872" s="2">
        <v>60.7</v>
      </c>
      <c r="AJ872" t="s">
        <v>202</v>
      </c>
    </row>
    <row r="873" spans="1:36" x14ac:dyDescent="0.25">
      <c r="A873" t="s">
        <v>335</v>
      </c>
      <c r="B873" t="s">
        <v>361</v>
      </c>
      <c r="C873" t="s">
        <v>142</v>
      </c>
      <c r="D873" t="s">
        <v>143</v>
      </c>
      <c r="E873" t="s">
        <v>19</v>
      </c>
      <c r="F873" t="s">
        <v>72</v>
      </c>
      <c r="G873" t="s">
        <v>624</v>
      </c>
      <c r="H873" t="s">
        <v>713</v>
      </c>
      <c r="I873">
        <f>+AVERAGE(2.9,4.3)*30</f>
        <v>107.99999999999999</v>
      </c>
      <c r="J873" t="s">
        <v>594</v>
      </c>
      <c r="K873" t="s">
        <v>385</v>
      </c>
      <c r="L873" t="str">
        <f t="shared" si="123"/>
        <v>Stress</v>
      </c>
      <c r="Q873" t="s">
        <v>412</v>
      </c>
      <c r="R873" t="s">
        <v>709</v>
      </c>
      <c r="S873" t="s">
        <v>703</v>
      </c>
      <c r="T873" t="s">
        <v>615</v>
      </c>
      <c r="U873" s="1" t="s">
        <v>755</v>
      </c>
      <c r="V873" s="1">
        <v>1E-10</v>
      </c>
      <c r="W873" s="1">
        <v>1E-10</v>
      </c>
      <c r="X873" s="2"/>
      <c r="Y873" s="2"/>
      <c r="Z873" s="1"/>
      <c r="AA873" s="1">
        <v>5.7999999999999998E-9</v>
      </c>
      <c r="AC873">
        <v>222.3</v>
      </c>
      <c r="AE873" s="2"/>
      <c r="AF873" s="2">
        <v>4</v>
      </c>
      <c r="AJ873" t="s">
        <v>202</v>
      </c>
    </row>
    <row r="874" spans="1:36" x14ac:dyDescent="0.25">
      <c r="A874" t="s">
        <v>335</v>
      </c>
      <c r="B874" t="s">
        <v>361</v>
      </c>
      <c r="C874" t="s">
        <v>142</v>
      </c>
      <c r="D874" t="s">
        <v>143</v>
      </c>
      <c r="E874" t="s">
        <v>19</v>
      </c>
      <c r="F874" t="s">
        <v>72</v>
      </c>
      <c r="G874" t="s">
        <v>624</v>
      </c>
      <c r="H874" t="s">
        <v>713</v>
      </c>
      <c r="I874">
        <f>+AVERAGE(2.9,4.3)*30</f>
        <v>107.99999999999999</v>
      </c>
      <c r="J874" t="s">
        <v>594</v>
      </c>
      <c r="K874" t="s">
        <v>39</v>
      </c>
      <c r="L874" t="str">
        <f t="shared" si="123"/>
        <v>Control</v>
      </c>
      <c r="Q874" t="s">
        <v>412</v>
      </c>
      <c r="R874" t="s">
        <v>709</v>
      </c>
      <c r="S874" t="s">
        <v>703</v>
      </c>
      <c r="T874" t="s">
        <v>615</v>
      </c>
      <c r="U874" s="1" t="s">
        <v>755</v>
      </c>
      <c r="V874" s="1">
        <v>3.1000000000000002E-10</v>
      </c>
      <c r="W874" s="1">
        <v>3.1000000000000002E-10</v>
      </c>
      <c r="X874" s="2"/>
      <c r="Y874" s="2"/>
      <c r="Z874" s="1"/>
      <c r="AA874" s="1">
        <v>6E-9</v>
      </c>
      <c r="AC874">
        <v>609.9</v>
      </c>
      <c r="AE874" s="2"/>
      <c r="AF874" s="2">
        <v>11.7</v>
      </c>
      <c r="AJ874" t="s">
        <v>202</v>
      </c>
    </row>
    <row r="875" spans="1:36" x14ac:dyDescent="0.25">
      <c r="A875" t="s">
        <v>335</v>
      </c>
      <c r="B875" t="s">
        <v>361</v>
      </c>
      <c r="C875" t="s">
        <v>142</v>
      </c>
      <c r="D875" t="s">
        <v>143</v>
      </c>
      <c r="E875" t="s">
        <v>19</v>
      </c>
      <c r="F875" t="s">
        <v>72</v>
      </c>
      <c r="G875" t="s">
        <v>624</v>
      </c>
      <c r="H875" t="s">
        <v>713</v>
      </c>
      <c r="I875">
        <f>+AVERAGE(4.7,5.5)*30</f>
        <v>153</v>
      </c>
      <c r="J875" t="s">
        <v>594</v>
      </c>
      <c r="K875" t="s">
        <v>385</v>
      </c>
      <c r="L875" t="str">
        <f t="shared" si="123"/>
        <v>Stress</v>
      </c>
      <c r="Q875" t="s">
        <v>412</v>
      </c>
      <c r="R875" t="s">
        <v>709</v>
      </c>
      <c r="S875" t="s">
        <v>703</v>
      </c>
      <c r="T875" t="s">
        <v>615</v>
      </c>
      <c r="U875" s="1" t="s">
        <v>755</v>
      </c>
      <c r="V875" s="1">
        <v>2.5000000000000002E-10</v>
      </c>
      <c r="W875" s="1">
        <v>2.5000000000000002E-10</v>
      </c>
      <c r="X875" s="2"/>
      <c r="Y875" s="2"/>
      <c r="Z875" s="1"/>
      <c r="AA875" s="1">
        <v>4.8E-9</v>
      </c>
      <c r="AC875">
        <v>509.7</v>
      </c>
      <c r="AE875" s="2"/>
      <c r="AF875" s="2">
        <v>8</v>
      </c>
      <c r="AJ875" t="s">
        <v>202</v>
      </c>
    </row>
    <row r="876" spans="1:36" x14ac:dyDescent="0.25">
      <c r="A876" t="s">
        <v>335</v>
      </c>
      <c r="B876" t="s">
        <v>361</v>
      </c>
      <c r="C876" t="s">
        <v>142</v>
      </c>
      <c r="D876" t="s">
        <v>143</v>
      </c>
      <c r="E876" t="s">
        <v>19</v>
      </c>
      <c r="F876" t="s">
        <v>72</v>
      </c>
      <c r="G876" t="s">
        <v>624</v>
      </c>
      <c r="H876" t="s">
        <v>713</v>
      </c>
      <c r="I876">
        <f>+AVERAGE(4.7,5.5)*30</f>
        <v>153</v>
      </c>
      <c r="J876" t="s">
        <v>594</v>
      </c>
      <c r="K876" t="s">
        <v>39</v>
      </c>
      <c r="L876" t="str">
        <f t="shared" si="123"/>
        <v>Control</v>
      </c>
      <c r="Q876" t="s">
        <v>412</v>
      </c>
      <c r="R876" t="s">
        <v>709</v>
      </c>
      <c r="S876" t="s">
        <v>703</v>
      </c>
      <c r="T876" t="s">
        <v>615</v>
      </c>
      <c r="U876" s="1" t="s">
        <v>755</v>
      </c>
      <c r="V876" s="1">
        <v>4.9000000000000007E-10</v>
      </c>
      <c r="W876" s="1">
        <v>4.9000000000000007E-10</v>
      </c>
      <c r="X876" s="2"/>
      <c r="Y876" s="2"/>
      <c r="Z876" s="1"/>
      <c r="AA876" s="1">
        <v>6.9999999999999998E-9</v>
      </c>
      <c r="AC876">
        <v>664.9</v>
      </c>
      <c r="AE876" s="2"/>
      <c r="AF876" s="2">
        <v>15.1</v>
      </c>
      <c r="AJ876" t="s">
        <v>202</v>
      </c>
    </row>
    <row r="877" spans="1:36" x14ac:dyDescent="0.25">
      <c r="A877" t="s">
        <v>335</v>
      </c>
      <c r="B877" t="s">
        <v>298</v>
      </c>
      <c r="C877" t="s">
        <v>142</v>
      </c>
      <c r="D877" t="s">
        <v>143</v>
      </c>
      <c r="E877" t="s">
        <v>19</v>
      </c>
      <c r="F877" t="s">
        <v>72</v>
      </c>
      <c r="G877" t="s">
        <v>624</v>
      </c>
      <c r="H877" t="s">
        <v>713</v>
      </c>
      <c r="I877">
        <f>+AVERAGE(2.5,4.2)*30</f>
        <v>100.5</v>
      </c>
      <c r="J877" t="s">
        <v>594</v>
      </c>
      <c r="K877" t="s">
        <v>385</v>
      </c>
      <c r="L877" t="str">
        <f t="shared" si="123"/>
        <v>Stress</v>
      </c>
      <c r="Q877" t="s">
        <v>412</v>
      </c>
      <c r="R877" t="s">
        <v>709</v>
      </c>
      <c r="S877" t="s">
        <v>703</v>
      </c>
      <c r="T877" t="s">
        <v>616</v>
      </c>
      <c r="U877" s="1" t="s">
        <v>755</v>
      </c>
      <c r="V877" s="1">
        <v>1.4000000000000002E-11</v>
      </c>
      <c r="W877" s="1">
        <v>1.4000000000000002E-11</v>
      </c>
      <c r="X877" s="2"/>
      <c r="Y877" s="2"/>
      <c r="Z877" s="1"/>
      <c r="AA877" s="1">
        <v>2.7E-10</v>
      </c>
      <c r="AC877">
        <v>372.4</v>
      </c>
      <c r="AE877" s="2"/>
      <c r="AF877" s="2">
        <v>7.1</v>
      </c>
      <c r="AJ877" t="s">
        <v>202</v>
      </c>
    </row>
    <row r="878" spans="1:36" x14ac:dyDescent="0.25">
      <c r="A878" t="s">
        <v>335</v>
      </c>
      <c r="B878" t="s">
        <v>298</v>
      </c>
      <c r="C878" t="s">
        <v>142</v>
      </c>
      <c r="D878" t="s">
        <v>143</v>
      </c>
      <c r="E878" t="s">
        <v>19</v>
      </c>
      <c r="F878" t="s">
        <v>72</v>
      </c>
      <c r="G878" t="s">
        <v>624</v>
      </c>
      <c r="H878" t="s">
        <v>713</v>
      </c>
      <c r="I878">
        <f>+AVERAGE(2.5,4.2)*30</f>
        <v>100.5</v>
      </c>
      <c r="J878" t="s">
        <v>594</v>
      </c>
      <c r="K878" t="s">
        <v>39</v>
      </c>
      <c r="L878" t="str">
        <f t="shared" si="123"/>
        <v>Control</v>
      </c>
      <c r="Q878" t="s">
        <v>412</v>
      </c>
      <c r="R878" t="s">
        <v>709</v>
      </c>
      <c r="S878" t="s">
        <v>703</v>
      </c>
      <c r="T878" t="s">
        <v>616</v>
      </c>
      <c r="U878" s="1" t="s">
        <v>755</v>
      </c>
      <c r="V878" s="1">
        <v>2.9E-11</v>
      </c>
      <c r="W878" s="1">
        <v>2.9E-11</v>
      </c>
      <c r="X878" s="2"/>
      <c r="Y878" s="2"/>
      <c r="Z878" s="1"/>
      <c r="AA878" s="1">
        <v>4.8E-10</v>
      </c>
      <c r="AC878">
        <v>461.8</v>
      </c>
      <c r="AE878" s="2"/>
      <c r="AF878" s="2">
        <v>13.9</v>
      </c>
      <c r="AJ878" t="s">
        <v>202</v>
      </c>
    </row>
    <row r="879" spans="1:36" x14ac:dyDescent="0.25">
      <c r="A879" t="s">
        <v>335</v>
      </c>
      <c r="B879" t="s">
        <v>298</v>
      </c>
      <c r="C879" t="s">
        <v>142</v>
      </c>
      <c r="D879" t="s">
        <v>143</v>
      </c>
      <c r="E879" t="s">
        <v>19</v>
      </c>
      <c r="F879" t="s">
        <v>72</v>
      </c>
      <c r="G879" t="s">
        <v>624</v>
      </c>
      <c r="H879" t="s">
        <v>713</v>
      </c>
      <c r="I879">
        <f>+AVERAGE(5.3,7.9)*30</f>
        <v>198</v>
      </c>
      <c r="J879" t="s">
        <v>594</v>
      </c>
      <c r="K879" t="s">
        <v>385</v>
      </c>
      <c r="L879" t="str">
        <f t="shared" si="123"/>
        <v>Stress</v>
      </c>
      <c r="Q879" t="s">
        <v>412</v>
      </c>
      <c r="R879" t="s">
        <v>709</v>
      </c>
      <c r="S879" t="s">
        <v>703</v>
      </c>
      <c r="T879" t="s">
        <v>616</v>
      </c>
      <c r="U879" s="1" t="s">
        <v>755</v>
      </c>
      <c r="V879" s="1">
        <v>1.9E-12</v>
      </c>
      <c r="W879" s="1">
        <v>1.8E-12</v>
      </c>
      <c r="X879" s="2"/>
      <c r="Y879" s="2"/>
      <c r="Z879" s="1"/>
      <c r="AA879" s="1">
        <v>3.5000000000000002E-11</v>
      </c>
      <c r="AC879">
        <v>718.3</v>
      </c>
      <c r="AE879" s="2"/>
      <c r="AF879" s="2">
        <v>20.7</v>
      </c>
      <c r="AJ879" t="s">
        <v>202</v>
      </c>
    </row>
    <row r="880" spans="1:36" x14ac:dyDescent="0.25">
      <c r="A880" t="s">
        <v>335</v>
      </c>
      <c r="B880" t="s">
        <v>298</v>
      </c>
      <c r="C880" t="s">
        <v>142</v>
      </c>
      <c r="D880" t="s">
        <v>143</v>
      </c>
      <c r="E880" t="s">
        <v>19</v>
      </c>
      <c r="F880" t="s">
        <v>72</v>
      </c>
      <c r="G880" t="s">
        <v>624</v>
      </c>
      <c r="H880" t="s">
        <v>713</v>
      </c>
      <c r="I880">
        <f>+AVERAGE(5.3,7.9)*30</f>
        <v>198</v>
      </c>
      <c r="J880" t="s">
        <v>594</v>
      </c>
      <c r="K880" t="s">
        <v>39</v>
      </c>
      <c r="L880" t="str">
        <f t="shared" si="123"/>
        <v>Control</v>
      </c>
      <c r="Q880" t="s">
        <v>412</v>
      </c>
      <c r="R880" t="s">
        <v>709</v>
      </c>
      <c r="S880" t="s">
        <v>703</v>
      </c>
      <c r="T880" t="s">
        <v>616</v>
      </c>
      <c r="U880" s="1" t="s">
        <v>755</v>
      </c>
      <c r="V880" s="1">
        <v>4.6000000000000003E-11</v>
      </c>
      <c r="W880" s="1">
        <v>4.6000000000000003E-11</v>
      </c>
      <c r="X880" s="2"/>
      <c r="Y880" s="2"/>
      <c r="Z880" s="1"/>
      <c r="AA880" s="1">
        <v>2.5000000000000002E-10</v>
      </c>
      <c r="AC880">
        <v>2485.6999999999998</v>
      </c>
      <c r="AE880" s="2"/>
      <c r="AF880" s="2">
        <v>60.7</v>
      </c>
      <c r="AJ880" t="s">
        <v>202</v>
      </c>
    </row>
    <row r="881" spans="1:36" x14ac:dyDescent="0.25">
      <c r="A881" t="s">
        <v>335</v>
      </c>
      <c r="B881" t="s">
        <v>361</v>
      </c>
      <c r="C881" t="s">
        <v>142</v>
      </c>
      <c r="D881" t="s">
        <v>143</v>
      </c>
      <c r="E881" t="s">
        <v>19</v>
      </c>
      <c r="F881" t="s">
        <v>72</v>
      </c>
      <c r="G881" t="s">
        <v>624</v>
      </c>
      <c r="H881" t="s">
        <v>713</v>
      </c>
      <c r="I881">
        <f>+AVERAGE(2.9,4.3)*30</f>
        <v>107.99999999999999</v>
      </c>
      <c r="J881" t="s">
        <v>594</v>
      </c>
      <c r="K881" t="s">
        <v>385</v>
      </c>
      <c r="L881" t="str">
        <f t="shared" si="123"/>
        <v>Stress</v>
      </c>
      <c r="Q881" t="s">
        <v>412</v>
      </c>
      <c r="R881" t="s">
        <v>709</v>
      </c>
      <c r="S881" t="s">
        <v>703</v>
      </c>
      <c r="T881" t="s">
        <v>616</v>
      </c>
      <c r="U881" s="1" t="s">
        <v>755</v>
      </c>
      <c r="V881" s="1">
        <v>2E-12</v>
      </c>
      <c r="W881" s="1">
        <v>2E-12</v>
      </c>
      <c r="X881" s="2"/>
      <c r="Y881" s="2"/>
      <c r="Z881" s="1"/>
      <c r="AA881" s="1">
        <v>3.7000000000000001E-10</v>
      </c>
      <c r="AC881">
        <v>222.3</v>
      </c>
      <c r="AE881" s="2"/>
      <c r="AF881" s="2">
        <v>4</v>
      </c>
      <c r="AJ881" t="s">
        <v>202</v>
      </c>
    </row>
    <row r="882" spans="1:36" x14ac:dyDescent="0.25">
      <c r="A882" t="s">
        <v>335</v>
      </c>
      <c r="B882" t="s">
        <v>361</v>
      </c>
      <c r="C882" t="s">
        <v>142</v>
      </c>
      <c r="D882" t="s">
        <v>143</v>
      </c>
      <c r="E882" t="s">
        <v>19</v>
      </c>
      <c r="F882" t="s">
        <v>72</v>
      </c>
      <c r="G882" t="s">
        <v>624</v>
      </c>
      <c r="H882" t="s">
        <v>713</v>
      </c>
      <c r="I882">
        <f>+AVERAGE(2.9,4.3)*30</f>
        <v>107.99999999999999</v>
      </c>
      <c r="J882" t="s">
        <v>594</v>
      </c>
      <c r="K882" t="s">
        <v>39</v>
      </c>
      <c r="L882" t="str">
        <f t="shared" si="123"/>
        <v>Control</v>
      </c>
      <c r="Q882" t="s">
        <v>412</v>
      </c>
      <c r="R882" t="s">
        <v>709</v>
      </c>
      <c r="S882" t="s">
        <v>703</v>
      </c>
      <c r="T882" t="s">
        <v>616</v>
      </c>
      <c r="U882" s="1"/>
      <c r="V882" s="1"/>
      <c r="W882" s="1"/>
      <c r="X882" s="2"/>
      <c r="Y882" s="2"/>
      <c r="Z882" s="1"/>
      <c r="AC882">
        <v>609.9</v>
      </c>
      <c r="AE882" s="2"/>
      <c r="AF882" s="2">
        <v>11.7</v>
      </c>
      <c r="AJ882" t="s">
        <v>202</v>
      </c>
    </row>
    <row r="883" spans="1:36" x14ac:dyDescent="0.25">
      <c r="A883" t="s">
        <v>335</v>
      </c>
      <c r="B883" t="s">
        <v>361</v>
      </c>
      <c r="C883" t="s">
        <v>142</v>
      </c>
      <c r="D883" t="s">
        <v>143</v>
      </c>
      <c r="E883" t="s">
        <v>19</v>
      </c>
      <c r="F883" t="s">
        <v>72</v>
      </c>
      <c r="G883" t="s">
        <v>624</v>
      </c>
      <c r="H883" t="s">
        <v>713</v>
      </c>
      <c r="I883">
        <f>+AVERAGE(4.7,5.5)*30</f>
        <v>153</v>
      </c>
      <c r="J883" t="s">
        <v>594</v>
      </c>
      <c r="K883" t="s">
        <v>385</v>
      </c>
      <c r="L883" t="str">
        <f t="shared" si="123"/>
        <v>Stress</v>
      </c>
      <c r="Q883" t="s">
        <v>412</v>
      </c>
      <c r="R883" t="s">
        <v>709</v>
      </c>
      <c r="S883" t="s">
        <v>703</v>
      </c>
      <c r="T883" t="s">
        <v>616</v>
      </c>
      <c r="U883" s="1" t="s">
        <v>755</v>
      </c>
      <c r="V883" s="1">
        <v>1.5000000000000001E-12</v>
      </c>
      <c r="W883" s="1">
        <v>1.5000000000000001E-12</v>
      </c>
      <c r="X883" s="2"/>
      <c r="Y883" s="2"/>
      <c r="Z883" s="1"/>
      <c r="AA883" s="1">
        <v>3.5000000000000002E-11</v>
      </c>
      <c r="AC883">
        <v>509.7</v>
      </c>
      <c r="AE883" s="2"/>
      <c r="AF883" s="2">
        <v>8</v>
      </c>
      <c r="AJ883" t="s">
        <v>202</v>
      </c>
    </row>
    <row r="884" spans="1:36" x14ac:dyDescent="0.25">
      <c r="A884" t="s">
        <v>335</v>
      </c>
      <c r="B884" t="s">
        <v>361</v>
      </c>
      <c r="C884" t="s">
        <v>142</v>
      </c>
      <c r="D884" t="s">
        <v>143</v>
      </c>
      <c r="E884" t="s">
        <v>19</v>
      </c>
      <c r="F884" t="s">
        <v>72</v>
      </c>
      <c r="G884" t="s">
        <v>624</v>
      </c>
      <c r="H884" t="s">
        <v>713</v>
      </c>
      <c r="I884">
        <f>+AVERAGE(4.7,5.5)*30</f>
        <v>153</v>
      </c>
      <c r="J884" t="s">
        <v>594</v>
      </c>
      <c r="K884" t="s">
        <v>39</v>
      </c>
      <c r="L884" t="str">
        <f t="shared" si="123"/>
        <v>Control</v>
      </c>
      <c r="Q884" t="s">
        <v>412</v>
      </c>
      <c r="R884" t="s">
        <v>709</v>
      </c>
      <c r="S884" t="s">
        <v>703</v>
      </c>
      <c r="T884" t="s">
        <v>616</v>
      </c>
      <c r="U884" s="1" t="s">
        <v>755</v>
      </c>
      <c r="V884" s="1">
        <v>2.5999999999999998E-12</v>
      </c>
      <c r="W884" s="1">
        <v>2.5999999999999998E-12</v>
      </c>
      <c r="X884" s="2"/>
      <c r="Y884" s="2"/>
      <c r="Z884" s="1"/>
      <c r="AA884" s="1">
        <v>2.0000000000000001E-10</v>
      </c>
      <c r="AC884">
        <v>664.9</v>
      </c>
      <c r="AE884" s="2"/>
      <c r="AF884" s="2">
        <v>15.1</v>
      </c>
      <c r="AJ884" t="s">
        <v>202</v>
      </c>
    </row>
    <row r="885" spans="1:36" x14ac:dyDescent="0.25">
      <c r="A885" t="s">
        <v>525</v>
      </c>
      <c r="B885" t="s">
        <v>101</v>
      </c>
      <c r="C885" t="s">
        <v>102</v>
      </c>
      <c r="D885" t="s">
        <v>92</v>
      </c>
      <c r="E885" t="s">
        <v>19</v>
      </c>
      <c r="F885" t="s">
        <v>37</v>
      </c>
      <c r="G885" t="s">
        <v>626</v>
      </c>
      <c r="H885" t="s">
        <v>714</v>
      </c>
      <c r="J885" t="s">
        <v>680</v>
      </c>
      <c r="K885" t="s">
        <v>39</v>
      </c>
      <c r="L885" t="str">
        <f t="shared" si="123"/>
        <v>Control</v>
      </c>
      <c r="M885" t="s">
        <v>526</v>
      </c>
      <c r="N885" t="s">
        <v>716</v>
      </c>
      <c r="Q885" t="s">
        <v>412</v>
      </c>
      <c r="R885" t="s">
        <v>709</v>
      </c>
      <c r="S885" t="s">
        <v>703</v>
      </c>
      <c r="T885" t="s">
        <v>615</v>
      </c>
      <c r="U885" s="1" t="s">
        <v>754</v>
      </c>
      <c r="V885" s="1">
        <f t="shared" ref="V885:V888" si="124">+X885*AE885</f>
        <v>1.5916499999999999E-8</v>
      </c>
      <c r="X885" s="1">
        <f>0.00000131/60</f>
        <v>2.1833333333333334E-8</v>
      </c>
      <c r="Y885" s="1"/>
      <c r="Z885" s="1"/>
      <c r="AE885" s="2">
        <v>0.72899999999999998</v>
      </c>
      <c r="AF885" s="2"/>
      <c r="AJ885" t="s">
        <v>203</v>
      </c>
    </row>
    <row r="886" spans="1:36" x14ac:dyDescent="0.25">
      <c r="A886" t="s">
        <v>525</v>
      </c>
      <c r="B886" t="s">
        <v>101</v>
      </c>
      <c r="C886" t="s">
        <v>102</v>
      </c>
      <c r="D886" t="s">
        <v>92</v>
      </c>
      <c r="E886" t="s">
        <v>19</v>
      </c>
      <c r="F886" t="s">
        <v>37</v>
      </c>
      <c r="G886" t="s">
        <v>626</v>
      </c>
      <c r="H886" t="s">
        <v>714</v>
      </c>
      <c r="J886" t="s">
        <v>680</v>
      </c>
      <c r="K886" t="s">
        <v>39</v>
      </c>
      <c r="L886" t="str">
        <f t="shared" si="123"/>
        <v>Control</v>
      </c>
      <c r="M886" t="s">
        <v>527</v>
      </c>
      <c r="N886" t="s">
        <v>716</v>
      </c>
      <c r="Q886" t="s">
        <v>412</v>
      </c>
      <c r="R886" t="s">
        <v>709</v>
      </c>
      <c r="S886" t="s">
        <v>703</v>
      </c>
      <c r="T886" t="s">
        <v>615</v>
      </c>
      <c r="U886" s="1" t="s">
        <v>754</v>
      </c>
      <c r="V886" s="1">
        <f t="shared" si="124"/>
        <v>1.1418833333333333E-8</v>
      </c>
      <c r="X886" s="1">
        <f>0.00000131/60</f>
        <v>2.1833333333333334E-8</v>
      </c>
      <c r="Y886" s="1"/>
      <c r="Z886" s="1"/>
      <c r="AE886" s="2">
        <v>0.52300000000000002</v>
      </c>
      <c r="AF886" s="2"/>
      <c r="AJ886" t="s">
        <v>203</v>
      </c>
    </row>
    <row r="887" spans="1:36" x14ac:dyDescent="0.25">
      <c r="A887" t="s">
        <v>525</v>
      </c>
      <c r="B887" t="s">
        <v>101</v>
      </c>
      <c r="C887" t="s">
        <v>102</v>
      </c>
      <c r="D887" t="s">
        <v>92</v>
      </c>
      <c r="E887" t="s">
        <v>19</v>
      </c>
      <c r="F887" t="s">
        <v>37</v>
      </c>
      <c r="G887" t="s">
        <v>626</v>
      </c>
      <c r="H887" t="s">
        <v>714</v>
      </c>
      <c r="J887" t="s">
        <v>680</v>
      </c>
      <c r="K887" t="s">
        <v>528</v>
      </c>
      <c r="L887" t="str">
        <f t="shared" si="123"/>
        <v>Stress</v>
      </c>
      <c r="M887" t="s">
        <v>526</v>
      </c>
      <c r="N887" t="s">
        <v>716</v>
      </c>
      <c r="Q887" t="s">
        <v>412</v>
      </c>
      <c r="R887" t="s">
        <v>709</v>
      </c>
      <c r="S887" t="s">
        <v>703</v>
      </c>
      <c r="T887" t="s">
        <v>615</v>
      </c>
      <c r="U887" s="1" t="s">
        <v>754</v>
      </c>
      <c r="V887" s="1">
        <f t="shared" si="124"/>
        <v>5.0819999999999996E-9</v>
      </c>
      <c r="X887" s="1">
        <f>0.00000044/60</f>
        <v>7.3333333333333337E-9</v>
      </c>
      <c r="Y887" s="1"/>
      <c r="Z887" s="1"/>
      <c r="AE887" s="2">
        <v>0.69299999999999995</v>
      </c>
      <c r="AF887" s="2"/>
      <c r="AJ887" t="s">
        <v>203</v>
      </c>
    </row>
    <row r="888" spans="1:36" x14ac:dyDescent="0.25">
      <c r="A888" t="s">
        <v>525</v>
      </c>
      <c r="B888" t="s">
        <v>101</v>
      </c>
      <c r="C888" t="s">
        <v>102</v>
      </c>
      <c r="D888" t="s">
        <v>92</v>
      </c>
      <c r="E888" t="s">
        <v>19</v>
      </c>
      <c r="F888" t="s">
        <v>37</v>
      </c>
      <c r="G888" t="s">
        <v>626</v>
      </c>
      <c r="H888" t="s">
        <v>714</v>
      </c>
      <c r="J888" t="s">
        <v>680</v>
      </c>
      <c r="K888" t="s">
        <v>528</v>
      </c>
      <c r="L888" t="str">
        <f t="shared" si="123"/>
        <v>Stress</v>
      </c>
      <c r="M888" t="s">
        <v>527</v>
      </c>
      <c r="N888" t="s">
        <v>716</v>
      </c>
      <c r="Q888" t="s">
        <v>412</v>
      </c>
      <c r="R888" t="s">
        <v>709</v>
      </c>
      <c r="S888" t="s">
        <v>703</v>
      </c>
      <c r="T888" t="s">
        <v>615</v>
      </c>
      <c r="U888" s="1" t="s">
        <v>754</v>
      </c>
      <c r="V888" s="1">
        <f t="shared" si="124"/>
        <v>1.6940000000000001E-9</v>
      </c>
      <c r="X888" s="1">
        <f>0.00000044/60</f>
        <v>7.3333333333333337E-9</v>
      </c>
      <c r="Y888" s="1"/>
      <c r="Z888" s="1"/>
      <c r="AE888" s="2">
        <v>0.23100000000000001</v>
      </c>
      <c r="AF888" s="2"/>
      <c r="AJ888" t="s">
        <v>203</v>
      </c>
    </row>
    <row r="889" spans="1:36" x14ac:dyDescent="0.25">
      <c r="A889" t="s">
        <v>544</v>
      </c>
      <c r="B889" t="s">
        <v>545</v>
      </c>
      <c r="C889" t="s">
        <v>151</v>
      </c>
      <c r="D889" t="s">
        <v>152</v>
      </c>
      <c r="E889" t="s">
        <v>19</v>
      </c>
      <c r="F889" t="s">
        <v>72</v>
      </c>
      <c r="G889" t="s">
        <v>601</v>
      </c>
      <c r="H889" t="s">
        <v>713</v>
      </c>
      <c r="I889">
        <f>2*365</f>
        <v>730</v>
      </c>
      <c r="J889" t="s">
        <v>778</v>
      </c>
      <c r="Q889" t="s">
        <v>411</v>
      </c>
      <c r="R889" t="s">
        <v>709</v>
      </c>
      <c r="S889" t="s">
        <v>703</v>
      </c>
      <c r="T889" t="s">
        <v>615</v>
      </c>
      <c r="U889" s="1" t="s">
        <v>755</v>
      </c>
      <c r="V889" s="1">
        <v>2.07E-8</v>
      </c>
      <c r="X889" s="1"/>
      <c r="Y889" s="1"/>
      <c r="Z889" s="1"/>
      <c r="AB889" s="1"/>
      <c r="AE889" s="2">
        <v>32.1</v>
      </c>
      <c r="AF889" s="2"/>
      <c r="AJ889" t="s">
        <v>546</v>
      </c>
    </row>
    <row r="890" spans="1:36" x14ac:dyDescent="0.25">
      <c r="A890" t="s">
        <v>544</v>
      </c>
      <c r="B890" t="s">
        <v>545</v>
      </c>
      <c r="C890" t="s">
        <v>151</v>
      </c>
      <c r="D890" t="s">
        <v>152</v>
      </c>
      <c r="E890" t="s">
        <v>19</v>
      </c>
      <c r="F890" t="s">
        <v>72</v>
      </c>
      <c r="G890" t="s">
        <v>601</v>
      </c>
      <c r="H890" t="s">
        <v>713</v>
      </c>
      <c r="I890">
        <f>2*365</f>
        <v>730</v>
      </c>
      <c r="J890" t="s">
        <v>778</v>
      </c>
      <c r="Q890" t="s">
        <v>412</v>
      </c>
      <c r="R890" t="s">
        <v>709</v>
      </c>
      <c r="S890" t="s">
        <v>703</v>
      </c>
      <c r="T890" t="s">
        <v>615</v>
      </c>
      <c r="U890" s="1" t="s">
        <v>755</v>
      </c>
      <c r="V890" s="1">
        <f>+AVERAGE(31.3,28.7,33.7,28.2,20.8,20.7)*0.000000001</f>
        <v>2.7233333333333336E-8</v>
      </c>
      <c r="X890" s="1"/>
      <c r="Y890" s="1"/>
      <c r="Z890" s="1"/>
      <c r="AB890" s="1"/>
      <c r="AE890" s="2">
        <f>+AVERAGE(27.9,45.6,36.8,50.7,26.3,32.1)</f>
        <v>36.56666666666667</v>
      </c>
      <c r="AF890" s="2"/>
      <c r="AJ890" t="s">
        <v>546</v>
      </c>
    </row>
    <row r="891" spans="1:36" x14ac:dyDescent="0.25">
      <c r="A891" t="s">
        <v>544</v>
      </c>
      <c r="B891" t="s">
        <v>545</v>
      </c>
      <c r="C891" t="s">
        <v>151</v>
      </c>
      <c r="D891" t="s">
        <v>152</v>
      </c>
      <c r="E891" t="s">
        <v>19</v>
      </c>
      <c r="F891" t="s">
        <v>72</v>
      </c>
      <c r="G891" t="s">
        <v>601</v>
      </c>
      <c r="H891" t="s">
        <v>713</v>
      </c>
      <c r="I891">
        <f>2*365</f>
        <v>730</v>
      </c>
      <c r="J891" t="s">
        <v>778</v>
      </c>
      <c r="Q891" t="s">
        <v>413</v>
      </c>
      <c r="R891" t="s">
        <v>709</v>
      </c>
      <c r="S891" t="s">
        <v>703</v>
      </c>
      <c r="T891" t="s">
        <v>615</v>
      </c>
      <c r="U891" s="1" t="s">
        <v>755</v>
      </c>
      <c r="V891" s="1">
        <v>3.3699999999999997E-8</v>
      </c>
      <c r="X891" s="1"/>
      <c r="Y891" s="1"/>
      <c r="Z891" s="1"/>
      <c r="AB891" s="1"/>
      <c r="AE891" s="2">
        <v>36.799999999999997</v>
      </c>
      <c r="AF891" s="2"/>
      <c r="AJ891" t="s">
        <v>546</v>
      </c>
    </row>
    <row r="892" spans="1:36" x14ac:dyDescent="0.25">
      <c r="A892" t="s">
        <v>192</v>
      </c>
      <c r="B892" t="s">
        <v>34</v>
      </c>
      <c r="C892" t="s">
        <v>35</v>
      </c>
      <c r="D892" t="s">
        <v>36</v>
      </c>
      <c r="E892" t="s">
        <v>19</v>
      </c>
      <c r="F892" t="s">
        <v>37</v>
      </c>
      <c r="G892" t="s">
        <v>622</v>
      </c>
      <c r="H892" t="s">
        <v>714</v>
      </c>
      <c r="J892" t="s">
        <v>139</v>
      </c>
      <c r="K892" t="s">
        <v>39</v>
      </c>
      <c r="L892" t="str">
        <f>+IF(K892 = "Control", "Control", "Stress")</f>
        <v>Control</v>
      </c>
      <c r="Q892" t="s">
        <v>412</v>
      </c>
      <c r="R892" t="s">
        <v>709</v>
      </c>
      <c r="S892" t="s">
        <v>703</v>
      </c>
      <c r="T892" t="s">
        <v>615</v>
      </c>
      <c r="U892" s="1" t="s">
        <v>755</v>
      </c>
      <c r="V892" s="1">
        <v>1.8950000000000001E-8</v>
      </c>
      <c r="W892" s="1"/>
      <c r="X892" s="1"/>
      <c r="Y892" s="1"/>
      <c r="Z892" s="1"/>
      <c r="AB892" s="1"/>
      <c r="AE892" s="2"/>
      <c r="AF892" s="2"/>
      <c r="AJ892" t="s">
        <v>203</v>
      </c>
    </row>
    <row r="893" spans="1:36" x14ac:dyDescent="0.25">
      <c r="A893" t="s">
        <v>192</v>
      </c>
      <c r="B893" t="s">
        <v>34</v>
      </c>
      <c r="C893" t="s">
        <v>35</v>
      </c>
      <c r="D893" t="s">
        <v>36</v>
      </c>
      <c r="E893" t="s">
        <v>19</v>
      </c>
      <c r="F893" t="s">
        <v>37</v>
      </c>
      <c r="G893" t="s">
        <v>622</v>
      </c>
      <c r="H893" t="s">
        <v>714</v>
      </c>
      <c r="J893" t="s">
        <v>139</v>
      </c>
      <c r="K893" t="s">
        <v>103</v>
      </c>
      <c r="L893" t="str">
        <f>+IF(K893 = "Control", "Control", "Stress")</f>
        <v>Stress</v>
      </c>
      <c r="Q893" t="s">
        <v>412</v>
      </c>
      <c r="R893" t="s">
        <v>709</v>
      </c>
      <c r="S893" t="s">
        <v>703</v>
      </c>
      <c r="T893" t="s">
        <v>615</v>
      </c>
      <c r="U893" s="1" t="s">
        <v>755</v>
      </c>
      <c r="V893" s="1">
        <v>1.8069999999999999E-8</v>
      </c>
      <c r="W893" s="1"/>
      <c r="X893" s="1"/>
      <c r="Y893" s="1"/>
      <c r="Z893" s="1"/>
      <c r="AB893" s="1"/>
      <c r="AE893" s="2"/>
      <c r="AF893" s="2"/>
      <c r="AJ893" t="s">
        <v>203</v>
      </c>
    </row>
    <row r="894" spans="1:36" x14ac:dyDescent="0.25">
      <c r="A894" t="s">
        <v>193</v>
      </c>
      <c r="B894" t="s">
        <v>105</v>
      </c>
      <c r="C894" t="s">
        <v>78</v>
      </c>
      <c r="D894" t="s">
        <v>18</v>
      </c>
      <c r="E894" t="s">
        <v>19</v>
      </c>
      <c r="F894" t="s">
        <v>20</v>
      </c>
      <c r="G894" t="s">
        <v>20</v>
      </c>
      <c r="H894" t="s">
        <v>712</v>
      </c>
      <c r="I894">
        <v>30</v>
      </c>
      <c r="J894" t="s">
        <v>778</v>
      </c>
      <c r="Q894" t="s">
        <v>412</v>
      </c>
      <c r="R894" t="s">
        <v>709</v>
      </c>
      <c r="S894" t="s">
        <v>703</v>
      </c>
      <c r="T894" t="s">
        <v>615</v>
      </c>
      <c r="U894" s="1" t="s">
        <v>755</v>
      </c>
      <c r="V894" s="1">
        <v>3.4699999999999999E-10</v>
      </c>
      <c r="W894" s="1"/>
      <c r="X894" s="1"/>
      <c r="Y894" s="1">
        <v>1.1000000000000001E-11</v>
      </c>
      <c r="Z894" s="1"/>
      <c r="AB894" s="1"/>
      <c r="AC894" s="3"/>
      <c r="AD894">
        <v>5870</v>
      </c>
      <c r="AE894" s="2"/>
      <c r="AF894" s="2"/>
      <c r="AI894" s="3"/>
      <c r="AJ894" t="s">
        <v>203</v>
      </c>
    </row>
    <row r="895" spans="1:36" x14ac:dyDescent="0.25">
      <c r="A895" t="s">
        <v>193</v>
      </c>
      <c r="B895" t="s">
        <v>194</v>
      </c>
      <c r="C895" t="s">
        <v>195</v>
      </c>
      <c r="D895" t="s">
        <v>92</v>
      </c>
      <c r="E895" t="s">
        <v>19</v>
      </c>
      <c r="F895" t="s">
        <v>37</v>
      </c>
      <c r="G895" t="s">
        <v>626</v>
      </c>
      <c r="H895" t="s">
        <v>714</v>
      </c>
      <c r="I895">
        <v>30</v>
      </c>
      <c r="J895" t="s">
        <v>778</v>
      </c>
      <c r="Q895" t="s">
        <v>412</v>
      </c>
      <c r="R895" t="s">
        <v>709</v>
      </c>
      <c r="S895" t="s">
        <v>703</v>
      </c>
      <c r="T895" t="s">
        <v>615</v>
      </c>
      <c r="U895" s="1" t="s">
        <v>755</v>
      </c>
      <c r="V895" s="1">
        <v>6.2500000000000001E-10</v>
      </c>
      <c r="W895" s="1"/>
      <c r="X895" s="1"/>
      <c r="Y895" s="1">
        <v>4.1000000000000001E-11</v>
      </c>
      <c r="Z895" s="1"/>
      <c r="AB895" s="1"/>
      <c r="AC895" s="3"/>
      <c r="AD895">
        <v>1550</v>
      </c>
      <c r="AE895" s="2"/>
      <c r="AF895" s="2"/>
      <c r="AI895" s="3"/>
      <c r="AJ895" t="s">
        <v>203</v>
      </c>
    </row>
    <row r="896" spans="1:36" x14ac:dyDescent="0.25">
      <c r="A896" t="s">
        <v>336</v>
      </c>
      <c r="B896" t="s">
        <v>105</v>
      </c>
      <c r="C896" t="s">
        <v>78</v>
      </c>
      <c r="D896" t="s">
        <v>18</v>
      </c>
      <c r="E896" t="s">
        <v>19</v>
      </c>
      <c r="F896" t="s">
        <v>20</v>
      </c>
      <c r="G896" t="s">
        <v>20</v>
      </c>
      <c r="H896" t="s">
        <v>712</v>
      </c>
      <c r="I896">
        <v>20</v>
      </c>
      <c r="J896" t="s">
        <v>702</v>
      </c>
      <c r="K896" t="s">
        <v>39</v>
      </c>
      <c r="L896" t="str">
        <f t="shared" ref="L896:L918" si="125">+IF(K896 = "Control", "Control", "Stress")</f>
        <v>Control</v>
      </c>
      <c r="M896" t="s">
        <v>750</v>
      </c>
      <c r="N896" t="s">
        <v>716</v>
      </c>
      <c r="Q896" t="s">
        <v>412</v>
      </c>
      <c r="R896" t="s">
        <v>709</v>
      </c>
      <c r="S896" t="s">
        <v>703</v>
      </c>
      <c r="T896" t="s">
        <v>616</v>
      </c>
      <c r="U896" s="1"/>
      <c r="V896" s="1"/>
      <c r="W896" s="1">
        <f>0.0000003949/3600</f>
        <v>1.0969444444444444E-10</v>
      </c>
      <c r="X896" s="1"/>
      <c r="Y896" s="1"/>
      <c r="Z896" s="1"/>
      <c r="AB896" s="1"/>
      <c r="AC896" s="3"/>
      <c r="AE896" s="2"/>
      <c r="AF896" s="2"/>
      <c r="AJ896" t="s">
        <v>352</v>
      </c>
    </row>
    <row r="897" spans="1:36" x14ac:dyDescent="0.25">
      <c r="A897" t="s">
        <v>336</v>
      </c>
      <c r="B897" t="s">
        <v>105</v>
      </c>
      <c r="C897" t="s">
        <v>78</v>
      </c>
      <c r="D897" t="s">
        <v>18</v>
      </c>
      <c r="E897" t="s">
        <v>19</v>
      </c>
      <c r="F897" t="s">
        <v>20</v>
      </c>
      <c r="G897" t="s">
        <v>20</v>
      </c>
      <c r="H897" t="s">
        <v>712</v>
      </c>
      <c r="I897">
        <v>20</v>
      </c>
      <c r="J897" t="s">
        <v>702</v>
      </c>
      <c r="K897" t="s">
        <v>598</v>
      </c>
      <c r="L897" t="str">
        <f t="shared" si="125"/>
        <v>Stress</v>
      </c>
      <c r="M897" t="s">
        <v>750</v>
      </c>
      <c r="N897" t="s">
        <v>716</v>
      </c>
      <c r="Q897" t="s">
        <v>412</v>
      </c>
      <c r="R897" t="s">
        <v>709</v>
      </c>
      <c r="S897" t="s">
        <v>703</v>
      </c>
      <c r="T897" t="s">
        <v>616</v>
      </c>
      <c r="U897" s="1"/>
      <c r="V897" s="1"/>
      <c r="W897" s="1">
        <f>0.0000000832/3600</f>
        <v>2.3111111111111113E-11</v>
      </c>
      <c r="X897" s="1"/>
      <c r="Y897" s="1"/>
      <c r="Z897" s="1"/>
      <c r="AB897" s="1"/>
      <c r="AC897" s="3"/>
      <c r="AE897" s="2"/>
      <c r="AF897" s="2"/>
      <c r="AJ897" t="s">
        <v>352</v>
      </c>
    </row>
    <row r="898" spans="1:36" x14ac:dyDescent="0.25">
      <c r="A898" t="s">
        <v>336</v>
      </c>
      <c r="B898" t="s">
        <v>105</v>
      </c>
      <c r="C898" t="s">
        <v>78</v>
      </c>
      <c r="D898" t="s">
        <v>18</v>
      </c>
      <c r="E898" t="s">
        <v>19</v>
      </c>
      <c r="F898" t="s">
        <v>20</v>
      </c>
      <c r="G898" t="s">
        <v>20</v>
      </c>
      <c r="H898" t="s">
        <v>712</v>
      </c>
      <c r="I898">
        <v>20</v>
      </c>
      <c r="J898" t="s">
        <v>702</v>
      </c>
      <c r="K898" t="s">
        <v>582</v>
      </c>
      <c r="L898" t="str">
        <f t="shared" si="125"/>
        <v>Stress</v>
      </c>
      <c r="M898" t="s">
        <v>750</v>
      </c>
      <c r="N898" t="s">
        <v>716</v>
      </c>
      <c r="Q898" t="s">
        <v>412</v>
      </c>
      <c r="R898" t="s">
        <v>709</v>
      </c>
      <c r="S898" t="s">
        <v>703</v>
      </c>
      <c r="T898" t="s">
        <v>616</v>
      </c>
      <c r="U898" s="1"/>
      <c r="V898" s="1"/>
      <c r="W898" s="1">
        <f>0.0000001085/3600</f>
        <v>3.013888888888889E-11</v>
      </c>
      <c r="X898" s="1"/>
      <c r="Y898" s="1"/>
      <c r="Z898" s="1"/>
      <c r="AB898" s="1"/>
      <c r="AC898" s="3"/>
      <c r="AE898" s="2"/>
      <c r="AF898" s="2"/>
      <c r="AJ898" t="s">
        <v>352</v>
      </c>
    </row>
    <row r="899" spans="1:36" x14ac:dyDescent="0.25">
      <c r="A899" t="s">
        <v>336</v>
      </c>
      <c r="B899" t="s">
        <v>105</v>
      </c>
      <c r="C899" t="s">
        <v>78</v>
      </c>
      <c r="D899" t="s">
        <v>18</v>
      </c>
      <c r="E899" t="s">
        <v>19</v>
      </c>
      <c r="F899" t="s">
        <v>20</v>
      </c>
      <c r="G899" t="s">
        <v>20</v>
      </c>
      <c r="H899" t="s">
        <v>712</v>
      </c>
      <c r="I899">
        <v>20</v>
      </c>
      <c r="J899" t="s">
        <v>702</v>
      </c>
      <c r="K899" t="s">
        <v>39</v>
      </c>
      <c r="L899" t="str">
        <f t="shared" si="125"/>
        <v>Control</v>
      </c>
      <c r="M899" t="s">
        <v>414</v>
      </c>
      <c r="N899" t="s">
        <v>716</v>
      </c>
      <c r="Q899" t="s">
        <v>412</v>
      </c>
      <c r="R899" t="s">
        <v>709</v>
      </c>
      <c r="S899" t="s">
        <v>703</v>
      </c>
      <c r="T899" t="s">
        <v>616</v>
      </c>
      <c r="U899" s="1"/>
      <c r="V899" s="1"/>
      <c r="W899" s="1">
        <f>0.0000007964/3600</f>
        <v>2.2122222222222222E-10</v>
      </c>
      <c r="X899" s="1"/>
      <c r="Y899" s="1"/>
      <c r="Z899" s="1"/>
      <c r="AB899" s="1"/>
      <c r="AC899" s="3"/>
      <c r="AE899" s="2"/>
      <c r="AF899" s="2"/>
      <c r="AJ899" t="s">
        <v>352</v>
      </c>
    </row>
    <row r="900" spans="1:36" x14ac:dyDescent="0.25">
      <c r="A900" t="s">
        <v>336</v>
      </c>
      <c r="B900" t="s">
        <v>105</v>
      </c>
      <c r="C900" t="s">
        <v>78</v>
      </c>
      <c r="D900" t="s">
        <v>18</v>
      </c>
      <c r="E900" t="s">
        <v>19</v>
      </c>
      <c r="F900" t="s">
        <v>20</v>
      </c>
      <c r="G900" t="s">
        <v>20</v>
      </c>
      <c r="H900" t="s">
        <v>712</v>
      </c>
      <c r="I900">
        <v>20</v>
      </c>
      <c r="J900" t="s">
        <v>702</v>
      </c>
      <c r="K900" t="s">
        <v>598</v>
      </c>
      <c r="L900" t="str">
        <f t="shared" si="125"/>
        <v>Stress</v>
      </c>
      <c r="M900" t="s">
        <v>414</v>
      </c>
      <c r="N900" t="s">
        <v>716</v>
      </c>
      <c r="Q900" t="s">
        <v>412</v>
      </c>
      <c r="R900" t="s">
        <v>709</v>
      </c>
      <c r="S900" t="s">
        <v>703</v>
      </c>
      <c r="T900" t="s">
        <v>616</v>
      </c>
      <c r="U900" s="1"/>
      <c r="V900" s="1"/>
      <c r="W900" s="1">
        <f>0.0000001214/3600</f>
        <v>3.3722222222222218E-11</v>
      </c>
      <c r="X900" s="1"/>
      <c r="Y900" s="1"/>
      <c r="Z900" s="1"/>
      <c r="AB900" s="1"/>
      <c r="AC900" s="3"/>
      <c r="AE900" s="2"/>
      <c r="AF900" s="2"/>
      <c r="AJ900" t="s">
        <v>352</v>
      </c>
    </row>
    <row r="901" spans="1:36" x14ac:dyDescent="0.25">
      <c r="A901" t="s">
        <v>336</v>
      </c>
      <c r="B901" t="s">
        <v>105</v>
      </c>
      <c r="C901" t="s">
        <v>78</v>
      </c>
      <c r="D901" t="s">
        <v>18</v>
      </c>
      <c r="E901" t="s">
        <v>19</v>
      </c>
      <c r="F901" t="s">
        <v>20</v>
      </c>
      <c r="G901" t="s">
        <v>20</v>
      </c>
      <c r="H901" t="s">
        <v>712</v>
      </c>
      <c r="I901">
        <v>20</v>
      </c>
      <c r="J901" t="s">
        <v>702</v>
      </c>
      <c r="K901" t="s">
        <v>582</v>
      </c>
      <c r="L901" t="str">
        <f t="shared" si="125"/>
        <v>Stress</v>
      </c>
      <c r="M901" t="s">
        <v>414</v>
      </c>
      <c r="N901" t="s">
        <v>716</v>
      </c>
      <c r="Q901" t="s">
        <v>412</v>
      </c>
      <c r="R901" t="s">
        <v>709</v>
      </c>
      <c r="S901" t="s">
        <v>703</v>
      </c>
      <c r="T901" t="s">
        <v>616</v>
      </c>
      <c r="U901" s="1"/>
      <c r="V901" s="1"/>
      <c r="W901" s="1">
        <f>0.0000001892/3600</f>
        <v>5.2555555555555557E-11</v>
      </c>
      <c r="X901" s="1"/>
      <c r="Y901" s="1"/>
      <c r="Z901" s="1"/>
      <c r="AB901" s="1"/>
      <c r="AC901" s="3"/>
      <c r="AE901" s="2"/>
      <c r="AF901" s="2"/>
      <c r="AJ901" t="s">
        <v>352</v>
      </c>
    </row>
    <row r="902" spans="1:36" x14ac:dyDescent="0.25">
      <c r="A902" t="s">
        <v>336</v>
      </c>
      <c r="B902" t="s">
        <v>105</v>
      </c>
      <c r="C902" t="s">
        <v>78</v>
      </c>
      <c r="D902" t="s">
        <v>18</v>
      </c>
      <c r="E902" t="s">
        <v>19</v>
      </c>
      <c r="F902" t="s">
        <v>20</v>
      </c>
      <c r="G902" t="s">
        <v>20</v>
      </c>
      <c r="H902" t="s">
        <v>712</v>
      </c>
      <c r="I902">
        <v>20</v>
      </c>
      <c r="J902" t="s">
        <v>599</v>
      </c>
      <c r="K902" t="s">
        <v>39</v>
      </c>
      <c r="L902" t="str">
        <f t="shared" si="125"/>
        <v>Control</v>
      </c>
      <c r="M902" t="s">
        <v>39</v>
      </c>
      <c r="N902" t="str">
        <f t="shared" ref="N902:N913" si="126">+IF(M902="Control","Control","Stress")</f>
        <v>Control</v>
      </c>
      <c r="Q902" t="s">
        <v>412</v>
      </c>
      <c r="R902" t="s">
        <v>709</v>
      </c>
      <c r="S902" t="s">
        <v>703</v>
      </c>
      <c r="T902" t="s">
        <v>616</v>
      </c>
      <c r="U902" s="1"/>
      <c r="V902" s="1"/>
      <c r="W902" s="1">
        <f>0.0000008514/3600</f>
        <v>2.3650000000000001E-10</v>
      </c>
      <c r="X902" s="1"/>
      <c r="Y902" s="1"/>
      <c r="Z902" s="1"/>
      <c r="AB902" s="1"/>
      <c r="AC902" s="3"/>
      <c r="AE902" s="2"/>
      <c r="AF902" s="2"/>
      <c r="AJ902" t="s">
        <v>352</v>
      </c>
    </row>
    <row r="903" spans="1:36" x14ac:dyDescent="0.25">
      <c r="A903" t="s">
        <v>336</v>
      </c>
      <c r="B903" t="s">
        <v>105</v>
      </c>
      <c r="C903" t="s">
        <v>78</v>
      </c>
      <c r="D903" t="s">
        <v>18</v>
      </c>
      <c r="E903" t="s">
        <v>19</v>
      </c>
      <c r="F903" t="s">
        <v>20</v>
      </c>
      <c r="G903" t="s">
        <v>20</v>
      </c>
      <c r="H903" t="s">
        <v>712</v>
      </c>
      <c r="I903">
        <v>20</v>
      </c>
      <c r="J903" t="s">
        <v>599</v>
      </c>
      <c r="K903" t="s">
        <v>598</v>
      </c>
      <c r="L903" t="str">
        <f t="shared" si="125"/>
        <v>Stress</v>
      </c>
      <c r="M903" t="s">
        <v>39</v>
      </c>
      <c r="N903" t="str">
        <f t="shared" si="126"/>
        <v>Control</v>
      </c>
      <c r="Q903" t="s">
        <v>412</v>
      </c>
      <c r="R903" t="s">
        <v>709</v>
      </c>
      <c r="S903" t="s">
        <v>703</v>
      </c>
      <c r="T903" t="s">
        <v>616</v>
      </c>
      <c r="U903" s="1"/>
      <c r="V903" s="1"/>
      <c r="W903" s="1">
        <f>0.0000001193/3600</f>
        <v>3.3138888888888886E-11</v>
      </c>
      <c r="X903" s="1"/>
      <c r="Y903" s="1"/>
      <c r="Z903" s="1"/>
      <c r="AB903" s="1"/>
      <c r="AC903" s="3"/>
      <c r="AE903" s="2"/>
      <c r="AF903" s="2"/>
      <c r="AJ903" t="s">
        <v>352</v>
      </c>
    </row>
    <row r="904" spans="1:36" x14ac:dyDescent="0.25">
      <c r="A904" t="s">
        <v>336</v>
      </c>
      <c r="B904" t="s">
        <v>105</v>
      </c>
      <c r="C904" t="s">
        <v>78</v>
      </c>
      <c r="D904" t="s">
        <v>18</v>
      </c>
      <c r="E904" t="s">
        <v>19</v>
      </c>
      <c r="F904" t="s">
        <v>20</v>
      </c>
      <c r="G904" t="s">
        <v>20</v>
      </c>
      <c r="H904" t="s">
        <v>712</v>
      </c>
      <c r="I904">
        <v>20</v>
      </c>
      <c r="J904" t="s">
        <v>599</v>
      </c>
      <c r="K904" t="s">
        <v>582</v>
      </c>
      <c r="L904" t="str">
        <f t="shared" si="125"/>
        <v>Stress</v>
      </c>
      <c r="M904" t="s">
        <v>39</v>
      </c>
      <c r="N904" t="str">
        <f t="shared" si="126"/>
        <v>Control</v>
      </c>
      <c r="Q904" t="s">
        <v>412</v>
      </c>
      <c r="R904" t="s">
        <v>709</v>
      </c>
      <c r="S904" t="s">
        <v>703</v>
      </c>
      <c r="T904" t="s">
        <v>616</v>
      </c>
      <c r="U904" s="1"/>
      <c r="V904" s="1"/>
      <c r="W904" s="1">
        <f>0.0000001236/3600</f>
        <v>3.4333333333333331E-11</v>
      </c>
      <c r="X904" s="1"/>
      <c r="Y904" s="1"/>
      <c r="Z904" s="1"/>
      <c r="AB904" s="1"/>
      <c r="AC904" s="3"/>
      <c r="AE904" s="2"/>
      <c r="AF904" s="2"/>
      <c r="AJ904" t="s">
        <v>352</v>
      </c>
    </row>
    <row r="905" spans="1:36" x14ac:dyDescent="0.25">
      <c r="A905" t="s">
        <v>336</v>
      </c>
      <c r="B905" t="s">
        <v>105</v>
      </c>
      <c r="C905" t="s">
        <v>78</v>
      </c>
      <c r="D905" t="s">
        <v>18</v>
      </c>
      <c r="E905" t="s">
        <v>19</v>
      </c>
      <c r="F905" t="s">
        <v>20</v>
      </c>
      <c r="G905" t="s">
        <v>20</v>
      </c>
      <c r="H905" t="s">
        <v>712</v>
      </c>
      <c r="I905">
        <v>20</v>
      </c>
      <c r="J905" t="s">
        <v>599</v>
      </c>
      <c r="K905" t="s">
        <v>39</v>
      </c>
      <c r="L905" t="str">
        <f t="shared" si="125"/>
        <v>Control</v>
      </c>
      <c r="M905" t="s">
        <v>498</v>
      </c>
      <c r="N905" t="str">
        <f t="shared" si="126"/>
        <v>Stress</v>
      </c>
      <c r="Q905" t="s">
        <v>412</v>
      </c>
      <c r="R905" t="s">
        <v>709</v>
      </c>
      <c r="S905" t="s">
        <v>703</v>
      </c>
      <c r="T905" t="s">
        <v>616</v>
      </c>
      <c r="U905" s="1"/>
      <c r="V905" s="1"/>
      <c r="W905" s="1">
        <f>0.0000004257/3600</f>
        <v>1.1825000000000001E-10</v>
      </c>
      <c r="X905" s="1"/>
      <c r="Y905" s="1"/>
      <c r="Z905" s="1"/>
      <c r="AB905" s="1"/>
      <c r="AC905" s="3"/>
      <c r="AE905" s="2"/>
      <c r="AF905" s="2"/>
      <c r="AJ905" t="s">
        <v>352</v>
      </c>
    </row>
    <row r="906" spans="1:36" x14ac:dyDescent="0.25">
      <c r="A906" t="s">
        <v>336</v>
      </c>
      <c r="B906" t="s">
        <v>105</v>
      </c>
      <c r="C906" t="s">
        <v>78</v>
      </c>
      <c r="D906" t="s">
        <v>18</v>
      </c>
      <c r="E906" t="s">
        <v>19</v>
      </c>
      <c r="F906" t="s">
        <v>20</v>
      </c>
      <c r="G906" t="s">
        <v>20</v>
      </c>
      <c r="H906" t="s">
        <v>712</v>
      </c>
      <c r="I906">
        <v>20</v>
      </c>
      <c r="J906" t="s">
        <v>599</v>
      </c>
      <c r="K906" t="s">
        <v>598</v>
      </c>
      <c r="L906" t="str">
        <f t="shared" si="125"/>
        <v>Stress</v>
      </c>
      <c r="M906" t="s">
        <v>498</v>
      </c>
      <c r="N906" t="str">
        <f t="shared" si="126"/>
        <v>Stress</v>
      </c>
      <c r="Q906" t="s">
        <v>412</v>
      </c>
      <c r="R906" t="s">
        <v>709</v>
      </c>
      <c r="S906" t="s">
        <v>703</v>
      </c>
      <c r="T906" t="s">
        <v>616</v>
      </c>
      <c r="U906" s="1"/>
      <c r="V906" s="1"/>
      <c r="W906" s="1">
        <f>0.0000000795/3600</f>
        <v>2.2083333333333335E-11</v>
      </c>
      <c r="X906" s="1"/>
      <c r="Y906" s="1"/>
      <c r="Z906" s="1"/>
      <c r="AB906" s="1"/>
      <c r="AC906" s="3"/>
      <c r="AE906" s="2"/>
      <c r="AF906" s="2"/>
      <c r="AJ906" t="s">
        <v>352</v>
      </c>
    </row>
    <row r="907" spans="1:36" x14ac:dyDescent="0.25">
      <c r="A907" t="s">
        <v>336</v>
      </c>
      <c r="B907" t="s">
        <v>105</v>
      </c>
      <c r="C907" t="s">
        <v>78</v>
      </c>
      <c r="D907" t="s">
        <v>18</v>
      </c>
      <c r="E907" t="s">
        <v>19</v>
      </c>
      <c r="F907" t="s">
        <v>20</v>
      </c>
      <c r="G907" t="s">
        <v>20</v>
      </c>
      <c r="H907" t="s">
        <v>712</v>
      </c>
      <c r="I907">
        <v>20</v>
      </c>
      <c r="J907" t="s">
        <v>599</v>
      </c>
      <c r="K907" t="s">
        <v>582</v>
      </c>
      <c r="L907" t="str">
        <f t="shared" si="125"/>
        <v>Stress</v>
      </c>
      <c r="M907" t="s">
        <v>498</v>
      </c>
      <c r="N907" t="str">
        <f t="shared" si="126"/>
        <v>Stress</v>
      </c>
      <c r="Q907" t="s">
        <v>412</v>
      </c>
      <c r="R907" t="s">
        <v>709</v>
      </c>
      <c r="S907" t="s">
        <v>703</v>
      </c>
      <c r="T907" t="s">
        <v>616</v>
      </c>
      <c r="U907" s="1"/>
      <c r="V907" s="1"/>
      <c r="W907" s="1">
        <f>0.0000001364/3600</f>
        <v>3.7888888888888889E-11</v>
      </c>
      <c r="X907" s="1"/>
      <c r="Y907" s="1"/>
      <c r="Z907" s="1"/>
      <c r="AB907" s="1"/>
      <c r="AC907" s="3"/>
      <c r="AE907" s="2"/>
      <c r="AF907" s="2"/>
      <c r="AJ907" t="s">
        <v>352</v>
      </c>
    </row>
    <row r="908" spans="1:36" x14ac:dyDescent="0.25">
      <c r="A908" t="s">
        <v>336</v>
      </c>
      <c r="B908" t="s">
        <v>105</v>
      </c>
      <c r="C908" t="s">
        <v>78</v>
      </c>
      <c r="D908" t="s">
        <v>18</v>
      </c>
      <c r="E908" t="s">
        <v>19</v>
      </c>
      <c r="F908" t="s">
        <v>20</v>
      </c>
      <c r="G908" t="s">
        <v>20</v>
      </c>
      <c r="H908" t="s">
        <v>712</v>
      </c>
      <c r="I908">
        <v>20</v>
      </c>
      <c r="J908" t="s">
        <v>595</v>
      </c>
      <c r="K908" t="s">
        <v>39</v>
      </c>
      <c r="L908" t="str">
        <f t="shared" si="125"/>
        <v>Control</v>
      </c>
      <c r="M908" t="s">
        <v>39</v>
      </c>
      <c r="N908" t="str">
        <f t="shared" si="126"/>
        <v>Control</v>
      </c>
      <c r="Q908" t="s">
        <v>412</v>
      </c>
      <c r="R908" t="s">
        <v>709</v>
      </c>
      <c r="S908" t="s">
        <v>703</v>
      </c>
      <c r="T908" t="s">
        <v>616</v>
      </c>
      <c r="U908" s="1"/>
      <c r="V908" s="1"/>
      <c r="W908" s="1">
        <f>0.0000007603/3600</f>
        <v>2.1119444444444446E-10</v>
      </c>
      <c r="X908" s="1"/>
      <c r="Y908" s="1"/>
      <c r="Z908" s="1"/>
      <c r="AB908" s="1"/>
      <c r="AC908" s="3"/>
      <c r="AE908" s="2"/>
      <c r="AF908" s="2"/>
      <c r="AJ908" t="s">
        <v>352</v>
      </c>
    </row>
    <row r="909" spans="1:36" x14ac:dyDescent="0.25">
      <c r="A909" t="s">
        <v>336</v>
      </c>
      <c r="B909" t="s">
        <v>105</v>
      </c>
      <c r="C909" t="s">
        <v>78</v>
      </c>
      <c r="D909" t="s">
        <v>18</v>
      </c>
      <c r="E909" t="s">
        <v>19</v>
      </c>
      <c r="F909" t="s">
        <v>20</v>
      </c>
      <c r="G909" t="s">
        <v>20</v>
      </c>
      <c r="H909" t="s">
        <v>712</v>
      </c>
      <c r="I909">
        <v>20</v>
      </c>
      <c r="J909" t="s">
        <v>595</v>
      </c>
      <c r="K909" t="s">
        <v>39</v>
      </c>
      <c r="L909" t="str">
        <f t="shared" si="125"/>
        <v>Control</v>
      </c>
      <c r="M909" t="s">
        <v>598</v>
      </c>
      <c r="N909" t="str">
        <f t="shared" si="126"/>
        <v>Stress</v>
      </c>
      <c r="Q909" t="s">
        <v>412</v>
      </c>
      <c r="R909" t="s">
        <v>709</v>
      </c>
      <c r="S909" t="s">
        <v>703</v>
      </c>
      <c r="T909" t="s">
        <v>616</v>
      </c>
      <c r="U909" s="1"/>
      <c r="V909" s="1"/>
      <c r="W909" s="1">
        <f>0.0000001233/3600</f>
        <v>3.4249999999999998E-11</v>
      </c>
      <c r="X909" s="1"/>
      <c r="Y909" s="1"/>
      <c r="Z909" s="1"/>
      <c r="AB909" s="1"/>
      <c r="AC909" s="3"/>
      <c r="AE909" s="2"/>
      <c r="AF909" s="2"/>
      <c r="AJ909" t="s">
        <v>352</v>
      </c>
    </row>
    <row r="910" spans="1:36" x14ac:dyDescent="0.25">
      <c r="A910" t="s">
        <v>336</v>
      </c>
      <c r="B910" t="s">
        <v>105</v>
      </c>
      <c r="C910" t="s">
        <v>78</v>
      </c>
      <c r="D910" t="s">
        <v>18</v>
      </c>
      <c r="E910" t="s">
        <v>19</v>
      </c>
      <c r="F910" t="s">
        <v>20</v>
      </c>
      <c r="G910" t="s">
        <v>20</v>
      </c>
      <c r="H910" t="s">
        <v>712</v>
      </c>
      <c r="I910">
        <v>20</v>
      </c>
      <c r="J910" t="s">
        <v>595</v>
      </c>
      <c r="K910" t="s">
        <v>39</v>
      </c>
      <c r="L910" t="str">
        <f t="shared" si="125"/>
        <v>Control</v>
      </c>
      <c r="M910" t="s">
        <v>582</v>
      </c>
      <c r="N910" t="str">
        <f t="shared" si="126"/>
        <v>Stress</v>
      </c>
      <c r="Q910" t="s">
        <v>412</v>
      </c>
      <c r="R910" t="s">
        <v>709</v>
      </c>
      <c r="S910" t="s">
        <v>703</v>
      </c>
      <c r="T910" t="s">
        <v>616</v>
      </c>
      <c r="U910" s="1"/>
      <c r="V910" s="1"/>
      <c r="W910" s="1">
        <f>0.0000001751/3600</f>
        <v>4.8638888888888891E-11</v>
      </c>
      <c r="X910" s="1"/>
      <c r="Y910" s="1"/>
      <c r="Z910" s="1"/>
      <c r="AB910" s="1"/>
      <c r="AC910" s="3"/>
      <c r="AE910" s="2"/>
      <c r="AF910" s="2"/>
      <c r="AJ910" t="s">
        <v>352</v>
      </c>
    </row>
    <row r="911" spans="1:36" x14ac:dyDescent="0.25">
      <c r="A911" t="s">
        <v>336</v>
      </c>
      <c r="B911" t="s">
        <v>105</v>
      </c>
      <c r="C911" t="s">
        <v>78</v>
      </c>
      <c r="D911" t="s">
        <v>18</v>
      </c>
      <c r="E911" t="s">
        <v>19</v>
      </c>
      <c r="F911" t="s">
        <v>20</v>
      </c>
      <c r="G911" t="s">
        <v>20</v>
      </c>
      <c r="H911" t="s">
        <v>712</v>
      </c>
      <c r="I911">
        <v>20</v>
      </c>
      <c r="J911" t="s">
        <v>595</v>
      </c>
      <c r="K911" t="s">
        <v>711</v>
      </c>
      <c r="L911" t="str">
        <f t="shared" si="125"/>
        <v>Stress</v>
      </c>
      <c r="M911" t="s">
        <v>39</v>
      </c>
      <c r="N911" t="str">
        <f t="shared" si="126"/>
        <v>Control</v>
      </c>
      <c r="Q911" t="s">
        <v>412</v>
      </c>
      <c r="R911" t="s">
        <v>709</v>
      </c>
      <c r="S911" t="s">
        <v>703</v>
      </c>
      <c r="T911" t="s">
        <v>616</v>
      </c>
      <c r="U911" s="1"/>
      <c r="V911" s="1"/>
      <c r="W911" s="1">
        <f>0.0000002767/3600</f>
        <v>7.6861111111111108E-11</v>
      </c>
      <c r="X911" s="1"/>
      <c r="Y911" s="1"/>
      <c r="Z911" s="1"/>
      <c r="AB911" s="1"/>
      <c r="AC911" s="3"/>
      <c r="AE911" s="2"/>
      <c r="AF911" s="2"/>
      <c r="AJ911" t="s">
        <v>352</v>
      </c>
    </row>
    <row r="912" spans="1:36" x14ac:dyDescent="0.25">
      <c r="A912" t="s">
        <v>336</v>
      </c>
      <c r="B912" t="s">
        <v>105</v>
      </c>
      <c r="C912" t="s">
        <v>78</v>
      </c>
      <c r="D912" t="s">
        <v>18</v>
      </c>
      <c r="E912" t="s">
        <v>19</v>
      </c>
      <c r="F912" t="s">
        <v>20</v>
      </c>
      <c r="G912" t="s">
        <v>20</v>
      </c>
      <c r="H912" t="s">
        <v>712</v>
      </c>
      <c r="I912">
        <v>20</v>
      </c>
      <c r="J912" t="s">
        <v>595</v>
      </c>
      <c r="K912" t="s">
        <v>711</v>
      </c>
      <c r="L912" t="str">
        <f t="shared" si="125"/>
        <v>Stress</v>
      </c>
      <c r="M912" t="s">
        <v>598</v>
      </c>
      <c r="N912" t="str">
        <f t="shared" si="126"/>
        <v>Stress</v>
      </c>
      <c r="Q912" t="s">
        <v>412</v>
      </c>
      <c r="R912" t="s">
        <v>709</v>
      </c>
      <c r="S912" t="s">
        <v>703</v>
      </c>
      <c r="T912" t="s">
        <v>616</v>
      </c>
      <c r="U912" s="1"/>
      <c r="V912" s="1"/>
      <c r="W912" s="1">
        <f>0.00000008532/3600</f>
        <v>2.37E-11</v>
      </c>
      <c r="X912" s="1"/>
      <c r="Y912" s="1"/>
      <c r="Z912" s="1"/>
      <c r="AB912" s="1"/>
      <c r="AC912" s="3"/>
      <c r="AE912" s="2"/>
      <c r="AF912" s="2"/>
      <c r="AJ912" t="s">
        <v>352</v>
      </c>
    </row>
    <row r="913" spans="1:36" x14ac:dyDescent="0.25">
      <c r="A913" t="s">
        <v>336</v>
      </c>
      <c r="B913" t="s">
        <v>105</v>
      </c>
      <c r="C913" t="s">
        <v>78</v>
      </c>
      <c r="D913" t="s">
        <v>18</v>
      </c>
      <c r="E913" t="s">
        <v>19</v>
      </c>
      <c r="F913" t="s">
        <v>20</v>
      </c>
      <c r="G913" t="s">
        <v>20</v>
      </c>
      <c r="H913" t="s">
        <v>712</v>
      </c>
      <c r="I913">
        <v>20</v>
      </c>
      <c r="J913" t="s">
        <v>595</v>
      </c>
      <c r="K913" t="s">
        <v>711</v>
      </c>
      <c r="L913" t="str">
        <f t="shared" si="125"/>
        <v>Stress</v>
      </c>
      <c r="M913" t="s">
        <v>582</v>
      </c>
      <c r="N913" t="str">
        <f t="shared" si="126"/>
        <v>Stress</v>
      </c>
      <c r="Q913" t="s">
        <v>412</v>
      </c>
      <c r="R913" t="s">
        <v>709</v>
      </c>
      <c r="S913" t="s">
        <v>703</v>
      </c>
      <c r="T913" t="s">
        <v>616</v>
      </c>
      <c r="U913" s="1"/>
      <c r="V913" s="1"/>
      <c r="W913" s="1">
        <f>0.0000001983/3600</f>
        <v>5.5083333333333331E-11</v>
      </c>
      <c r="X913" s="1"/>
      <c r="Y913" s="1"/>
      <c r="Z913" s="1"/>
      <c r="AB913" s="1"/>
      <c r="AC913" s="3"/>
      <c r="AE913" s="2"/>
      <c r="AF913" s="2"/>
      <c r="AJ913" t="s">
        <v>352</v>
      </c>
    </row>
    <row r="914" spans="1:36" x14ac:dyDescent="0.25">
      <c r="A914" t="s">
        <v>390</v>
      </c>
      <c r="B914" t="s">
        <v>53</v>
      </c>
      <c r="C914" t="s">
        <v>54</v>
      </c>
      <c r="D914" t="s">
        <v>18</v>
      </c>
      <c r="E914" t="s">
        <v>31</v>
      </c>
      <c r="F914" t="s">
        <v>32</v>
      </c>
      <c r="G914" t="s">
        <v>32</v>
      </c>
      <c r="H914" t="s">
        <v>712</v>
      </c>
      <c r="I914">
        <f>+AVERAGE(4,5)*7</f>
        <v>31.5</v>
      </c>
      <c r="J914" t="s">
        <v>51</v>
      </c>
      <c r="K914" t="s">
        <v>39</v>
      </c>
      <c r="L914" t="str">
        <f t="shared" si="125"/>
        <v>Control</v>
      </c>
      <c r="Q914" t="s">
        <v>412</v>
      </c>
      <c r="R914" t="s">
        <v>709</v>
      </c>
      <c r="S914" t="s">
        <v>703</v>
      </c>
      <c r="T914" t="s">
        <v>615</v>
      </c>
      <c r="U914" s="1" t="s">
        <v>755</v>
      </c>
      <c r="V914" s="1">
        <f>0.00000025/60</f>
        <v>4.1666666666666668E-9</v>
      </c>
      <c r="X914" s="1"/>
      <c r="Y914" s="1"/>
      <c r="Z914" s="1"/>
      <c r="AE914" s="2"/>
      <c r="AF914" s="2"/>
      <c r="AJ914" t="s">
        <v>203</v>
      </c>
    </row>
    <row r="915" spans="1:36" x14ac:dyDescent="0.25">
      <c r="A915" t="s">
        <v>390</v>
      </c>
      <c r="B915" t="s">
        <v>53</v>
      </c>
      <c r="C915" t="s">
        <v>54</v>
      </c>
      <c r="D915" t="s">
        <v>18</v>
      </c>
      <c r="E915" t="s">
        <v>31</v>
      </c>
      <c r="F915" t="s">
        <v>32</v>
      </c>
      <c r="G915" t="s">
        <v>32</v>
      </c>
      <c r="H915" t="s">
        <v>712</v>
      </c>
      <c r="I915">
        <f>+AVERAGE(4,5)*7</f>
        <v>31.5</v>
      </c>
      <c r="J915" t="s">
        <v>51</v>
      </c>
      <c r="K915" t="s">
        <v>79</v>
      </c>
      <c r="L915" t="str">
        <f t="shared" si="125"/>
        <v>Stress</v>
      </c>
      <c r="Q915" t="s">
        <v>412</v>
      </c>
      <c r="R915" t="s">
        <v>709</v>
      </c>
      <c r="S915" t="s">
        <v>703</v>
      </c>
      <c r="T915" t="s">
        <v>615</v>
      </c>
      <c r="U915" s="1" t="s">
        <v>755</v>
      </c>
      <c r="V915" s="1">
        <f>0.00000035/60</f>
        <v>5.8333333333333335E-9</v>
      </c>
      <c r="X915" s="1"/>
      <c r="Y915" s="1"/>
      <c r="Z915" s="1"/>
      <c r="AE915" s="2"/>
      <c r="AF915" s="2"/>
      <c r="AJ915" t="s">
        <v>203</v>
      </c>
    </row>
    <row r="916" spans="1:36" x14ac:dyDescent="0.25">
      <c r="A916" t="s">
        <v>390</v>
      </c>
      <c r="B916" t="s">
        <v>53</v>
      </c>
      <c r="C916" t="s">
        <v>54</v>
      </c>
      <c r="D916" t="s">
        <v>18</v>
      </c>
      <c r="E916" t="s">
        <v>31</v>
      </c>
      <c r="F916" t="s">
        <v>32</v>
      </c>
      <c r="G916" t="s">
        <v>32</v>
      </c>
      <c r="H916" t="s">
        <v>712</v>
      </c>
      <c r="I916">
        <f>+AVERAGE(4,5)*7</f>
        <v>31.5</v>
      </c>
      <c r="J916" t="s">
        <v>51</v>
      </c>
      <c r="K916" t="s">
        <v>51</v>
      </c>
      <c r="L916" t="str">
        <f t="shared" si="125"/>
        <v>Stress</v>
      </c>
      <c r="Q916" t="s">
        <v>412</v>
      </c>
      <c r="R916" t="s">
        <v>709</v>
      </c>
      <c r="S916" t="s">
        <v>703</v>
      </c>
      <c r="T916" t="s">
        <v>615</v>
      </c>
      <c r="U916" s="1" t="s">
        <v>755</v>
      </c>
      <c r="V916" s="1">
        <f>0.00000031/60</f>
        <v>5.1666666666666666E-9</v>
      </c>
      <c r="X916" s="1"/>
      <c r="Y916" s="1"/>
      <c r="Z916" s="1"/>
      <c r="AE916" s="2"/>
      <c r="AF916" s="2"/>
      <c r="AJ916" t="s">
        <v>203</v>
      </c>
    </row>
    <row r="917" spans="1:36" x14ac:dyDescent="0.25">
      <c r="A917" t="s">
        <v>196</v>
      </c>
      <c r="B917" t="s">
        <v>34</v>
      </c>
      <c r="C917" t="s">
        <v>35</v>
      </c>
      <c r="D917" t="s">
        <v>36</v>
      </c>
      <c r="E917" t="s">
        <v>19</v>
      </c>
      <c r="F917" t="s">
        <v>37</v>
      </c>
      <c r="G917" t="s">
        <v>622</v>
      </c>
      <c r="H917" t="s">
        <v>714</v>
      </c>
      <c r="I917">
        <f>7*7</f>
        <v>49</v>
      </c>
      <c r="J917" t="s">
        <v>406</v>
      </c>
      <c r="K917" t="s">
        <v>39</v>
      </c>
      <c r="L917" t="str">
        <f t="shared" si="125"/>
        <v>Control</v>
      </c>
      <c r="Q917" t="s">
        <v>412</v>
      </c>
      <c r="R917" t="s">
        <v>709</v>
      </c>
      <c r="S917" t="s">
        <v>703</v>
      </c>
      <c r="T917" t="s">
        <v>615</v>
      </c>
      <c r="U917" s="1"/>
      <c r="V917" s="1"/>
      <c r="W917" s="1"/>
      <c r="X917" s="1"/>
      <c r="Y917" s="1"/>
      <c r="Z917" s="1"/>
      <c r="AA917" s="1">
        <v>4.6400000000000003E-7</v>
      </c>
      <c r="AC917" s="3"/>
      <c r="AE917" s="2"/>
      <c r="AF917" s="2"/>
      <c r="AG917" s="2">
        <v>0.2</v>
      </c>
      <c r="AJ917" t="s">
        <v>203</v>
      </c>
    </row>
    <row r="918" spans="1:36" x14ac:dyDescent="0.25">
      <c r="A918" t="s">
        <v>196</v>
      </c>
      <c r="B918" t="s">
        <v>34</v>
      </c>
      <c r="C918" t="s">
        <v>35</v>
      </c>
      <c r="D918" t="s">
        <v>36</v>
      </c>
      <c r="E918" t="s">
        <v>19</v>
      </c>
      <c r="F918" t="s">
        <v>37</v>
      </c>
      <c r="G918" t="s">
        <v>622</v>
      </c>
      <c r="H918" t="s">
        <v>714</v>
      </c>
      <c r="I918">
        <f>7*7</f>
        <v>49</v>
      </c>
      <c r="J918" t="s">
        <v>406</v>
      </c>
      <c r="K918" t="s">
        <v>711</v>
      </c>
      <c r="L918" t="str">
        <f t="shared" si="125"/>
        <v>Stress</v>
      </c>
      <c r="Q918" t="s">
        <v>412</v>
      </c>
      <c r="R918" t="s">
        <v>709</v>
      </c>
      <c r="S918" t="s">
        <v>703</v>
      </c>
      <c r="T918" t="s">
        <v>615</v>
      </c>
      <c r="U918" s="1"/>
      <c r="V918" s="1"/>
      <c r="W918" s="1"/>
      <c r="X918" s="1"/>
      <c r="Y918" s="1"/>
      <c r="Z918" s="1"/>
      <c r="AA918" s="1">
        <v>2.0100000000000001E-7</v>
      </c>
      <c r="AE918" s="2"/>
      <c r="AF918" s="2"/>
      <c r="AG918" s="2">
        <v>0.2</v>
      </c>
      <c r="AJ918" t="s">
        <v>203</v>
      </c>
    </row>
    <row r="919" spans="1:36" x14ac:dyDescent="0.25">
      <c r="A919" t="s">
        <v>197</v>
      </c>
      <c r="B919" t="s">
        <v>198</v>
      </c>
      <c r="C919" t="s">
        <v>199</v>
      </c>
      <c r="D919" t="s">
        <v>200</v>
      </c>
      <c r="E919" t="s">
        <v>19</v>
      </c>
      <c r="F919" t="s">
        <v>201</v>
      </c>
      <c r="G919" t="s">
        <v>620</v>
      </c>
      <c r="H919" t="s">
        <v>713</v>
      </c>
      <c r="I919">
        <f t="shared" ref="I919:I924" si="127">2*365</f>
        <v>730</v>
      </c>
      <c r="J919" t="s">
        <v>778</v>
      </c>
      <c r="Q919" t="s">
        <v>411</v>
      </c>
      <c r="R919" t="s">
        <v>709</v>
      </c>
      <c r="S919" t="s">
        <v>703</v>
      </c>
      <c r="T919" t="s">
        <v>615</v>
      </c>
      <c r="U919" s="1" t="s">
        <v>754</v>
      </c>
      <c r="V919" s="1">
        <f t="shared" ref="V919:V924" si="128">+AA919*AC919/10000</f>
        <v>1.1400000000000001E-10</v>
      </c>
      <c r="W919" s="1"/>
      <c r="X919" s="1"/>
      <c r="Y919" s="1"/>
      <c r="Z919" s="1"/>
      <c r="AA919" s="1">
        <v>1.9000000000000001E-8</v>
      </c>
      <c r="AB919" s="1"/>
      <c r="AC919" s="3">
        <v>60</v>
      </c>
      <c r="AE919" s="2"/>
      <c r="AF919" s="2"/>
      <c r="AJ919" t="s">
        <v>202</v>
      </c>
    </row>
    <row r="920" spans="1:36" x14ac:dyDescent="0.25">
      <c r="A920" t="s">
        <v>197</v>
      </c>
      <c r="B920" t="s">
        <v>198</v>
      </c>
      <c r="C920" t="s">
        <v>199</v>
      </c>
      <c r="D920" t="s">
        <v>200</v>
      </c>
      <c r="E920" t="s">
        <v>19</v>
      </c>
      <c r="F920" t="s">
        <v>201</v>
      </c>
      <c r="G920" t="s">
        <v>620</v>
      </c>
      <c r="H920" t="s">
        <v>713</v>
      </c>
      <c r="I920">
        <f t="shared" si="127"/>
        <v>730</v>
      </c>
      <c r="J920" t="s">
        <v>778</v>
      </c>
      <c r="Q920" t="s">
        <v>412</v>
      </c>
      <c r="R920" t="s">
        <v>709</v>
      </c>
      <c r="S920" t="s">
        <v>703</v>
      </c>
      <c r="T920" t="s">
        <v>615</v>
      </c>
      <c r="U920" s="1" t="s">
        <v>754</v>
      </c>
      <c r="V920" s="1">
        <f t="shared" si="128"/>
        <v>1.0737320000000002E-9</v>
      </c>
      <c r="W920" s="1"/>
      <c r="X920" s="1"/>
      <c r="Y920" s="1"/>
      <c r="Z920" s="1"/>
      <c r="AA920" s="1">
        <f>+AVERAGE(17,62,1.9,2.3,9.9,13)*0.00000001</f>
        <v>1.7683333333333335E-7</v>
      </c>
      <c r="AB920" s="1"/>
      <c r="AC920" s="3">
        <f>+AVERAGE(3.3,4.36,6.9,11.9,3.9)*10</f>
        <v>60.72</v>
      </c>
      <c r="AE920" s="2"/>
      <c r="AF920" s="2"/>
      <c r="AJ920" t="s">
        <v>202</v>
      </c>
    </row>
    <row r="921" spans="1:36" x14ac:dyDescent="0.25">
      <c r="A921" t="s">
        <v>197</v>
      </c>
      <c r="B921" t="s">
        <v>198</v>
      </c>
      <c r="C921" t="s">
        <v>199</v>
      </c>
      <c r="D921" t="s">
        <v>200</v>
      </c>
      <c r="E921" t="s">
        <v>19</v>
      </c>
      <c r="F921" t="s">
        <v>201</v>
      </c>
      <c r="G921" t="s">
        <v>620</v>
      </c>
      <c r="H921" t="s">
        <v>713</v>
      </c>
      <c r="I921">
        <f t="shared" si="127"/>
        <v>730</v>
      </c>
      <c r="J921" t="s">
        <v>778</v>
      </c>
      <c r="Q921" t="s">
        <v>413</v>
      </c>
      <c r="R921" t="s">
        <v>709</v>
      </c>
      <c r="S921" t="s">
        <v>703</v>
      </c>
      <c r="T921" t="s">
        <v>615</v>
      </c>
      <c r="U921" s="1" t="s">
        <v>754</v>
      </c>
      <c r="V921" s="1">
        <f t="shared" si="128"/>
        <v>2.6659999999999997E-9</v>
      </c>
      <c r="W921" s="1"/>
      <c r="X921" s="1"/>
      <c r="Y921" s="1"/>
      <c r="Z921" s="1"/>
      <c r="AA921" s="1">
        <v>6.1999999999999999E-7</v>
      </c>
      <c r="AB921" s="1"/>
      <c r="AC921" s="3">
        <v>43</v>
      </c>
      <c r="AE921" s="2"/>
      <c r="AF921" s="2"/>
      <c r="AJ921" t="s">
        <v>202</v>
      </c>
    </row>
    <row r="922" spans="1:36" x14ac:dyDescent="0.25">
      <c r="A922" t="s">
        <v>197</v>
      </c>
      <c r="B922" t="s">
        <v>198</v>
      </c>
      <c r="C922" t="s">
        <v>199</v>
      </c>
      <c r="D922" t="s">
        <v>200</v>
      </c>
      <c r="E922" t="s">
        <v>19</v>
      </c>
      <c r="F922" t="s">
        <v>201</v>
      </c>
      <c r="G922" t="s">
        <v>620</v>
      </c>
      <c r="H922" t="s">
        <v>713</v>
      </c>
      <c r="I922">
        <f t="shared" si="127"/>
        <v>730</v>
      </c>
      <c r="J922" t="s">
        <v>778</v>
      </c>
      <c r="Q922" t="s">
        <v>411</v>
      </c>
      <c r="R922" t="s">
        <v>709</v>
      </c>
      <c r="S922" t="s">
        <v>703</v>
      </c>
      <c r="T922" t="s">
        <v>616</v>
      </c>
      <c r="U922" s="1" t="s">
        <v>754</v>
      </c>
      <c r="V922" s="1">
        <f t="shared" si="128"/>
        <v>1.68E-11</v>
      </c>
      <c r="W922" s="1"/>
      <c r="X922" s="1"/>
      <c r="Y922" s="1"/>
      <c r="Z922" s="1"/>
      <c r="AA922" s="1">
        <v>2.7999999999999998E-9</v>
      </c>
      <c r="AB922" s="1"/>
      <c r="AC922" s="3">
        <v>60</v>
      </c>
      <c r="AE922" s="2"/>
      <c r="AF922" s="2"/>
      <c r="AJ922" t="s">
        <v>203</v>
      </c>
    </row>
    <row r="923" spans="1:36" x14ac:dyDescent="0.25">
      <c r="A923" t="s">
        <v>197</v>
      </c>
      <c r="B923" t="s">
        <v>198</v>
      </c>
      <c r="C923" t="s">
        <v>199</v>
      </c>
      <c r="D923" t="s">
        <v>200</v>
      </c>
      <c r="E923" t="s">
        <v>19</v>
      </c>
      <c r="F923" t="s">
        <v>201</v>
      </c>
      <c r="G923" t="s">
        <v>620</v>
      </c>
      <c r="H923" t="s">
        <v>713</v>
      </c>
      <c r="I923">
        <f t="shared" si="127"/>
        <v>730</v>
      </c>
      <c r="J923" t="s">
        <v>778</v>
      </c>
      <c r="Q923" t="s">
        <v>412</v>
      </c>
      <c r="R923" t="s">
        <v>709</v>
      </c>
      <c r="S923" t="s">
        <v>703</v>
      </c>
      <c r="T923" t="s">
        <v>616</v>
      </c>
      <c r="U923" s="1" t="s">
        <v>754</v>
      </c>
      <c r="V923" s="1">
        <f t="shared" si="128"/>
        <v>1.0383400000000005E-10</v>
      </c>
      <c r="W923" s="1"/>
      <c r="X923" s="1"/>
      <c r="Y923" s="1"/>
      <c r="Z923" s="1"/>
      <c r="AA923" s="1">
        <f>+AVERAGE(2.2,0.28,1.5,1.4)*0.00000001</f>
        <v>1.3450000000000003E-8</v>
      </c>
      <c r="AB923" s="1"/>
      <c r="AC923" s="3">
        <f>+AVERAGE(4.36,6.9,11.9)*10</f>
        <v>77.200000000000017</v>
      </c>
      <c r="AE923" s="2"/>
      <c r="AF923" s="2"/>
      <c r="AJ923" t="s">
        <v>203</v>
      </c>
    </row>
    <row r="924" spans="1:36" x14ac:dyDescent="0.25">
      <c r="A924" t="s">
        <v>197</v>
      </c>
      <c r="B924" t="s">
        <v>198</v>
      </c>
      <c r="C924" t="s">
        <v>199</v>
      </c>
      <c r="D924" t="s">
        <v>200</v>
      </c>
      <c r="E924" t="s">
        <v>19</v>
      </c>
      <c r="F924" t="s">
        <v>201</v>
      </c>
      <c r="G924" t="s">
        <v>620</v>
      </c>
      <c r="H924" t="s">
        <v>713</v>
      </c>
      <c r="I924">
        <f t="shared" si="127"/>
        <v>730</v>
      </c>
      <c r="J924" t="s">
        <v>778</v>
      </c>
      <c r="Q924" t="s">
        <v>413</v>
      </c>
      <c r="R924" t="s">
        <v>709</v>
      </c>
      <c r="S924" t="s">
        <v>703</v>
      </c>
      <c r="T924" t="s">
        <v>616</v>
      </c>
      <c r="U924" s="1" t="s">
        <v>754</v>
      </c>
      <c r="V924" s="1">
        <f t="shared" si="128"/>
        <v>9.4599999999999989E-11</v>
      </c>
      <c r="W924" s="1"/>
      <c r="X924" s="1"/>
      <c r="Y924" s="1"/>
      <c r="Z924" s="1"/>
      <c r="AA924" s="1">
        <v>2.1999999999999998E-8</v>
      </c>
      <c r="AB924" s="1"/>
      <c r="AC924" s="3">
        <v>43</v>
      </c>
      <c r="AE924" s="2"/>
      <c r="AF924" s="2"/>
      <c r="AJ924" t="s">
        <v>203</v>
      </c>
    </row>
    <row r="925" spans="1:36" x14ac:dyDescent="0.25">
      <c r="A925" t="s">
        <v>204</v>
      </c>
      <c r="B925" t="s">
        <v>34</v>
      </c>
      <c r="C925" t="s">
        <v>35</v>
      </c>
      <c r="D925" t="s">
        <v>36</v>
      </c>
      <c r="E925" t="s">
        <v>19</v>
      </c>
      <c r="F925" t="s">
        <v>37</v>
      </c>
      <c r="G925" t="s">
        <v>622</v>
      </c>
      <c r="H925" t="s">
        <v>714</v>
      </c>
      <c r="J925" t="s">
        <v>139</v>
      </c>
      <c r="K925" t="s">
        <v>39</v>
      </c>
      <c r="L925" t="str">
        <f t="shared" ref="L925:L930" si="129">+IF(K925 = "Control", "Control", "Stress")</f>
        <v>Control</v>
      </c>
      <c r="Q925" t="s">
        <v>411</v>
      </c>
      <c r="R925" t="s">
        <v>709</v>
      </c>
      <c r="S925" t="s">
        <v>703</v>
      </c>
      <c r="T925" t="s">
        <v>615</v>
      </c>
      <c r="U925" s="1" t="s">
        <v>755</v>
      </c>
      <c r="V925" s="1">
        <f>[110]Else_etal_1995_Fig3!C10</f>
        <v>1.22532294832826E-8</v>
      </c>
      <c r="W925" s="1"/>
      <c r="X925" s="1"/>
      <c r="Y925" s="1"/>
      <c r="Z925" s="1"/>
      <c r="AE925" s="2"/>
      <c r="AF925" s="2"/>
      <c r="AJ925" t="s">
        <v>203</v>
      </c>
    </row>
    <row r="926" spans="1:36" x14ac:dyDescent="0.25">
      <c r="A926" t="s">
        <v>204</v>
      </c>
      <c r="B926" t="s">
        <v>34</v>
      </c>
      <c r="C926" t="s">
        <v>35</v>
      </c>
      <c r="D926" t="s">
        <v>36</v>
      </c>
      <c r="E926" t="s">
        <v>19</v>
      </c>
      <c r="F926" t="s">
        <v>37</v>
      </c>
      <c r="G926" t="s">
        <v>622</v>
      </c>
      <c r="H926" t="s">
        <v>714</v>
      </c>
      <c r="J926" t="s">
        <v>139</v>
      </c>
      <c r="K926" t="s">
        <v>39</v>
      </c>
      <c r="L926" t="str">
        <f t="shared" si="129"/>
        <v>Control</v>
      </c>
      <c r="Q926" t="s">
        <v>412</v>
      </c>
      <c r="R926" t="s">
        <v>709</v>
      </c>
      <c r="S926" t="s">
        <v>703</v>
      </c>
      <c r="T926" t="s">
        <v>615</v>
      </c>
      <c r="U926" s="1" t="s">
        <v>755</v>
      </c>
      <c r="V926" s="1">
        <f>[110]Else_etal_1995_Fig3!C11</f>
        <v>2.1334288938012293E-8</v>
      </c>
      <c r="W926" s="1"/>
      <c r="X926" s="1"/>
      <c r="Y926" s="1"/>
      <c r="Z926" s="1"/>
      <c r="AE926" s="2"/>
      <c r="AF926" s="2"/>
      <c r="AJ926" t="s">
        <v>203</v>
      </c>
    </row>
    <row r="927" spans="1:36" x14ac:dyDescent="0.25">
      <c r="A927" t="s">
        <v>204</v>
      </c>
      <c r="B927" t="s">
        <v>34</v>
      </c>
      <c r="C927" t="s">
        <v>35</v>
      </c>
      <c r="D927" t="s">
        <v>36</v>
      </c>
      <c r="E927" t="s">
        <v>19</v>
      </c>
      <c r="F927" t="s">
        <v>37</v>
      </c>
      <c r="G927" t="s">
        <v>622</v>
      </c>
      <c r="H927" t="s">
        <v>714</v>
      </c>
      <c r="J927" t="s">
        <v>139</v>
      </c>
      <c r="K927" t="s">
        <v>39</v>
      </c>
      <c r="L927" t="str">
        <f t="shared" si="129"/>
        <v>Control</v>
      </c>
      <c r="Q927" t="s">
        <v>413</v>
      </c>
      <c r="R927" t="s">
        <v>709</v>
      </c>
      <c r="S927" t="s">
        <v>703</v>
      </c>
      <c r="T927" t="s">
        <v>615</v>
      </c>
      <c r="U927" s="1" t="s">
        <v>755</v>
      </c>
      <c r="V927" s="1">
        <f>[110]Else_etal_1995_Fig3!C12</f>
        <v>2.7930851063829699E-8</v>
      </c>
      <c r="W927" s="1"/>
      <c r="X927" s="1"/>
      <c r="Y927" s="1"/>
      <c r="Z927" s="1"/>
      <c r="AE927" s="2"/>
      <c r="AF927" s="2"/>
      <c r="AJ927" t="s">
        <v>203</v>
      </c>
    </row>
    <row r="928" spans="1:36" x14ac:dyDescent="0.25">
      <c r="A928" t="s">
        <v>204</v>
      </c>
      <c r="B928" t="s">
        <v>34</v>
      </c>
      <c r="C928" t="s">
        <v>35</v>
      </c>
      <c r="D928" t="s">
        <v>36</v>
      </c>
      <c r="E928" t="s">
        <v>19</v>
      </c>
      <c r="F928" t="s">
        <v>37</v>
      </c>
      <c r="G928" t="s">
        <v>622</v>
      </c>
      <c r="H928" t="s">
        <v>714</v>
      </c>
      <c r="J928" t="s">
        <v>139</v>
      </c>
      <c r="K928" t="s">
        <v>103</v>
      </c>
      <c r="L928" t="str">
        <f t="shared" si="129"/>
        <v>Stress</v>
      </c>
      <c r="Q928" t="s">
        <v>411</v>
      </c>
      <c r="R928" t="s">
        <v>709</v>
      </c>
      <c r="S928" t="s">
        <v>703</v>
      </c>
      <c r="T928" t="s">
        <v>615</v>
      </c>
      <c r="U928" s="1" t="s">
        <v>755</v>
      </c>
      <c r="V928" s="1">
        <f>[110]Else_etal_1995_Fig3!C21</f>
        <v>1.2253292806484201E-8</v>
      </c>
      <c r="W928" s="1"/>
      <c r="X928" s="1"/>
      <c r="Y928" s="1"/>
      <c r="Z928" s="1"/>
      <c r="AE928" s="2"/>
      <c r="AF928" s="2"/>
      <c r="AJ928" t="s">
        <v>203</v>
      </c>
    </row>
    <row r="929" spans="1:36" x14ac:dyDescent="0.25">
      <c r="A929" t="s">
        <v>204</v>
      </c>
      <c r="B929" t="s">
        <v>34</v>
      </c>
      <c r="C929" t="s">
        <v>35</v>
      </c>
      <c r="D929" t="s">
        <v>36</v>
      </c>
      <c r="E929" t="s">
        <v>19</v>
      </c>
      <c r="F929" t="s">
        <v>37</v>
      </c>
      <c r="G929" t="s">
        <v>622</v>
      </c>
      <c r="H929" t="s">
        <v>714</v>
      </c>
      <c r="J929" t="s">
        <v>139</v>
      </c>
      <c r="K929" t="s">
        <v>103</v>
      </c>
      <c r="L929" t="str">
        <f t="shared" si="129"/>
        <v>Stress</v>
      </c>
      <c r="Q929" t="s">
        <v>412</v>
      </c>
      <c r="R929" t="s">
        <v>709</v>
      </c>
      <c r="S929" t="s">
        <v>703</v>
      </c>
      <c r="T929" t="s">
        <v>615</v>
      </c>
      <c r="U929" s="1" t="s">
        <v>755</v>
      </c>
      <c r="V929" s="1">
        <f>[110]Else_etal_1995_Fig3!C22</f>
        <v>1.9709323477940437E-8</v>
      </c>
      <c r="W929" s="1"/>
      <c r="X929" s="1"/>
      <c r="Y929" s="1"/>
      <c r="Z929" s="1"/>
      <c r="AE929" s="2"/>
      <c r="AF929" s="2"/>
      <c r="AJ929" t="s">
        <v>203</v>
      </c>
    </row>
    <row r="930" spans="1:36" x14ac:dyDescent="0.25">
      <c r="A930" t="s">
        <v>204</v>
      </c>
      <c r="B930" t="s">
        <v>34</v>
      </c>
      <c r="C930" t="s">
        <v>35</v>
      </c>
      <c r="D930" t="s">
        <v>36</v>
      </c>
      <c r="E930" t="s">
        <v>19</v>
      </c>
      <c r="F930" t="s">
        <v>37</v>
      </c>
      <c r="G930" t="s">
        <v>622</v>
      </c>
      <c r="H930" t="s">
        <v>714</v>
      </c>
      <c r="J930" t="s">
        <v>139</v>
      </c>
      <c r="K930" t="s">
        <v>103</v>
      </c>
      <c r="L930" t="str">
        <f t="shared" si="129"/>
        <v>Stress</v>
      </c>
      <c r="Q930" t="s">
        <v>413</v>
      </c>
      <c r="R930" t="s">
        <v>709</v>
      </c>
      <c r="S930" t="s">
        <v>703</v>
      </c>
      <c r="T930" t="s">
        <v>615</v>
      </c>
      <c r="U930" s="1" t="s">
        <v>755</v>
      </c>
      <c r="V930" s="1">
        <f>[110]Else_etal_1995_Fig3!C23</f>
        <v>3.0500000000000002E-8</v>
      </c>
      <c r="W930" s="1"/>
      <c r="X930" s="1"/>
      <c r="Y930" s="1"/>
      <c r="Z930" s="1"/>
      <c r="AE930" s="2"/>
      <c r="AF930" s="2"/>
      <c r="AJ930" t="s">
        <v>203</v>
      </c>
    </row>
    <row r="931" spans="1:36" x14ac:dyDescent="0.25">
      <c r="A931" t="s">
        <v>393</v>
      </c>
      <c r="B931" t="s">
        <v>198</v>
      </c>
      <c r="C931" t="s">
        <v>199</v>
      </c>
      <c r="D931" t="s">
        <v>200</v>
      </c>
      <c r="E931" t="s">
        <v>19</v>
      </c>
      <c r="F931" t="s">
        <v>201</v>
      </c>
      <c r="G931" t="s">
        <v>620</v>
      </c>
      <c r="H931" t="s">
        <v>713</v>
      </c>
      <c r="I931">
        <f t="shared" ref="I931:I938" si="130">2*365</f>
        <v>730</v>
      </c>
      <c r="J931" t="s">
        <v>778</v>
      </c>
      <c r="Q931" t="s">
        <v>412</v>
      </c>
      <c r="R931" t="s">
        <v>709</v>
      </c>
      <c r="S931" t="s">
        <v>703</v>
      </c>
      <c r="T931" t="s">
        <v>615</v>
      </c>
      <c r="U931" s="1" t="s">
        <v>754</v>
      </c>
      <c r="V931" s="1">
        <f t="shared" ref="V931:V936" si="131">+AA931*AC931/10000</f>
        <v>5.3039999999999995E-10</v>
      </c>
      <c r="W931" s="1"/>
      <c r="X931" s="1"/>
      <c r="Y931" s="1"/>
      <c r="Z931" s="1"/>
      <c r="AA931" s="1">
        <v>7.7999999999999997E-8</v>
      </c>
      <c r="AC931">
        <v>68</v>
      </c>
      <c r="AE931" s="2"/>
      <c r="AF931" s="2"/>
      <c r="AJ931" t="s">
        <v>202</v>
      </c>
    </row>
    <row r="932" spans="1:36" x14ac:dyDescent="0.25">
      <c r="A932" t="s">
        <v>393</v>
      </c>
      <c r="B932" t="s">
        <v>198</v>
      </c>
      <c r="C932" t="s">
        <v>199</v>
      </c>
      <c r="D932" t="s">
        <v>200</v>
      </c>
      <c r="E932" t="s">
        <v>19</v>
      </c>
      <c r="F932" t="s">
        <v>201</v>
      </c>
      <c r="G932" t="s">
        <v>620</v>
      </c>
      <c r="H932" t="s">
        <v>713</v>
      </c>
      <c r="I932">
        <f t="shared" si="130"/>
        <v>730</v>
      </c>
      <c r="J932" t="s">
        <v>778</v>
      </c>
      <c r="Q932" t="s">
        <v>412</v>
      </c>
      <c r="R932" t="s">
        <v>709</v>
      </c>
      <c r="S932" t="s">
        <v>703</v>
      </c>
      <c r="T932" t="s">
        <v>615</v>
      </c>
      <c r="U932" s="1" t="s">
        <v>754</v>
      </c>
      <c r="V932" s="1">
        <f t="shared" si="131"/>
        <v>8.9670000000000012E-10</v>
      </c>
      <c r="W932" s="1"/>
      <c r="X932" s="1"/>
      <c r="Y932" s="1"/>
      <c r="Z932" s="1"/>
      <c r="AA932" s="1">
        <v>4.9000000000000002E-8</v>
      </c>
      <c r="AC932">
        <v>183</v>
      </c>
      <c r="AE932" s="2"/>
      <c r="AF932" s="2"/>
      <c r="AJ932" t="s">
        <v>202</v>
      </c>
    </row>
    <row r="933" spans="1:36" x14ac:dyDescent="0.25">
      <c r="A933" t="s">
        <v>393</v>
      </c>
      <c r="B933" t="s">
        <v>198</v>
      </c>
      <c r="C933" t="s">
        <v>199</v>
      </c>
      <c r="D933" t="s">
        <v>200</v>
      </c>
      <c r="E933" t="s">
        <v>19</v>
      </c>
      <c r="F933" t="s">
        <v>201</v>
      </c>
      <c r="G933" t="s">
        <v>620</v>
      </c>
      <c r="H933" t="s">
        <v>713</v>
      </c>
      <c r="I933">
        <f t="shared" si="130"/>
        <v>730</v>
      </c>
      <c r="J933" t="s">
        <v>778</v>
      </c>
      <c r="Q933" t="s">
        <v>412</v>
      </c>
      <c r="R933" t="s">
        <v>709</v>
      </c>
      <c r="S933" t="s">
        <v>703</v>
      </c>
      <c r="T933" t="s">
        <v>615</v>
      </c>
      <c r="U933" s="1" t="s">
        <v>754</v>
      </c>
      <c r="V933" s="1">
        <f t="shared" si="131"/>
        <v>2.1079999999999999E-10</v>
      </c>
      <c r="W933" s="1"/>
      <c r="X933" s="1"/>
      <c r="Y933" s="1"/>
      <c r="Z933" s="1"/>
      <c r="AA933" s="1">
        <v>3.1E-8</v>
      </c>
      <c r="AC933">
        <v>68</v>
      </c>
      <c r="AE933" s="2"/>
      <c r="AF933" s="2"/>
      <c r="AJ933" t="s">
        <v>203</v>
      </c>
    </row>
    <row r="934" spans="1:36" x14ac:dyDescent="0.25">
      <c r="A934" t="s">
        <v>393</v>
      </c>
      <c r="B934" t="s">
        <v>198</v>
      </c>
      <c r="C934" t="s">
        <v>199</v>
      </c>
      <c r="D934" t="s">
        <v>200</v>
      </c>
      <c r="E934" t="s">
        <v>19</v>
      </c>
      <c r="F934" t="s">
        <v>201</v>
      </c>
      <c r="G934" t="s">
        <v>620</v>
      </c>
      <c r="H934" t="s">
        <v>713</v>
      </c>
      <c r="I934">
        <f t="shared" si="130"/>
        <v>730</v>
      </c>
      <c r="J934" t="s">
        <v>778</v>
      </c>
      <c r="Q934" t="s">
        <v>412</v>
      </c>
      <c r="R934" t="s">
        <v>709</v>
      </c>
      <c r="S934" t="s">
        <v>703</v>
      </c>
      <c r="T934" t="s">
        <v>615</v>
      </c>
      <c r="U934" s="1" t="s">
        <v>754</v>
      </c>
      <c r="V934" s="1">
        <f t="shared" si="131"/>
        <v>3.8480000000000006E-11</v>
      </c>
      <c r="W934" s="1"/>
      <c r="X934" s="1"/>
      <c r="Y934" s="1"/>
      <c r="Z934" s="1"/>
      <c r="AA934" s="1">
        <v>1.3000000000000001E-8</v>
      </c>
      <c r="AC934">
        <v>29.6</v>
      </c>
      <c r="AE934" s="2"/>
      <c r="AF934" s="2"/>
      <c r="AJ934" t="s">
        <v>203</v>
      </c>
    </row>
    <row r="935" spans="1:36" x14ac:dyDescent="0.25">
      <c r="A935" t="s">
        <v>393</v>
      </c>
      <c r="B935" t="s">
        <v>198</v>
      </c>
      <c r="C935" t="s">
        <v>199</v>
      </c>
      <c r="D935" t="s">
        <v>200</v>
      </c>
      <c r="E935" t="s">
        <v>19</v>
      </c>
      <c r="F935" t="s">
        <v>201</v>
      </c>
      <c r="G935" t="s">
        <v>620</v>
      </c>
      <c r="H935" t="s">
        <v>713</v>
      </c>
      <c r="I935">
        <f t="shared" si="130"/>
        <v>730</v>
      </c>
      <c r="J935" t="s">
        <v>778</v>
      </c>
      <c r="Q935" t="s">
        <v>412</v>
      </c>
      <c r="R935" t="s">
        <v>709</v>
      </c>
      <c r="S935" t="s">
        <v>703</v>
      </c>
      <c r="T935" t="s">
        <v>615</v>
      </c>
      <c r="U935" s="1" t="s">
        <v>754</v>
      </c>
      <c r="V935" s="1">
        <f t="shared" si="131"/>
        <v>2.72E-11</v>
      </c>
      <c r="W935" s="1"/>
      <c r="X935" s="1"/>
      <c r="Y935" s="1"/>
      <c r="Z935" s="1"/>
      <c r="AA935" s="1">
        <v>4.0000000000000002E-9</v>
      </c>
      <c r="AC935">
        <v>68</v>
      </c>
      <c r="AE935" s="2"/>
      <c r="AF935" s="2"/>
      <c r="AJ935" t="s">
        <v>203</v>
      </c>
    </row>
    <row r="936" spans="1:36" x14ac:dyDescent="0.25">
      <c r="A936" t="s">
        <v>393</v>
      </c>
      <c r="B936" t="s">
        <v>198</v>
      </c>
      <c r="C936" t="s">
        <v>199</v>
      </c>
      <c r="D936" t="s">
        <v>200</v>
      </c>
      <c r="E936" t="s">
        <v>19</v>
      </c>
      <c r="F936" t="s">
        <v>201</v>
      </c>
      <c r="G936" t="s">
        <v>620</v>
      </c>
      <c r="H936" t="s">
        <v>713</v>
      </c>
      <c r="I936">
        <f t="shared" si="130"/>
        <v>730</v>
      </c>
      <c r="J936" t="s">
        <v>778</v>
      </c>
      <c r="Q936" t="s">
        <v>412</v>
      </c>
      <c r="R936" t="s">
        <v>709</v>
      </c>
      <c r="S936" t="s">
        <v>703</v>
      </c>
      <c r="T936" t="s">
        <v>615</v>
      </c>
      <c r="U936" s="1" t="s">
        <v>754</v>
      </c>
      <c r="V936" s="1">
        <f t="shared" si="131"/>
        <v>2.6048000000000002E-11</v>
      </c>
      <c r="W936" s="1"/>
      <c r="X936" s="1"/>
      <c r="Y936" s="1"/>
      <c r="Z936" s="1"/>
      <c r="AA936" s="1">
        <v>8.7999999999999994E-9</v>
      </c>
      <c r="AC936">
        <v>29.6</v>
      </c>
      <c r="AE936" s="2"/>
      <c r="AF936" s="2"/>
      <c r="AJ936" t="s">
        <v>203</v>
      </c>
    </row>
    <row r="937" spans="1:36" x14ac:dyDescent="0.25">
      <c r="A937" t="s">
        <v>393</v>
      </c>
      <c r="B937" t="s">
        <v>198</v>
      </c>
      <c r="C937" t="s">
        <v>199</v>
      </c>
      <c r="D937" t="s">
        <v>200</v>
      </c>
      <c r="E937" t="s">
        <v>19</v>
      </c>
      <c r="F937" t="s">
        <v>201</v>
      </c>
      <c r="G937" t="s">
        <v>620</v>
      </c>
      <c r="H937" t="s">
        <v>713</v>
      </c>
      <c r="I937">
        <f t="shared" si="130"/>
        <v>730</v>
      </c>
      <c r="J937" t="s">
        <v>778</v>
      </c>
      <c r="Q937" t="s">
        <v>412</v>
      </c>
      <c r="R937" t="s">
        <v>709</v>
      </c>
      <c r="S937" t="s">
        <v>703</v>
      </c>
      <c r="T937" t="s">
        <v>616</v>
      </c>
      <c r="U937" s="1"/>
      <c r="V937" s="1"/>
      <c r="W937" s="1"/>
      <c r="X937" s="1"/>
      <c r="Y937" s="1"/>
      <c r="Z937" s="1"/>
      <c r="AA937" s="1">
        <f>+AVERAGE(0.016,0.017,0.02,0.015)*0.00000001</f>
        <v>1.7000000000000001E-10</v>
      </c>
      <c r="AE937" s="2"/>
      <c r="AF937" s="2"/>
      <c r="AJ937" t="s">
        <v>203</v>
      </c>
    </row>
    <row r="938" spans="1:36" x14ac:dyDescent="0.25">
      <c r="A938" t="s">
        <v>393</v>
      </c>
      <c r="B938" t="s">
        <v>198</v>
      </c>
      <c r="C938" t="s">
        <v>199</v>
      </c>
      <c r="D938" t="s">
        <v>200</v>
      </c>
      <c r="E938" t="s">
        <v>19</v>
      </c>
      <c r="F938" t="s">
        <v>201</v>
      </c>
      <c r="G938" t="s">
        <v>620</v>
      </c>
      <c r="H938" t="s">
        <v>713</v>
      </c>
      <c r="I938">
        <f t="shared" si="130"/>
        <v>730</v>
      </c>
      <c r="J938" t="s">
        <v>778</v>
      </c>
      <c r="Q938" t="s">
        <v>412</v>
      </c>
      <c r="R938" t="s">
        <v>709</v>
      </c>
      <c r="S938" t="s">
        <v>703</v>
      </c>
      <c r="T938" t="s">
        <v>616</v>
      </c>
      <c r="U938" s="1"/>
      <c r="V938" s="1"/>
      <c r="W938" s="1"/>
      <c r="X938" s="1"/>
      <c r="Y938" s="1"/>
      <c r="Z938" s="1"/>
      <c r="AA938" s="1">
        <f>+AVERAGE(0.004,0.008,0.026,0.011)*0.00000001</f>
        <v>1.2250000000000002E-10</v>
      </c>
      <c r="AE938" s="2"/>
      <c r="AF938" s="2"/>
      <c r="AJ938" t="s">
        <v>203</v>
      </c>
    </row>
    <row r="939" spans="1:36" x14ac:dyDescent="0.25">
      <c r="A939" t="s">
        <v>337</v>
      </c>
      <c r="B939" t="s">
        <v>362</v>
      </c>
      <c r="C939" t="s">
        <v>363</v>
      </c>
      <c r="D939" t="s">
        <v>18</v>
      </c>
      <c r="E939" t="s">
        <v>31</v>
      </c>
      <c r="F939" t="s">
        <v>32</v>
      </c>
      <c r="G939" t="s">
        <v>32</v>
      </c>
      <c r="H939" t="s">
        <v>712</v>
      </c>
      <c r="I939">
        <f>1*30</f>
        <v>30</v>
      </c>
      <c r="J939" t="s">
        <v>766</v>
      </c>
      <c r="K939" t="s">
        <v>456</v>
      </c>
      <c r="L939" t="s">
        <v>716</v>
      </c>
      <c r="Q939" t="s">
        <v>412</v>
      </c>
      <c r="R939" t="s">
        <v>709</v>
      </c>
      <c r="S939" t="s">
        <v>703</v>
      </c>
      <c r="T939" t="s">
        <v>615</v>
      </c>
      <c r="U939" s="1" t="s">
        <v>754</v>
      </c>
      <c r="V939" s="1">
        <f t="shared" ref="V939:V940" si="132">+AB939*AH939</f>
        <v>9.8027999999999983E-8</v>
      </c>
      <c r="W939" s="1"/>
      <c r="X939" s="1"/>
      <c r="Y939" s="1"/>
      <c r="Z939" s="1"/>
      <c r="AB939" s="1">
        <f>0.00000000778*18</f>
        <v>1.4003999999999998E-7</v>
      </c>
      <c r="AE939" s="2"/>
      <c r="AF939" s="2"/>
      <c r="AH939" s="5">
        <v>0.7</v>
      </c>
      <c r="AJ939" t="s">
        <v>203</v>
      </c>
    </row>
    <row r="940" spans="1:36" x14ac:dyDescent="0.25">
      <c r="A940" t="s">
        <v>337</v>
      </c>
      <c r="B940" t="s">
        <v>362</v>
      </c>
      <c r="C940" t="s">
        <v>363</v>
      </c>
      <c r="D940" t="s">
        <v>18</v>
      </c>
      <c r="E940" t="s">
        <v>31</v>
      </c>
      <c r="F940" t="s">
        <v>32</v>
      </c>
      <c r="G940" t="s">
        <v>32</v>
      </c>
      <c r="H940" t="s">
        <v>712</v>
      </c>
      <c r="I940">
        <v>30</v>
      </c>
      <c r="J940" t="s">
        <v>766</v>
      </c>
      <c r="K940" t="s">
        <v>457</v>
      </c>
      <c r="L940" t="s">
        <v>716</v>
      </c>
      <c r="Q940" t="s">
        <v>412</v>
      </c>
      <c r="R940" t="s">
        <v>709</v>
      </c>
      <c r="S940" t="s">
        <v>703</v>
      </c>
      <c r="T940" t="s">
        <v>615</v>
      </c>
      <c r="U940" s="1" t="s">
        <v>754</v>
      </c>
      <c r="V940" s="1">
        <f t="shared" si="132"/>
        <v>4.5863999999999993E-8</v>
      </c>
      <c r="W940" s="1"/>
      <c r="X940" s="1"/>
      <c r="Y940" s="1"/>
      <c r="Z940" s="1"/>
      <c r="AB940">
        <f>0.00000000364*18</f>
        <v>6.5519999999999994E-8</v>
      </c>
      <c r="AE940" s="2"/>
      <c r="AF940" s="2"/>
      <c r="AH940" s="5">
        <v>0.7</v>
      </c>
      <c r="AJ940" t="s">
        <v>203</v>
      </c>
    </row>
    <row r="941" spans="1:36" x14ac:dyDescent="0.25">
      <c r="A941" t="s">
        <v>205</v>
      </c>
      <c r="B941" t="s">
        <v>206</v>
      </c>
      <c r="C941" t="s">
        <v>190</v>
      </c>
      <c r="D941" t="s">
        <v>191</v>
      </c>
      <c r="E941" t="s">
        <v>19</v>
      </c>
      <c r="G941" t="s">
        <v>621</v>
      </c>
      <c r="H941" t="s">
        <v>714</v>
      </c>
      <c r="I941">
        <v>36</v>
      </c>
      <c r="J941" t="s">
        <v>94</v>
      </c>
      <c r="K941" t="s">
        <v>500</v>
      </c>
      <c r="L941" t="str">
        <f t="shared" ref="L941:L956" si="133">+IF(K941 = "Control", "Control", "Stress")</f>
        <v>Stress</v>
      </c>
      <c r="Q941" t="s">
        <v>412</v>
      </c>
      <c r="R941" t="s">
        <v>709</v>
      </c>
      <c r="S941" t="s">
        <v>703</v>
      </c>
      <c r="T941" t="s">
        <v>615</v>
      </c>
      <c r="U941" s="1" t="s">
        <v>754</v>
      </c>
      <c r="V941" s="1">
        <f>+Y941*AD941/100</f>
        <v>4.7853139545929174E-9</v>
      </c>
      <c r="W941" s="1"/>
      <c r="X941" s="1"/>
      <c r="Y941" s="1">
        <f>[111]Bolger_etal_1992_Fig2!B2</f>
        <v>4.7544409613375101E-11</v>
      </c>
      <c r="Z941" s="1"/>
      <c r="AD941" s="3">
        <f>[112]Bolger_etal_1992_Fig6!$B$2*100</f>
        <v>10064.935064935</v>
      </c>
      <c r="AE941" s="2"/>
      <c r="AF941" s="2"/>
      <c r="AJ941" t="s">
        <v>203</v>
      </c>
    </row>
    <row r="942" spans="1:36" x14ac:dyDescent="0.25">
      <c r="A942" t="s">
        <v>205</v>
      </c>
      <c r="B942" t="s">
        <v>206</v>
      </c>
      <c r="C942" t="s">
        <v>190</v>
      </c>
      <c r="D942" t="s">
        <v>191</v>
      </c>
      <c r="E942" t="s">
        <v>19</v>
      </c>
      <c r="G942" t="s">
        <v>621</v>
      </c>
      <c r="H942" t="s">
        <v>714</v>
      </c>
      <c r="I942">
        <v>36</v>
      </c>
      <c r="J942" t="s">
        <v>94</v>
      </c>
      <c r="K942" t="s">
        <v>500</v>
      </c>
      <c r="L942" t="str">
        <f t="shared" si="133"/>
        <v>Stress</v>
      </c>
      <c r="Q942" t="s">
        <v>412</v>
      </c>
      <c r="R942" t="s">
        <v>709</v>
      </c>
      <c r="S942" t="s">
        <v>703</v>
      </c>
      <c r="T942" t="s">
        <v>615</v>
      </c>
      <c r="U942" s="1" t="s">
        <v>754</v>
      </c>
      <c r="V942" s="1">
        <f t="shared" ref="V942:V948" si="134">+Y942*AD942/100</f>
        <v>5.8370313072507042E-9</v>
      </c>
      <c r="W942" s="1"/>
      <c r="X942" s="1"/>
      <c r="Y942" s="1">
        <f>[111]Bolger_etal_1992_Fig2!B3</f>
        <v>5.7993730407523498E-11</v>
      </c>
      <c r="Z942" s="1"/>
      <c r="AD942" s="3">
        <f>[112]Bolger_etal_1992_Fig6!$B$2*100</f>
        <v>10064.935064935</v>
      </c>
      <c r="AE942" s="2"/>
      <c r="AF942" s="2"/>
      <c r="AJ942" t="s">
        <v>203</v>
      </c>
    </row>
    <row r="943" spans="1:36" x14ac:dyDescent="0.25">
      <c r="A943" t="s">
        <v>205</v>
      </c>
      <c r="B943" t="s">
        <v>206</v>
      </c>
      <c r="C943" t="s">
        <v>190</v>
      </c>
      <c r="D943" t="s">
        <v>191</v>
      </c>
      <c r="E943" t="s">
        <v>19</v>
      </c>
      <c r="G943" t="s">
        <v>621</v>
      </c>
      <c r="H943" t="s">
        <v>714</v>
      </c>
      <c r="I943">
        <v>36</v>
      </c>
      <c r="J943" t="s">
        <v>94</v>
      </c>
      <c r="K943" t="s">
        <v>500</v>
      </c>
      <c r="L943" t="str">
        <f t="shared" si="133"/>
        <v>Stress</v>
      </c>
      <c r="Q943" t="s">
        <v>412</v>
      </c>
      <c r="R943" t="s">
        <v>709</v>
      </c>
      <c r="S943" t="s">
        <v>703</v>
      </c>
      <c r="T943" t="s">
        <v>615</v>
      </c>
      <c r="U943" s="1" t="s">
        <v>754</v>
      </c>
      <c r="V943" s="1">
        <f t="shared" si="134"/>
        <v>7.6775366744018212E-9</v>
      </c>
      <c r="W943" s="1"/>
      <c r="X943" s="1"/>
      <c r="Y943" s="1">
        <f>[111]Bolger_etal_1992_Fig2!B4</f>
        <v>7.6280041797283098E-11</v>
      </c>
      <c r="Z943" s="1"/>
      <c r="AD943" s="3">
        <f>[112]Bolger_etal_1992_Fig6!$B$2*100</f>
        <v>10064.935064935</v>
      </c>
      <c r="AE943" s="2"/>
      <c r="AF943" s="2"/>
      <c r="AJ943" t="s">
        <v>203</v>
      </c>
    </row>
    <row r="944" spans="1:36" x14ac:dyDescent="0.25">
      <c r="A944" t="s">
        <v>205</v>
      </c>
      <c r="B944" t="s">
        <v>206</v>
      </c>
      <c r="C944" t="s">
        <v>190</v>
      </c>
      <c r="D944" t="s">
        <v>191</v>
      </c>
      <c r="E944" t="s">
        <v>19</v>
      </c>
      <c r="G944" t="s">
        <v>621</v>
      </c>
      <c r="H944" t="s">
        <v>714</v>
      </c>
      <c r="I944">
        <v>36</v>
      </c>
      <c r="J944" t="s">
        <v>94</v>
      </c>
      <c r="K944" t="s">
        <v>500</v>
      </c>
      <c r="L944" t="str">
        <f t="shared" si="133"/>
        <v>Stress</v>
      </c>
      <c r="Q944" t="s">
        <v>412</v>
      </c>
      <c r="R944" t="s">
        <v>709</v>
      </c>
      <c r="S944" t="s">
        <v>703</v>
      </c>
      <c r="T944" t="s">
        <v>615</v>
      </c>
      <c r="U944" s="1" t="s">
        <v>754</v>
      </c>
      <c r="V944" s="1">
        <f t="shared" si="134"/>
        <v>9.6933282669959121E-9</v>
      </c>
      <c r="W944" s="1"/>
      <c r="X944" s="1"/>
      <c r="Y944" s="1">
        <f>[111]Bolger_etal_1992_Fig2!B5</f>
        <v>9.63079066527342E-11</v>
      </c>
      <c r="Z944" s="1"/>
      <c r="AD944" s="3">
        <f>[112]Bolger_etal_1992_Fig6!$B$2*100</f>
        <v>10064.935064935</v>
      </c>
      <c r="AE944" s="2"/>
      <c r="AF944" s="2"/>
      <c r="AJ944" t="s">
        <v>203</v>
      </c>
    </row>
    <row r="945" spans="1:36" x14ac:dyDescent="0.25">
      <c r="A945" t="s">
        <v>205</v>
      </c>
      <c r="B945" t="s">
        <v>206</v>
      </c>
      <c r="C945" t="s">
        <v>190</v>
      </c>
      <c r="D945" t="s">
        <v>191</v>
      </c>
      <c r="E945" t="s">
        <v>19</v>
      </c>
      <c r="G945" t="s">
        <v>621</v>
      </c>
      <c r="H945" t="s">
        <v>714</v>
      </c>
      <c r="I945">
        <v>36</v>
      </c>
      <c r="J945" t="s">
        <v>94</v>
      </c>
      <c r="K945" t="s">
        <v>500</v>
      </c>
      <c r="L945" t="str">
        <f t="shared" si="133"/>
        <v>Stress</v>
      </c>
      <c r="Q945" t="s">
        <v>412</v>
      </c>
      <c r="R945" t="s">
        <v>709</v>
      </c>
      <c r="S945" t="s">
        <v>703</v>
      </c>
      <c r="T945" t="s">
        <v>615</v>
      </c>
      <c r="U945" s="1" t="s">
        <v>754</v>
      </c>
      <c r="V945" s="1">
        <f t="shared" si="134"/>
        <v>1.1884406085032896E-8</v>
      </c>
      <c r="W945" s="1"/>
      <c r="X945" s="1"/>
      <c r="Y945" s="1">
        <f>[111]Bolger_etal_1992_Fig2!B6</f>
        <v>1.18077324973876E-10</v>
      </c>
      <c r="Z945" s="1"/>
      <c r="AD945" s="3">
        <f>[112]Bolger_etal_1992_Fig6!$B$2*100</f>
        <v>10064.935064935</v>
      </c>
      <c r="AE945" s="2"/>
      <c r="AF945" s="2"/>
      <c r="AJ945" t="s">
        <v>203</v>
      </c>
    </row>
    <row r="946" spans="1:36" x14ac:dyDescent="0.25">
      <c r="A946" t="s">
        <v>205</v>
      </c>
      <c r="B946" t="s">
        <v>206</v>
      </c>
      <c r="C946" t="s">
        <v>190</v>
      </c>
      <c r="D946" t="s">
        <v>191</v>
      </c>
      <c r="E946" t="s">
        <v>19</v>
      </c>
      <c r="G946" t="s">
        <v>621</v>
      </c>
      <c r="H946" t="s">
        <v>714</v>
      </c>
      <c r="I946">
        <v>36</v>
      </c>
      <c r="J946" t="s">
        <v>94</v>
      </c>
      <c r="K946" t="s">
        <v>500</v>
      </c>
      <c r="L946" t="str">
        <f t="shared" si="133"/>
        <v>Stress</v>
      </c>
      <c r="Q946" t="s">
        <v>412</v>
      </c>
      <c r="R946" t="s">
        <v>709</v>
      </c>
      <c r="S946" t="s">
        <v>703</v>
      </c>
      <c r="T946" t="s">
        <v>615</v>
      </c>
      <c r="U946" s="1" t="s">
        <v>754</v>
      </c>
      <c r="V946" s="1">
        <f t="shared" si="134"/>
        <v>1.4075483903070004E-8</v>
      </c>
      <c r="W946" s="1"/>
      <c r="X946" s="1"/>
      <c r="Y946" s="1">
        <f>[111]Bolger_etal_1992_Fig2!B7</f>
        <v>1.3984674329501901E-10</v>
      </c>
      <c r="Z946" s="1"/>
      <c r="AD946" s="3">
        <f>[112]Bolger_etal_1992_Fig6!$B$2*100</f>
        <v>10064.935064935</v>
      </c>
      <c r="AE946" s="2"/>
      <c r="AF946" s="2"/>
      <c r="AJ946" t="s">
        <v>203</v>
      </c>
    </row>
    <row r="947" spans="1:36" x14ac:dyDescent="0.25">
      <c r="A947" t="s">
        <v>205</v>
      </c>
      <c r="B947" t="s">
        <v>206</v>
      </c>
      <c r="C947" t="s">
        <v>190</v>
      </c>
      <c r="D947" t="s">
        <v>191</v>
      </c>
      <c r="E947" t="s">
        <v>19</v>
      </c>
      <c r="G947" t="s">
        <v>621</v>
      </c>
      <c r="H947" t="s">
        <v>714</v>
      </c>
      <c r="I947">
        <v>36</v>
      </c>
      <c r="J947" t="s">
        <v>94</v>
      </c>
      <c r="K947" t="s">
        <v>500</v>
      </c>
      <c r="L947" t="str">
        <f t="shared" si="133"/>
        <v>Stress</v>
      </c>
      <c r="Q947" t="s">
        <v>412</v>
      </c>
      <c r="R947" t="s">
        <v>709</v>
      </c>
      <c r="S947" t="s">
        <v>703</v>
      </c>
      <c r="T947" t="s">
        <v>615</v>
      </c>
      <c r="U947" s="1" t="s">
        <v>754</v>
      </c>
      <c r="V947" s="1">
        <f t="shared" si="134"/>
        <v>1.9421713779080346E-8</v>
      </c>
      <c r="W947" s="1"/>
      <c r="X947" s="1"/>
      <c r="Y947" s="1">
        <f>[111]Bolger_etal_1992_Fig2!B8</f>
        <v>1.9296412399860599E-10</v>
      </c>
      <c r="Z947" s="1"/>
      <c r="AD947" s="3">
        <f>[112]Bolger_etal_1992_Fig6!$B$2*100</f>
        <v>10064.935064935</v>
      </c>
      <c r="AE947" s="2"/>
      <c r="AF947" s="2"/>
      <c r="AJ947" t="s">
        <v>203</v>
      </c>
    </row>
    <row r="948" spans="1:36" x14ac:dyDescent="0.25">
      <c r="A948" t="s">
        <v>205</v>
      </c>
      <c r="B948" t="s">
        <v>206</v>
      </c>
      <c r="C948" t="s">
        <v>190</v>
      </c>
      <c r="D948" t="s">
        <v>191</v>
      </c>
      <c r="E948" t="s">
        <v>19</v>
      </c>
      <c r="G948" t="s">
        <v>621</v>
      </c>
      <c r="H948" t="s">
        <v>714</v>
      </c>
      <c r="I948">
        <v>36</v>
      </c>
      <c r="J948" t="s">
        <v>94</v>
      </c>
      <c r="K948" t="s">
        <v>39</v>
      </c>
      <c r="L948" t="str">
        <f t="shared" si="133"/>
        <v>Control</v>
      </c>
      <c r="Q948" t="s">
        <v>412</v>
      </c>
      <c r="R948" t="s">
        <v>709</v>
      </c>
      <c r="S948" t="s">
        <v>703</v>
      </c>
      <c r="T948" t="s">
        <v>615</v>
      </c>
      <c r="U948" s="1" t="s">
        <v>754</v>
      </c>
      <c r="V948" s="1">
        <f t="shared" si="134"/>
        <v>2.546908855686259E-8</v>
      </c>
      <c r="W948" s="1"/>
      <c r="X948" s="1"/>
      <c r="Y948" s="1">
        <f>[111]Bolger_etal_1992_Fig2!B9</f>
        <v>2.5304771856495899E-10</v>
      </c>
      <c r="Z948" s="1"/>
      <c r="AD948" s="3">
        <f>[112]Bolger_etal_1992_Fig6!$B$2*100</f>
        <v>10064.935064935</v>
      </c>
      <c r="AE948" s="2"/>
      <c r="AF948" s="2"/>
      <c r="AJ948" t="s">
        <v>203</v>
      </c>
    </row>
    <row r="949" spans="1:36" x14ac:dyDescent="0.25">
      <c r="A949" t="s">
        <v>409</v>
      </c>
      <c r="B949" t="s">
        <v>16</v>
      </c>
      <c r="C949" t="s">
        <v>17</v>
      </c>
      <c r="D949" t="s">
        <v>18</v>
      </c>
      <c r="E949" t="s">
        <v>19</v>
      </c>
      <c r="F949" t="s">
        <v>20</v>
      </c>
      <c r="G949" t="s">
        <v>20</v>
      </c>
      <c r="H949" t="s">
        <v>712</v>
      </c>
      <c r="I949">
        <f>3+2+1</f>
        <v>6</v>
      </c>
      <c r="J949" t="s">
        <v>594</v>
      </c>
      <c r="K949" t="s">
        <v>39</v>
      </c>
      <c r="L949" t="str">
        <f t="shared" si="133"/>
        <v>Control</v>
      </c>
      <c r="Q949" t="s">
        <v>412</v>
      </c>
      <c r="R949" t="s">
        <v>709</v>
      </c>
      <c r="S949" t="s">
        <v>703</v>
      </c>
      <c r="T949" t="s">
        <v>616</v>
      </c>
      <c r="U949" s="1"/>
      <c r="V949" s="1"/>
      <c r="W949">
        <f>[113]Karkomer_etal_1991_Fig2b!C2</f>
        <v>1.0194352768610195E-10</v>
      </c>
      <c r="X949" s="1"/>
      <c r="Y949" s="1"/>
      <c r="Z949" s="1"/>
      <c r="AD949" s="3"/>
      <c r="AE949" s="2"/>
      <c r="AF949" s="2"/>
      <c r="AJ949" t="s">
        <v>352</v>
      </c>
    </row>
    <row r="950" spans="1:36" x14ac:dyDescent="0.25">
      <c r="A950" t="s">
        <v>409</v>
      </c>
      <c r="B950" t="s">
        <v>16</v>
      </c>
      <c r="C950" t="s">
        <v>17</v>
      </c>
      <c r="D950" t="s">
        <v>18</v>
      </c>
      <c r="E950" t="s">
        <v>19</v>
      </c>
      <c r="F950" t="s">
        <v>20</v>
      </c>
      <c r="G950" t="s">
        <v>20</v>
      </c>
      <c r="H950" t="s">
        <v>712</v>
      </c>
      <c r="I950">
        <f>3+2+2</f>
        <v>7</v>
      </c>
      <c r="J950" t="s">
        <v>594</v>
      </c>
      <c r="K950" t="s">
        <v>39</v>
      </c>
      <c r="L950" t="str">
        <f t="shared" si="133"/>
        <v>Control</v>
      </c>
      <c r="Q950" t="s">
        <v>412</v>
      </c>
      <c r="R950" t="s">
        <v>709</v>
      </c>
      <c r="S950" t="s">
        <v>703</v>
      </c>
      <c r="T950" t="s">
        <v>616</v>
      </c>
      <c r="U950" s="1"/>
      <c r="V950" s="1"/>
      <c r="W950">
        <f>[113]Karkomer_etal_1991_Fig2b!C3</f>
        <v>9.5892922625595842E-11</v>
      </c>
      <c r="X950" s="1"/>
      <c r="Y950" s="1"/>
      <c r="Z950" s="1"/>
      <c r="AD950" s="3"/>
      <c r="AE950" s="2"/>
      <c r="AF950" s="2"/>
      <c r="AJ950" t="s">
        <v>352</v>
      </c>
    </row>
    <row r="951" spans="1:36" x14ac:dyDescent="0.25">
      <c r="A951" t="s">
        <v>409</v>
      </c>
      <c r="B951" t="s">
        <v>16</v>
      </c>
      <c r="C951" t="s">
        <v>17</v>
      </c>
      <c r="D951" t="s">
        <v>18</v>
      </c>
      <c r="E951" t="s">
        <v>19</v>
      </c>
      <c r="F951" t="s">
        <v>20</v>
      </c>
      <c r="G951" t="s">
        <v>20</v>
      </c>
      <c r="H951" t="s">
        <v>712</v>
      </c>
      <c r="I951">
        <f>3+2+4</f>
        <v>9</v>
      </c>
      <c r="J951" t="s">
        <v>594</v>
      </c>
      <c r="K951" t="s">
        <v>39</v>
      </c>
      <c r="L951" t="str">
        <f t="shared" si="133"/>
        <v>Control</v>
      </c>
      <c r="Q951" t="s">
        <v>412</v>
      </c>
      <c r="R951" t="s">
        <v>709</v>
      </c>
      <c r="S951" t="s">
        <v>703</v>
      </c>
      <c r="T951" t="s">
        <v>616</v>
      </c>
      <c r="U951" s="1"/>
      <c r="V951" s="1"/>
      <c r="W951">
        <f>[113]Karkomer_etal_1991_Fig2b!C4</f>
        <v>7.6640997433076388E-11</v>
      </c>
      <c r="X951" s="1"/>
      <c r="Y951" s="1"/>
      <c r="Z951" s="1"/>
      <c r="AD951" s="3"/>
      <c r="AE951" s="2"/>
      <c r="AF951" s="2"/>
      <c r="AJ951" t="s">
        <v>352</v>
      </c>
    </row>
    <row r="952" spans="1:36" x14ac:dyDescent="0.25">
      <c r="A952" t="s">
        <v>409</v>
      </c>
      <c r="B952" t="s">
        <v>16</v>
      </c>
      <c r="C952" t="s">
        <v>17</v>
      </c>
      <c r="D952" t="s">
        <v>18</v>
      </c>
      <c r="E952" t="s">
        <v>19</v>
      </c>
      <c r="F952" t="s">
        <v>20</v>
      </c>
      <c r="G952" t="s">
        <v>20</v>
      </c>
      <c r="H952" t="s">
        <v>712</v>
      </c>
      <c r="I952">
        <f>3+2+6</f>
        <v>11</v>
      </c>
      <c r="J952" t="s">
        <v>594</v>
      </c>
      <c r="K952" t="s">
        <v>39</v>
      </c>
      <c r="L952" t="str">
        <f t="shared" si="133"/>
        <v>Control</v>
      </c>
      <c r="Q952" t="s">
        <v>412</v>
      </c>
      <c r="R952" t="s">
        <v>709</v>
      </c>
      <c r="S952" t="s">
        <v>703</v>
      </c>
      <c r="T952" t="s">
        <v>616</v>
      </c>
      <c r="U952" s="1"/>
      <c r="V952" s="1"/>
      <c r="W952">
        <f>[113]Karkomer_etal_1991_Fig2b!C5</f>
        <v>9.1125779244591103E-11</v>
      </c>
      <c r="X952" s="1"/>
      <c r="Y952" s="1"/>
      <c r="Z952" s="1"/>
      <c r="AD952" s="3"/>
      <c r="AE952" s="2"/>
      <c r="AF952" s="2"/>
      <c r="AJ952" t="s">
        <v>352</v>
      </c>
    </row>
    <row r="953" spans="1:36" x14ac:dyDescent="0.25">
      <c r="A953" t="s">
        <v>409</v>
      </c>
      <c r="B953" t="s">
        <v>16</v>
      </c>
      <c r="C953" t="s">
        <v>17</v>
      </c>
      <c r="D953" t="s">
        <v>18</v>
      </c>
      <c r="E953" t="s">
        <v>19</v>
      </c>
      <c r="F953" t="s">
        <v>20</v>
      </c>
      <c r="G953" t="s">
        <v>20</v>
      </c>
      <c r="H953" t="s">
        <v>712</v>
      </c>
      <c r="I953">
        <f>3+2+1</f>
        <v>6</v>
      </c>
      <c r="J953" t="s">
        <v>594</v>
      </c>
      <c r="K953" t="s">
        <v>597</v>
      </c>
      <c r="L953" t="str">
        <f t="shared" si="133"/>
        <v>Stress</v>
      </c>
      <c r="Q953" t="s">
        <v>412</v>
      </c>
      <c r="R953" t="s">
        <v>709</v>
      </c>
      <c r="S953" t="s">
        <v>703</v>
      </c>
      <c r="T953" t="s">
        <v>616</v>
      </c>
      <c r="U953" s="1"/>
      <c r="V953" s="1"/>
      <c r="W953">
        <f>[113]Karkomer_etal_1991_Fig2b!C6</f>
        <v>7.9941327466079719E-11</v>
      </c>
      <c r="X953" s="1"/>
      <c r="Y953" s="1"/>
      <c r="Z953" s="1"/>
      <c r="AD953" s="3"/>
      <c r="AE953" s="2"/>
      <c r="AF953" s="2"/>
      <c r="AJ953" t="s">
        <v>352</v>
      </c>
    </row>
    <row r="954" spans="1:36" x14ac:dyDescent="0.25">
      <c r="A954" t="s">
        <v>409</v>
      </c>
      <c r="B954" t="s">
        <v>16</v>
      </c>
      <c r="C954" t="s">
        <v>17</v>
      </c>
      <c r="D954" t="s">
        <v>18</v>
      </c>
      <c r="E954" t="s">
        <v>19</v>
      </c>
      <c r="F954" t="s">
        <v>20</v>
      </c>
      <c r="G954" t="s">
        <v>20</v>
      </c>
      <c r="H954" t="s">
        <v>712</v>
      </c>
      <c r="I954">
        <f>3+2+2</f>
        <v>7</v>
      </c>
      <c r="J954" t="s">
        <v>594</v>
      </c>
      <c r="K954" t="s">
        <v>597</v>
      </c>
      <c r="L954" t="str">
        <f t="shared" si="133"/>
        <v>Stress</v>
      </c>
      <c r="Q954" t="s">
        <v>412</v>
      </c>
      <c r="R954" t="s">
        <v>709</v>
      </c>
      <c r="S954" t="s">
        <v>703</v>
      </c>
      <c r="T954" t="s">
        <v>616</v>
      </c>
      <c r="U954" s="1"/>
      <c r="V954" s="1"/>
      <c r="W954">
        <f>[113]Karkomer_etal_1991_Fig2b!C7</f>
        <v>6.3806380638063603E-11</v>
      </c>
      <c r="X954" s="1"/>
      <c r="Y954" s="1"/>
      <c r="Z954" s="1"/>
      <c r="AD954" s="3"/>
      <c r="AE954" s="2"/>
      <c r="AF954" s="2"/>
      <c r="AJ954" t="s">
        <v>352</v>
      </c>
    </row>
    <row r="955" spans="1:36" x14ac:dyDescent="0.25">
      <c r="A955" t="s">
        <v>409</v>
      </c>
      <c r="B955" t="s">
        <v>16</v>
      </c>
      <c r="C955" t="s">
        <v>17</v>
      </c>
      <c r="D955" t="s">
        <v>18</v>
      </c>
      <c r="E955" t="s">
        <v>19</v>
      </c>
      <c r="F955" t="s">
        <v>20</v>
      </c>
      <c r="G955" t="s">
        <v>20</v>
      </c>
      <c r="H955" t="s">
        <v>712</v>
      </c>
      <c r="I955">
        <f>3+2+4</f>
        <v>9</v>
      </c>
      <c r="J955" t="s">
        <v>594</v>
      </c>
      <c r="K955" t="s">
        <v>597</v>
      </c>
      <c r="L955" t="str">
        <f t="shared" si="133"/>
        <v>Stress</v>
      </c>
      <c r="Q955" t="s">
        <v>412</v>
      </c>
      <c r="R955" t="s">
        <v>709</v>
      </c>
      <c r="S955" t="s">
        <v>703</v>
      </c>
      <c r="T955" t="s">
        <v>616</v>
      </c>
      <c r="U955" s="1"/>
      <c r="V955" s="1"/>
      <c r="W955">
        <f>[113]Karkomer_etal_1991_Fig2b!C8</f>
        <v>2.1268793546021275E-11</v>
      </c>
      <c r="X955" s="1"/>
      <c r="Y955" s="1"/>
      <c r="Z955" s="1"/>
      <c r="AD955" s="3"/>
      <c r="AE955" s="2"/>
      <c r="AF955" s="2"/>
      <c r="AJ955" t="s">
        <v>352</v>
      </c>
    </row>
    <row r="956" spans="1:36" x14ac:dyDescent="0.25">
      <c r="A956" t="s">
        <v>409</v>
      </c>
      <c r="B956" t="s">
        <v>16</v>
      </c>
      <c r="C956" t="s">
        <v>17</v>
      </c>
      <c r="D956" t="s">
        <v>18</v>
      </c>
      <c r="E956" t="s">
        <v>19</v>
      </c>
      <c r="F956" t="s">
        <v>20</v>
      </c>
      <c r="G956" t="s">
        <v>20</v>
      </c>
      <c r="H956" t="s">
        <v>712</v>
      </c>
      <c r="I956">
        <f>3+2+6</f>
        <v>11</v>
      </c>
      <c r="J956" t="s">
        <v>594</v>
      </c>
      <c r="K956" t="s">
        <v>597</v>
      </c>
      <c r="L956" t="str">
        <f t="shared" si="133"/>
        <v>Stress</v>
      </c>
      <c r="Q956" t="s">
        <v>412</v>
      </c>
      <c r="R956" t="s">
        <v>709</v>
      </c>
      <c r="S956" t="s">
        <v>703</v>
      </c>
      <c r="T956" t="s">
        <v>616</v>
      </c>
      <c r="U956" s="1"/>
      <c r="V956" s="1"/>
      <c r="W956">
        <f>[113]Karkomer_etal_1991_Fig2b!C9</f>
        <v>2.273560689402272E-11</v>
      </c>
      <c r="X956" s="1"/>
      <c r="Y956" s="1"/>
      <c r="Z956" s="1"/>
      <c r="AD956" s="3"/>
      <c r="AE956" s="2"/>
      <c r="AF956" s="2"/>
      <c r="AJ956" t="s">
        <v>352</v>
      </c>
    </row>
    <row r="957" spans="1:36" x14ac:dyDescent="0.25">
      <c r="A957" t="s">
        <v>394</v>
      </c>
      <c r="B957" t="s">
        <v>206</v>
      </c>
      <c r="C957" t="s">
        <v>190</v>
      </c>
      <c r="D957" t="s">
        <v>191</v>
      </c>
      <c r="E957" t="s">
        <v>19</v>
      </c>
      <c r="G957" t="s">
        <v>621</v>
      </c>
      <c r="H957" t="s">
        <v>714</v>
      </c>
      <c r="I957">
        <v>12</v>
      </c>
      <c r="J957" t="s">
        <v>760</v>
      </c>
      <c r="K957" t="s">
        <v>501</v>
      </c>
      <c r="L957" t="s">
        <v>716</v>
      </c>
      <c r="Q957" t="s">
        <v>412</v>
      </c>
      <c r="R957" t="s">
        <v>709</v>
      </c>
      <c r="S957" t="s">
        <v>703</v>
      </c>
      <c r="T957" t="s">
        <v>615</v>
      </c>
      <c r="U957" s="1" t="s">
        <v>754</v>
      </c>
      <c r="V957" s="1">
        <f t="shared" ref="V957:V964" si="135">+Y957*AD957/100</f>
        <v>1.9131895193065377E-9</v>
      </c>
      <c r="W957" s="1"/>
      <c r="X957" s="1"/>
      <c r="Y957" s="1">
        <f>[114]Brar_etal_1991_Fig1!C2</f>
        <v>5.7975439978985998E-10</v>
      </c>
      <c r="Z957" s="1"/>
      <c r="AD957">
        <v>330</v>
      </c>
      <c r="AE957" s="2"/>
      <c r="AF957" s="2"/>
      <c r="AJ957" t="s">
        <v>203</v>
      </c>
    </row>
    <row r="958" spans="1:36" x14ac:dyDescent="0.25">
      <c r="A958" t="s">
        <v>394</v>
      </c>
      <c r="B958" t="s">
        <v>206</v>
      </c>
      <c r="C958" t="s">
        <v>190</v>
      </c>
      <c r="D958" t="s">
        <v>191</v>
      </c>
      <c r="E958" t="s">
        <v>19</v>
      </c>
      <c r="G958" t="s">
        <v>621</v>
      </c>
      <c r="H958" t="s">
        <v>714</v>
      </c>
      <c r="I958">
        <v>24</v>
      </c>
      <c r="J958" t="s">
        <v>760</v>
      </c>
      <c r="K958" t="s">
        <v>501</v>
      </c>
      <c r="L958" t="s">
        <v>716</v>
      </c>
      <c r="Q958" t="s">
        <v>412</v>
      </c>
      <c r="R958" t="s">
        <v>709</v>
      </c>
      <c r="S958" t="s">
        <v>703</v>
      </c>
      <c r="T958" t="s">
        <v>615</v>
      </c>
      <c r="U958" s="1" t="s">
        <v>754</v>
      </c>
      <c r="V958" s="1">
        <f t="shared" si="135"/>
        <v>5.3928224323614351E-9</v>
      </c>
      <c r="W958" s="1"/>
      <c r="X958" s="1"/>
      <c r="Y958" s="1">
        <f>[114]Brar_etal_1991_Fig1!C3</f>
        <v>4.0244943525085338E-10</v>
      </c>
      <c r="Z958" s="1"/>
      <c r="AD958">
        <v>1340</v>
      </c>
      <c r="AE958" s="2"/>
      <c r="AF958" s="2"/>
      <c r="AJ958" t="s">
        <v>203</v>
      </c>
    </row>
    <row r="959" spans="1:36" x14ac:dyDescent="0.25">
      <c r="A959" t="s">
        <v>394</v>
      </c>
      <c r="B959" t="s">
        <v>206</v>
      </c>
      <c r="C959" t="s">
        <v>190</v>
      </c>
      <c r="D959" t="s">
        <v>191</v>
      </c>
      <c r="E959" t="s">
        <v>19</v>
      </c>
      <c r="G959" t="s">
        <v>621</v>
      </c>
      <c r="H959" t="s">
        <v>714</v>
      </c>
      <c r="I959">
        <v>36</v>
      </c>
      <c r="J959" t="s">
        <v>760</v>
      </c>
      <c r="K959" t="s">
        <v>501</v>
      </c>
      <c r="L959" t="s">
        <v>716</v>
      </c>
      <c r="Q959" t="s">
        <v>412</v>
      </c>
      <c r="R959" t="s">
        <v>709</v>
      </c>
      <c r="S959" t="s">
        <v>703</v>
      </c>
      <c r="T959" t="s">
        <v>615</v>
      </c>
      <c r="U959" s="1" t="s">
        <v>754</v>
      </c>
      <c r="V959" s="1">
        <f t="shared" si="135"/>
        <v>7.6425531914893447E-9</v>
      </c>
      <c r="W959" s="1"/>
      <c r="X959" s="1"/>
      <c r="Y959" s="1">
        <f>[114]Brar_etal_1991_Fig1!C4</f>
        <v>2.6536643026004667E-10</v>
      </c>
      <c r="Z959" s="1"/>
      <c r="AD959">
        <v>2880</v>
      </c>
      <c r="AE959" s="2"/>
      <c r="AF959" s="2"/>
      <c r="AJ959" t="s">
        <v>203</v>
      </c>
    </row>
    <row r="960" spans="1:36" x14ac:dyDescent="0.25">
      <c r="A960" t="s">
        <v>394</v>
      </c>
      <c r="B960" t="s">
        <v>206</v>
      </c>
      <c r="C960" t="s">
        <v>190</v>
      </c>
      <c r="D960" t="s">
        <v>191</v>
      </c>
      <c r="E960" t="s">
        <v>19</v>
      </c>
      <c r="G960" t="s">
        <v>621</v>
      </c>
      <c r="H960" t="s">
        <v>714</v>
      </c>
      <c r="I960">
        <v>48</v>
      </c>
      <c r="J960" t="s">
        <v>760</v>
      </c>
      <c r="K960" t="s">
        <v>501</v>
      </c>
      <c r="L960" t="s">
        <v>716</v>
      </c>
      <c r="Q960" t="s">
        <v>412</v>
      </c>
      <c r="R960" t="s">
        <v>709</v>
      </c>
      <c r="S960" t="s">
        <v>703</v>
      </c>
      <c r="T960" t="s">
        <v>615</v>
      </c>
      <c r="U960" s="1" t="s">
        <v>754</v>
      </c>
      <c r="V960" s="1">
        <f t="shared" si="135"/>
        <v>3.3627767927501948E-8</v>
      </c>
      <c r="W960" s="1"/>
      <c r="X960" s="1"/>
      <c r="Y960" s="1">
        <f>[114]Brar_etal_1991_Fig1!C5</f>
        <v>3.5812319411610164E-10</v>
      </c>
      <c r="Z960" s="1"/>
      <c r="AD960">
        <v>9390</v>
      </c>
      <c r="AE960" s="2"/>
      <c r="AF960" s="2"/>
      <c r="AJ960" t="s">
        <v>203</v>
      </c>
    </row>
    <row r="961" spans="1:36" x14ac:dyDescent="0.25">
      <c r="A961" t="s">
        <v>394</v>
      </c>
      <c r="B961" t="s">
        <v>206</v>
      </c>
      <c r="C961" t="s">
        <v>190</v>
      </c>
      <c r="D961" t="s">
        <v>191</v>
      </c>
      <c r="E961" t="s">
        <v>19</v>
      </c>
      <c r="G961" t="s">
        <v>621</v>
      </c>
      <c r="H961" t="s">
        <v>714</v>
      </c>
      <c r="I961">
        <v>12</v>
      </c>
      <c r="J961" t="s">
        <v>760</v>
      </c>
      <c r="K961" t="s">
        <v>502</v>
      </c>
      <c r="L961" t="s">
        <v>716</v>
      </c>
      <c r="Q961" t="s">
        <v>412</v>
      </c>
      <c r="R961" t="s">
        <v>709</v>
      </c>
      <c r="S961" t="s">
        <v>703</v>
      </c>
      <c r="T961" t="s">
        <v>615</v>
      </c>
      <c r="U961" s="1" t="s">
        <v>754</v>
      </c>
      <c r="V961" s="1">
        <f t="shared" si="135"/>
        <v>4.3171132125032815E-10</v>
      </c>
      <c r="W961" s="1"/>
      <c r="X961" s="1"/>
      <c r="Y961" s="1">
        <f>[114]Brar_etal_1991_Fig1!C6</f>
        <v>1.6604281586551082E-10</v>
      </c>
      <c r="Z961" s="1"/>
      <c r="AD961">
        <v>260</v>
      </c>
      <c r="AE961" s="2"/>
      <c r="AF961" s="2"/>
      <c r="AJ961" t="s">
        <v>203</v>
      </c>
    </row>
    <row r="962" spans="1:36" x14ac:dyDescent="0.25">
      <c r="A962" t="s">
        <v>394</v>
      </c>
      <c r="B962" t="s">
        <v>206</v>
      </c>
      <c r="C962" t="s">
        <v>190</v>
      </c>
      <c r="D962" t="s">
        <v>191</v>
      </c>
      <c r="E962" t="s">
        <v>19</v>
      </c>
      <c r="G962" t="s">
        <v>621</v>
      </c>
      <c r="H962" t="s">
        <v>714</v>
      </c>
      <c r="I962">
        <v>24</v>
      </c>
      <c r="J962" t="s">
        <v>760</v>
      </c>
      <c r="K962" t="s">
        <v>502</v>
      </c>
      <c r="L962" t="s">
        <v>716</v>
      </c>
      <c r="Q962" t="s">
        <v>412</v>
      </c>
      <c r="R962" t="s">
        <v>709</v>
      </c>
      <c r="S962" t="s">
        <v>703</v>
      </c>
      <c r="T962" t="s">
        <v>615</v>
      </c>
      <c r="U962" s="1" t="s">
        <v>754</v>
      </c>
      <c r="V962" s="1">
        <f t="shared" si="135"/>
        <v>9.8439716312056553E-10</v>
      </c>
      <c r="W962" s="1"/>
      <c r="X962" s="1"/>
      <c r="Y962" s="1">
        <f>[114]Brar_etal_1991_Fig1!C7</f>
        <v>6.8360914105594835E-11</v>
      </c>
      <c r="Z962" s="1"/>
      <c r="AD962">
        <v>1440</v>
      </c>
      <c r="AE962" s="2"/>
      <c r="AF962" s="2"/>
      <c r="AJ962" t="s">
        <v>203</v>
      </c>
    </row>
    <row r="963" spans="1:36" x14ac:dyDescent="0.25">
      <c r="A963" t="s">
        <v>394</v>
      </c>
      <c r="B963" t="s">
        <v>206</v>
      </c>
      <c r="C963" t="s">
        <v>190</v>
      </c>
      <c r="D963" t="s">
        <v>191</v>
      </c>
      <c r="E963" t="s">
        <v>19</v>
      </c>
      <c r="G963" t="s">
        <v>621</v>
      </c>
      <c r="H963" t="s">
        <v>714</v>
      </c>
      <c r="I963">
        <v>36</v>
      </c>
      <c r="J963" t="s">
        <v>760</v>
      </c>
      <c r="K963" t="s">
        <v>502</v>
      </c>
      <c r="L963" t="s">
        <v>716</v>
      </c>
      <c r="Q963" t="s">
        <v>412</v>
      </c>
      <c r="R963" t="s">
        <v>709</v>
      </c>
      <c r="S963" t="s">
        <v>703</v>
      </c>
      <c r="T963" t="s">
        <v>615</v>
      </c>
      <c r="U963" s="1" t="s">
        <v>754</v>
      </c>
      <c r="V963" s="1">
        <f t="shared" si="135"/>
        <v>1.3037431048069308E-9</v>
      </c>
      <c r="W963" s="1"/>
      <c r="X963" s="1"/>
      <c r="Y963" s="1">
        <f>[114]Brar_etal_1991_Fig1!C8</f>
        <v>7.4927764644076502E-11</v>
      </c>
      <c r="Z963" s="1"/>
      <c r="AD963">
        <v>1739.9999999999998</v>
      </c>
      <c r="AE963" s="2"/>
      <c r="AF963" s="2"/>
      <c r="AJ963" t="s">
        <v>203</v>
      </c>
    </row>
    <row r="964" spans="1:36" x14ac:dyDescent="0.25">
      <c r="A964" t="s">
        <v>394</v>
      </c>
      <c r="B964" t="s">
        <v>206</v>
      </c>
      <c r="C964" t="s">
        <v>190</v>
      </c>
      <c r="D964" t="s">
        <v>191</v>
      </c>
      <c r="E964" t="s">
        <v>19</v>
      </c>
      <c r="G964" t="s">
        <v>621</v>
      </c>
      <c r="H964" t="s">
        <v>714</v>
      </c>
      <c r="I964">
        <v>48</v>
      </c>
      <c r="J964" t="s">
        <v>760</v>
      </c>
      <c r="K964" t="s">
        <v>502</v>
      </c>
      <c r="L964" t="s">
        <v>716</v>
      </c>
      <c r="Q964" t="s">
        <v>412</v>
      </c>
      <c r="R964" t="s">
        <v>709</v>
      </c>
      <c r="S964" t="s">
        <v>703</v>
      </c>
      <c r="T964" t="s">
        <v>615</v>
      </c>
      <c r="U964" s="1" t="s">
        <v>754</v>
      </c>
      <c r="V964" s="1">
        <f t="shared" si="135"/>
        <v>7.8998226950354509E-10</v>
      </c>
      <c r="W964" s="1"/>
      <c r="X964" s="1"/>
      <c r="Y964" s="1">
        <f>[114]Brar_etal_1991_Fig1!C9</f>
        <v>4.6197793538219003E-11</v>
      </c>
      <c r="Z964" s="1"/>
      <c r="AD964">
        <v>1710.0000000000002</v>
      </c>
      <c r="AE964" s="2"/>
      <c r="AF964" s="2"/>
      <c r="AJ964" t="s">
        <v>203</v>
      </c>
    </row>
    <row r="965" spans="1:36" x14ac:dyDescent="0.25">
      <c r="A965" t="s">
        <v>207</v>
      </c>
      <c r="B965" t="s">
        <v>16</v>
      </c>
      <c r="C965" t="s">
        <v>17</v>
      </c>
      <c r="D965" t="s">
        <v>18</v>
      </c>
      <c r="E965" t="s">
        <v>19</v>
      </c>
      <c r="F965" t="s">
        <v>20</v>
      </c>
      <c r="G965" t="s">
        <v>20</v>
      </c>
      <c r="H965" t="s">
        <v>712</v>
      </c>
      <c r="I965">
        <f>10+2+7+4</f>
        <v>23</v>
      </c>
      <c r="J965" t="s">
        <v>208</v>
      </c>
      <c r="K965" t="s">
        <v>39</v>
      </c>
      <c r="L965" t="str">
        <f t="shared" ref="L965:L974" si="136">+IF(K965 = "Control", "Control", "Stress")</f>
        <v>Control</v>
      </c>
      <c r="Q965" t="s">
        <v>412</v>
      </c>
      <c r="R965" t="s">
        <v>709</v>
      </c>
      <c r="S965" t="s">
        <v>703</v>
      </c>
      <c r="T965" t="s">
        <v>615</v>
      </c>
      <c r="U965" s="1" t="s">
        <v>754</v>
      </c>
      <c r="V965" s="1">
        <f t="shared" ref="V965:V974" si="137">+AA965*AC965/10000</f>
        <v>3.6581697171381057E-10</v>
      </c>
      <c r="W965" s="1"/>
      <c r="X965" s="1"/>
      <c r="Y965" s="1"/>
      <c r="Z965" s="1"/>
      <c r="AA965" s="1">
        <f>[115]Berryman_etal_1991_Fig2!B2</f>
        <v>2.4226289517470898E-7</v>
      </c>
      <c r="AC965">
        <v>15.1</v>
      </c>
      <c r="AE965" s="2"/>
      <c r="AF965" s="2"/>
      <c r="AJ965" t="s">
        <v>203</v>
      </c>
    </row>
    <row r="966" spans="1:36" x14ac:dyDescent="0.25">
      <c r="A966" t="s">
        <v>207</v>
      </c>
      <c r="B966" t="s">
        <v>16</v>
      </c>
      <c r="C966" t="s">
        <v>17</v>
      </c>
      <c r="D966" t="s">
        <v>18</v>
      </c>
      <c r="E966" t="s">
        <v>19</v>
      </c>
      <c r="F966" t="s">
        <v>20</v>
      </c>
      <c r="G966" t="s">
        <v>20</v>
      </c>
      <c r="H966" t="s">
        <v>712</v>
      </c>
      <c r="I966">
        <f>10+2+7+5</f>
        <v>24</v>
      </c>
      <c r="J966" t="s">
        <v>208</v>
      </c>
      <c r="K966" t="s">
        <v>39</v>
      </c>
      <c r="L966" t="str">
        <f t="shared" si="136"/>
        <v>Control</v>
      </c>
      <c r="Q966" t="s">
        <v>412</v>
      </c>
      <c r="R966" t="s">
        <v>709</v>
      </c>
      <c r="S966" t="s">
        <v>703</v>
      </c>
      <c r="T966" t="s">
        <v>615</v>
      </c>
      <c r="U966" s="1" t="s">
        <v>754</v>
      </c>
      <c r="V966" s="1">
        <f t="shared" si="137"/>
        <v>3.8893178036605559E-10</v>
      </c>
      <c r="W966" s="1"/>
      <c r="X966" s="1"/>
      <c r="Y966" s="1"/>
      <c r="Z966" s="1"/>
      <c r="AA966" s="1">
        <f>[115]Berryman_etal_1991_Fig2!B3</f>
        <v>2.5757071547420901E-7</v>
      </c>
      <c r="AC966">
        <v>15.1</v>
      </c>
      <c r="AE966" s="2"/>
      <c r="AF966" s="2"/>
      <c r="AJ966" t="s">
        <v>203</v>
      </c>
    </row>
    <row r="967" spans="1:36" x14ac:dyDescent="0.25">
      <c r="A967" t="s">
        <v>207</v>
      </c>
      <c r="B967" t="s">
        <v>16</v>
      </c>
      <c r="C967" t="s">
        <v>17</v>
      </c>
      <c r="D967" t="s">
        <v>18</v>
      </c>
      <c r="E967" t="s">
        <v>19</v>
      </c>
      <c r="F967" t="s">
        <v>20</v>
      </c>
      <c r="G967" t="s">
        <v>20</v>
      </c>
      <c r="H967" t="s">
        <v>712</v>
      </c>
      <c r="I967">
        <f>10+2+7+6</f>
        <v>25</v>
      </c>
      <c r="J967" t="s">
        <v>208</v>
      </c>
      <c r="K967" t="s">
        <v>39</v>
      </c>
      <c r="L967" t="str">
        <f t="shared" si="136"/>
        <v>Control</v>
      </c>
      <c r="Q967" t="s">
        <v>412</v>
      </c>
      <c r="R967" t="s">
        <v>709</v>
      </c>
      <c r="S967" t="s">
        <v>703</v>
      </c>
      <c r="T967" t="s">
        <v>615</v>
      </c>
      <c r="U967" s="1" t="s">
        <v>754</v>
      </c>
      <c r="V967" s="1">
        <f t="shared" si="137"/>
        <v>5.1053577371048175E-10</v>
      </c>
      <c r="W967" s="1"/>
      <c r="X967" s="1"/>
      <c r="Y967" s="1"/>
      <c r="Z967" s="1"/>
      <c r="AA967" s="1">
        <f>[115]Berryman_etal_1991_Fig2!B4</f>
        <v>3.3810316139767003E-7</v>
      </c>
      <c r="AC967">
        <v>15.1</v>
      </c>
      <c r="AE967" s="2"/>
      <c r="AF967" s="2"/>
      <c r="AJ967" t="s">
        <v>203</v>
      </c>
    </row>
    <row r="968" spans="1:36" x14ac:dyDescent="0.25">
      <c r="A968" t="s">
        <v>207</v>
      </c>
      <c r="B968" t="s">
        <v>16</v>
      </c>
      <c r="C968" t="s">
        <v>17</v>
      </c>
      <c r="D968" t="s">
        <v>18</v>
      </c>
      <c r="E968" t="s">
        <v>19</v>
      </c>
      <c r="F968" t="s">
        <v>20</v>
      </c>
      <c r="G968" t="s">
        <v>20</v>
      </c>
      <c r="H968" t="s">
        <v>712</v>
      </c>
      <c r="I968">
        <f>10+2+7+7</f>
        <v>26</v>
      </c>
      <c r="J968" t="s">
        <v>208</v>
      </c>
      <c r="K968" t="s">
        <v>39</v>
      </c>
      <c r="L968" t="str">
        <f t="shared" si="136"/>
        <v>Control</v>
      </c>
      <c r="Q968" t="s">
        <v>412</v>
      </c>
      <c r="R968" t="s">
        <v>709</v>
      </c>
      <c r="S968" t="s">
        <v>703</v>
      </c>
      <c r="T968" t="s">
        <v>615</v>
      </c>
      <c r="U968" s="1" t="s">
        <v>754</v>
      </c>
      <c r="V968" s="1">
        <f t="shared" si="137"/>
        <v>5.9696505823627265E-10</v>
      </c>
      <c r="W968" s="1"/>
      <c r="X968" s="1"/>
      <c r="Y968" s="1"/>
      <c r="Z968" s="1"/>
      <c r="AA968" s="1">
        <f>[115]Berryman_etal_1991_Fig2!B5</f>
        <v>3.9534109816971698E-7</v>
      </c>
      <c r="AC968">
        <v>15.1</v>
      </c>
      <c r="AE968" s="2"/>
      <c r="AF968" s="2"/>
      <c r="AJ968" t="s">
        <v>203</v>
      </c>
    </row>
    <row r="969" spans="1:36" x14ac:dyDescent="0.25">
      <c r="A969" t="s">
        <v>207</v>
      </c>
      <c r="B969" t="s">
        <v>16</v>
      </c>
      <c r="C969" t="s">
        <v>17</v>
      </c>
      <c r="D969" t="s">
        <v>18</v>
      </c>
      <c r="E969" t="s">
        <v>19</v>
      </c>
      <c r="F969" t="s">
        <v>20</v>
      </c>
      <c r="G969" t="s">
        <v>20</v>
      </c>
      <c r="H969" t="s">
        <v>712</v>
      </c>
      <c r="I969">
        <f>10+2+7+8</f>
        <v>27</v>
      </c>
      <c r="J969" t="s">
        <v>208</v>
      </c>
      <c r="K969" t="s">
        <v>39</v>
      </c>
      <c r="L969" t="str">
        <f t="shared" si="136"/>
        <v>Control</v>
      </c>
      <c r="Q969" t="s">
        <v>412</v>
      </c>
      <c r="R969" t="s">
        <v>709</v>
      </c>
      <c r="S969" t="s">
        <v>703</v>
      </c>
      <c r="T969" t="s">
        <v>615</v>
      </c>
      <c r="U969" s="1" t="s">
        <v>754</v>
      </c>
      <c r="V969" s="1">
        <f t="shared" si="137"/>
        <v>5.999800332778694E-10</v>
      </c>
      <c r="W969" s="1"/>
      <c r="X969" s="1"/>
      <c r="Y969" s="1"/>
      <c r="Z969" s="1"/>
      <c r="AA969" s="1">
        <f>[115]Berryman_etal_1991_Fig2!B6</f>
        <v>3.9733777038269498E-7</v>
      </c>
      <c r="AC969">
        <v>15.1</v>
      </c>
      <c r="AE969" s="2"/>
      <c r="AF969" s="2"/>
      <c r="AJ969" t="s">
        <v>203</v>
      </c>
    </row>
    <row r="970" spans="1:36" x14ac:dyDescent="0.25">
      <c r="A970" t="s">
        <v>207</v>
      </c>
      <c r="B970" t="s">
        <v>16</v>
      </c>
      <c r="C970" t="s">
        <v>17</v>
      </c>
      <c r="D970" t="s">
        <v>18</v>
      </c>
      <c r="E970" t="s">
        <v>19</v>
      </c>
      <c r="F970" t="s">
        <v>20</v>
      </c>
      <c r="G970" t="s">
        <v>20</v>
      </c>
      <c r="H970" t="s">
        <v>712</v>
      </c>
      <c r="I970">
        <f>10+2+7+4</f>
        <v>23</v>
      </c>
      <c r="J970" t="s">
        <v>208</v>
      </c>
      <c r="K970" t="s">
        <v>209</v>
      </c>
      <c r="L970" t="str">
        <f t="shared" si="136"/>
        <v>Stress</v>
      </c>
      <c r="Q970" t="s">
        <v>412</v>
      </c>
      <c r="R970" t="s">
        <v>709</v>
      </c>
      <c r="S970" t="s">
        <v>703</v>
      </c>
      <c r="T970" t="s">
        <v>615</v>
      </c>
      <c r="U970" s="1" t="s">
        <v>754</v>
      </c>
      <c r="V970" s="1">
        <f t="shared" si="137"/>
        <v>3.4085191347753631E-10</v>
      </c>
      <c r="W970" s="1"/>
      <c r="X970" s="1"/>
      <c r="Y970" s="1"/>
      <c r="Z970" s="1"/>
      <c r="AA970" s="1">
        <f>[115]Berryman_etal_1991_Fig2!B7</f>
        <v>2.6422628951747002E-7</v>
      </c>
      <c r="AC970">
        <v>12.9</v>
      </c>
      <c r="AE970" s="2"/>
      <c r="AF970" s="2"/>
      <c r="AJ970" t="s">
        <v>203</v>
      </c>
    </row>
    <row r="971" spans="1:36" x14ac:dyDescent="0.25">
      <c r="A971" t="s">
        <v>207</v>
      </c>
      <c r="B971" t="s">
        <v>16</v>
      </c>
      <c r="C971" t="s">
        <v>17</v>
      </c>
      <c r="D971" t="s">
        <v>18</v>
      </c>
      <c r="E971" t="s">
        <v>19</v>
      </c>
      <c r="F971" t="s">
        <v>20</v>
      </c>
      <c r="G971" t="s">
        <v>20</v>
      </c>
      <c r="H971" t="s">
        <v>712</v>
      </c>
      <c r="I971">
        <f>10+2+7+5</f>
        <v>24</v>
      </c>
      <c r="J971" t="s">
        <v>208</v>
      </c>
      <c r="K971" t="s">
        <v>209</v>
      </c>
      <c r="L971" t="str">
        <f t="shared" si="136"/>
        <v>Stress</v>
      </c>
      <c r="Q971" t="s">
        <v>412</v>
      </c>
      <c r="R971" t="s">
        <v>709</v>
      </c>
      <c r="S971" t="s">
        <v>703</v>
      </c>
      <c r="T971" t="s">
        <v>615</v>
      </c>
      <c r="U971" s="1" t="s">
        <v>754</v>
      </c>
      <c r="V971" s="1">
        <f t="shared" si="137"/>
        <v>1.9489517470881871E-10</v>
      </c>
      <c r="W971" s="1"/>
      <c r="X971" s="1"/>
      <c r="Y971" s="1"/>
      <c r="Z971" s="1"/>
      <c r="AA971" s="1">
        <f>[115]Berryman_etal_1991_Fig2!B8</f>
        <v>1.5108153078202999E-7</v>
      </c>
      <c r="AC971">
        <v>12.9</v>
      </c>
      <c r="AE971" s="2"/>
      <c r="AF971" s="2"/>
      <c r="AJ971" t="s">
        <v>203</v>
      </c>
    </row>
    <row r="972" spans="1:36" x14ac:dyDescent="0.25">
      <c r="A972" t="s">
        <v>207</v>
      </c>
      <c r="B972" t="s">
        <v>16</v>
      </c>
      <c r="C972" t="s">
        <v>17</v>
      </c>
      <c r="D972" t="s">
        <v>18</v>
      </c>
      <c r="E972" t="s">
        <v>19</v>
      </c>
      <c r="F972" t="s">
        <v>20</v>
      </c>
      <c r="G972" t="s">
        <v>20</v>
      </c>
      <c r="H972" t="s">
        <v>712</v>
      </c>
      <c r="I972">
        <f>10+2+7+6</f>
        <v>25</v>
      </c>
      <c r="J972" t="s">
        <v>208</v>
      </c>
      <c r="K972" t="s">
        <v>209</v>
      </c>
      <c r="L972" t="str">
        <f t="shared" si="136"/>
        <v>Stress</v>
      </c>
      <c r="Q972" t="s">
        <v>412</v>
      </c>
      <c r="R972" t="s">
        <v>709</v>
      </c>
      <c r="S972" t="s">
        <v>703</v>
      </c>
      <c r="T972" t="s">
        <v>615</v>
      </c>
      <c r="U972" s="1" t="s">
        <v>754</v>
      </c>
      <c r="V972" s="1">
        <f t="shared" si="137"/>
        <v>2.4211647254575616E-10</v>
      </c>
      <c r="W972" s="1"/>
      <c r="X972" s="1"/>
      <c r="Y972" s="1"/>
      <c r="Z972" s="1"/>
      <c r="AA972" s="1">
        <f>[115]Berryman_etal_1991_Fig2!B9</f>
        <v>1.8768718801996599E-7</v>
      </c>
      <c r="AC972">
        <v>12.9</v>
      </c>
      <c r="AE972" s="2"/>
      <c r="AF972" s="2"/>
      <c r="AJ972" t="s">
        <v>203</v>
      </c>
    </row>
    <row r="973" spans="1:36" x14ac:dyDescent="0.25">
      <c r="A973" t="s">
        <v>207</v>
      </c>
      <c r="B973" t="s">
        <v>16</v>
      </c>
      <c r="C973" t="s">
        <v>17</v>
      </c>
      <c r="D973" t="s">
        <v>18</v>
      </c>
      <c r="E973" t="s">
        <v>19</v>
      </c>
      <c r="F973" t="s">
        <v>20</v>
      </c>
      <c r="G973" t="s">
        <v>20</v>
      </c>
      <c r="H973" t="s">
        <v>712</v>
      </c>
      <c r="I973">
        <f>10+2+7+7</f>
        <v>26</v>
      </c>
      <c r="J973" t="s">
        <v>208</v>
      </c>
      <c r="K973" t="s">
        <v>209</v>
      </c>
      <c r="L973" t="str">
        <f t="shared" si="136"/>
        <v>Stress</v>
      </c>
      <c r="Q973" t="s">
        <v>412</v>
      </c>
      <c r="R973" t="s">
        <v>709</v>
      </c>
      <c r="S973" t="s">
        <v>703</v>
      </c>
      <c r="T973" t="s">
        <v>615</v>
      </c>
      <c r="U973" s="1" t="s">
        <v>754</v>
      </c>
      <c r="V973" s="1">
        <f t="shared" si="137"/>
        <v>2.987820299500821E-10</v>
      </c>
      <c r="W973" s="1"/>
      <c r="X973" s="1"/>
      <c r="Y973" s="1"/>
      <c r="Z973" s="1"/>
      <c r="AA973" s="1">
        <f>[115]Berryman_etal_1991_Fig2!B10</f>
        <v>2.3161397670549E-7</v>
      </c>
      <c r="AC973">
        <v>12.9</v>
      </c>
      <c r="AE973" s="2"/>
      <c r="AF973" s="2"/>
      <c r="AJ973" t="s">
        <v>203</v>
      </c>
    </row>
    <row r="974" spans="1:36" x14ac:dyDescent="0.25">
      <c r="A974" t="s">
        <v>207</v>
      </c>
      <c r="B974" t="s">
        <v>16</v>
      </c>
      <c r="C974" t="s">
        <v>17</v>
      </c>
      <c r="D974" t="s">
        <v>18</v>
      </c>
      <c r="E974" t="s">
        <v>19</v>
      </c>
      <c r="F974" t="s">
        <v>20</v>
      </c>
      <c r="G974" t="s">
        <v>20</v>
      </c>
      <c r="H974" t="s">
        <v>712</v>
      </c>
      <c r="I974">
        <f>10+2+7+8</f>
        <v>27</v>
      </c>
      <c r="J974" t="s">
        <v>208</v>
      </c>
      <c r="K974" t="s">
        <v>209</v>
      </c>
      <c r="L974" t="str">
        <f t="shared" si="136"/>
        <v>Stress</v>
      </c>
      <c r="Q974" t="s">
        <v>412</v>
      </c>
      <c r="R974" t="s">
        <v>709</v>
      </c>
      <c r="S974" t="s">
        <v>703</v>
      </c>
      <c r="T974" t="s">
        <v>615</v>
      </c>
      <c r="U974" s="1" t="s">
        <v>754</v>
      </c>
      <c r="V974" s="1">
        <f t="shared" si="137"/>
        <v>4.8079866888519143E-10</v>
      </c>
      <c r="W974" s="1"/>
      <c r="X974" s="1"/>
      <c r="Y974" s="1"/>
      <c r="Z974" s="1"/>
      <c r="AA974" s="1">
        <f>[115]Berryman_etal_1991_Fig2!B11</f>
        <v>3.72712146422629E-7</v>
      </c>
      <c r="AC974">
        <v>12.9</v>
      </c>
      <c r="AE974" s="2"/>
      <c r="AF974" s="2"/>
      <c r="AJ974" t="s">
        <v>203</v>
      </c>
    </row>
    <row r="975" spans="1:36" x14ac:dyDescent="0.25">
      <c r="A975" t="s">
        <v>210</v>
      </c>
      <c r="B975" t="s">
        <v>211</v>
      </c>
      <c r="C975" t="s">
        <v>212</v>
      </c>
      <c r="D975" t="s">
        <v>200</v>
      </c>
      <c r="E975" t="s">
        <v>19</v>
      </c>
      <c r="F975" t="s">
        <v>201</v>
      </c>
      <c r="G975" t="s">
        <v>620</v>
      </c>
      <c r="H975" t="s">
        <v>713</v>
      </c>
      <c r="I975">
        <f t="shared" ref="I975:I983" si="138">9*30</f>
        <v>270</v>
      </c>
      <c r="J975" t="s">
        <v>600</v>
      </c>
      <c r="K975" t="s">
        <v>503</v>
      </c>
      <c r="L975" t="s">
        <v>716</v>
      </c>
      <c r="Q975" t="s">
        <v>412</v>
      </c>
      <c r="R975" t="s">
        <v>709</v>
      </c>
      <c r="S975" t="s">
        <v>703</v>
      </c>
      <c r="T975" t="s">
        <v>615</v>
      </c>
      <c r="U975" s="1" t="s">
        <v>755</v>
      </c>
      <c r="V975" s="1">
        <v>7.7500000000000001E-10</v>
      </c>
      <c r="W975" s="1"/>
      <c r="X975" s="1"/>
      <c r="Y975" s="1">
        <v>2.0399999999999999E-11</v>
      </c>
      <c r="Z975" s="1"/>
      <c r="AB975" s="2"/>
      <c r="AC975" s="3"/>
      <c r="AD975">
        <v>3950</v>
      </c>
      <c r="AE975" s="2">
        <v>2.39</v>
      </c>
      <c r="AF975" s="2"/>
      <c r="AJ975" t="s">
        <v>203</v>
      </c>
    </row>
    <row r="976" spans="1:36" x14ac:dyDescent="0.25">
      <c r="A976" t="s">
        <v>210</v>
      </c>
      <c r="B976" t="s">
        <v>211</v>
      </c>
      <c r="C976" t="s">
        <v>212</v>
      </c>
      <c r="D976" t="s">
        <v>200</v>
      </c>
      <c r="E976" t="s">
        <v>19</v>
      </c>
      <c r="F976" t="s">
        <v>201</v>
      </c>
      <c r="G976" t="s">
        <v>620</v>
      </c>
      <c r="H976" t="s">
        <v>713</v>
      </c>
      <c r="I976">
        <f t="shared" si="138"/>
        <v>270</v>
      </c>
      <c r="J976" t="s">
        <v>600</v>
      </c>
      <c r="K976" t="s">
        <v>504</v>
      </c>
      <c r="L976" t="s">
        <v>716</v>
      </c>
      <c r="Q976" t="s">
        <v>412</v>
      </c>
      <c r="R976" t="s">
        <v>709</v>
      </c>
      <c r="S976" t="s">
        <v>703</v>
      </c>
      <c r="T976" t="s">
        <v>615</v>
      </c>
      <c r="U976" s="1" t="s">
        <v>755</v>
      </c>
      <c r="V976" s="1">
        <v>8.1099999999999999E-10</v>
      </c>
      <c r="W976" s="1"/>
      <c r="X976" s="1"/>
      <c r="Y976" s="1">
        <v>2.5899999999999996E-11</v>
      </c>
      <c r="Z976" s="1"/>
      <c r="AB976" s="2"/>
      <c r="AD976">
        <v>3160</v>
      </c>
      <c r="AE976" s="2">
        <v>2.08</v>
      </c>
      <c r="AF976" s="2"/>
      <c r="AJ976" t="s">
        <v>203</v>
      </c>
    </row>
    <row r="977" spans="1:36" x14ac:dyDescent="0.25">
      <c r="A977" t="s">
        <v>210</v>
      </c>
      <c r="B977" t="s">
        <v>211</v>
      </c>
      <c r="C977" t="s">
        <v>212</v>
      </c>
      <c r="D977" t="s">
        <v>200</v>
      </c>
      <c r="E977" t="s">
        <v>19</v>
      </c>
      <c r="F977" t="s">
        <v>201</v>
      </c>
      <c r="G977" t="s">
        <v>620</v>
      </c>
      <c r="H977" t="s">
        <v>713</v>
      </c>
      <c r="I977">
        <f t="shared" si="138"/>
        <v>270</v>
      </c>
      <c r="J977" t="s">
        <v>600</v>
      </c>
      <c r="K977" t="s">
        <v>505</v>
      </c>
      <c r="L977" t="s">
        <v>716</v>
      </c>
      <c r="Q977" t="s">
        <v>412</v>
      </c>
      <c r="R977" t="s">
        <v>709</v>
      </c>
      <c r="S977" t="s">
        <v>703</v>
      </c>
      <c r="T977" t="s">
        <v>615</v>
      </c>
      <c r="U977" s="1" t="s">
        <v>755</v>
      </c>
      <c r="V977" s="1">
        <v>1.14E-9</v>
      </c>
      <c r="W977" s="1"/>
      <c r="X977" s="1"/>
      <c r="Y977" s="1">
        <v>2.8099999999999999E-11</v>
      </c>
      <c r="Z977" s="1"/>
      <c r="AB977" s="2"/>
      <c r="AD977">
        <v>4320</v>
      </c>
      <c r="AE977" s="2">
        <v>2.69</v>
      </c>
      <c r="AF977" s="2"/>
      <c r="AJ977" t="s">
        <v>203</v>
      </c>
    </row>
    <row r="978" spans="1:36" x14ac:dyDescent="0.25">
      <c r="A978" t="s">
        <v>210</v>
      </c>
      <c r="B978" t="s">
        <v>211</v>
      </c>
      <c r="C978" t="s">
        <v>212</v>
      </c>
      <c r="D978" t="s">
        <v>200</v>
      </c>
      <c r="E978" t="s">
        <v>19</v>
      </c>
      <c r="F978" t="s">
        <v>201</v>
      </c>
      <c r="G978" t="s">
        <v>620</v>
      </c>
      <c r="H978" t="s">
        <v>713</v>
      </c>
      <c r="I978">
        <f t="shared" si="138"/>
        <v>270</v>
      </c>
      <c r="J978" t="s">
        <v>213</v>
      </c>
      <c r="K978" t="s">
        <v>458</v>
      </c>
      <c r="L978" t="s">
        <v>716</v>
      </c>
      <c r="Q978" t="s">
        <v>412</v>
      </c>
      <c r="R978" t="s">
        <v>709</v>
      </c>
      <c r="S978" t="s">
        <v>703</v>
      </c>
      <c r="T978" t="s">
        <v>615</v>
      </c>
      <c r="U978" s="1" t="s">
        <v>755</v>
      </c>
      <c r="V978" s="1">
        <v>7.78E-10</v>
      </c>
      <c r="W978" s="1"/>
      <c r="X978" s="1"/>
      <c r="Y978" s="1">
        <v>2.1099999999999997E-11</v>
      </c>
      <c r="Z978" s="1"/>
      <c r="AB978" s="2"/>
      <c r="AD978">
        <v>3890</v>
      </c>
      <c r="AE978" s="2">
        <v>2.4700000000000002</v>
      </c>
      <c r="AF978" s="2"/>
      <c r="AJ978" t="s">
        <v>203</v>
      </c>
    </row>
    <row r="979" spans="1:36" x14ac:dyDescent="0.25">
      <c r="A979" t="s">
        <v>210</v>
      </c>
      <c r="B979" t="s">
        <v>211</v>
      </c>
      <c r="C979" t="s">
        <v>212</v>
      </c>
      <c r="D979" t="s">
        <v>200</v>
      </c>
      <c r="E979" t="s">
        <v>19</v>
      </c>
      <c r="F979" t="s">
        <v>201</v>
      </c>
      <c r="G979" t="s">
        <v>620</v>
      </c>
      <c r="H979" t="s">
        <v>713</v>
      </c>
      <c r="I979">
        <f t="shared" si="138"/>
        <v>270</v>
      </c>
      <c r="J979" t="s">
        <v>213</v>
      </c>
      <c r="K979" t="s">
        <v>419</v>
      </c>
      <c r="L979" t="s">
        <v>716</v>
      </c>
      <c r="Q979" t="s">
        <v>412</v>
      </c>
      <c r="R979" t="s">
        <v>709</v>
      </c>
      <c r="S979" t="s">
        <v>703</v>
      </c>
      <c r="T979" t="s">
        <v>615</v>
      </c>
      <c r="U979" s="1" t="s">
        <v>755</v>
      </c>
      <c r="V979" s="1">
        <v>8.3400000000000002E-10</v>
      </c>
      <c r="W979" s="1"/>
      <c r="X979" s="1"/>
      <c r="Y979" s="1">
        <v>2.3399999999999998E-11</v>
      </c>
      <c r="Z979" s="1"/>
      <c r="AB979" s="2"/>
      <c r="AD979">
        <v>3620</v>
      </c>
      <c r="AE979" s="2">
        <v>2.2599999999999998</v>
      </c>
      <c r="AF979" s="2"/>
      <c r="AJ979" t="s">
        <v>203</v>
      </c>
    </row>
    <row r="980" spans="1:36" x14ac:dyDescent="0.25">
      <c r="A980" t="s">
        <v>210</v>
      </c>
      <c r="B980" t="s">
        <v>211</v>
      </c>
      <c r="C980" t="s">
        <v>212</v>
      </c>
      <c r="D980" t="s">
        <v>200</v>
      </c>
      <c r="E980" t="s">
        <v>19</v>
      </c>
      <c r="F980" t="s">
        <v>201</v>
      </c>
      <c r="G980" t="s">
        <v>620</v>
      </c>
      <c r="H980" t="s">
        <v>713</v>
      </c>
      <c r="I980">
        <f t="shared" si="138"/>
        <v>270</v>
      </c>
      <c r="J980" t="s">
        <v>213</v>
      </c>
      <c r="K980" t="s">
        <v>459</v>
      </c>
      <c r="L980" t="s">
        <v>716</v>
      </c>
      <c r="Q980" t="s">
        <v>412</v>
      </c>
      <c r="R980" t="s">
        <v>709</v>
      </c>
      <c r="S980" t="s">
        <v>703</v>
      </c>
      <c r="T980" t="s">
        <v>615</v>
      </c>
      <c r="U980" s="1" t="s">
        <v>755</v>
      </c>
      <c r="V980" s="1">
        <v>1.1100000000000001E-9</v>
      </c>
      <c r="W980" s="1"/>
      <c r="X980" s="1"/>
      <c r="Y980" s="1">
        <v>2.9900000000000001E-11</v>
      </c>
      <c r="Z980" s="1"/>
      <c r="AB980" s="2"/>
      <c r="AD980">
        <v>3920</v>
      </c>
      <c r="AE980" s="2">
        <v>2.44</v>
      </c>
      <c r="AF980" s="2"/>
      <c r="AJ980" t="s">
        <v>203</v>
      </c>
    </row>
    <row r="981" spans="1:36" x14ac:dyDescent="0.25">
      <c r="A981" t="s">
        <v>210</v>
      </c>
      <c r="B981" t="s">
        <v>211</v>
      </c>
      <c r="C981" t="s">
        <v>212</v>
      </c>
      <c r="D981" t="s">
        <v>200</v>
      </c>
      <c r="E981" t="s">
        <v>19</v>
      </c>
      <c r="F981" t="s">
        <v>201</v>
      </c>
      <c r="G981" t="s">
        <v>620</v>
      </c>
      <c r="H981" t="s">
        <v>713</v>
      </c>
      <c r="I981">
        <f t="shared" si="138"/>
        <v>270</v>
      </c>
      <c r="J981" t="s">
        <v>213</v>
      </c>
      <c r="K981" t="s">
        <v>419</v>
      </c>
      <c r="L981" t="s">
        <v>716</v>
      </c>
      <c r="Q981" t="s">
        <v>412</v>
      </c>
      <c r="R981" t="s">
        <v>709</v>
      </c>
      <c r="S981" t="s">
        <v>703</v>
      </c>
      <c r="T981" t="s">
        <v>615</v>
      </c>
      <c r="U981" s="1" t="s">
        <v>755</v>
      </c>
      <c r="V981" s="1">
        <v>1.32E-9</v>
      </c>
      <c r="W981" s="1"/>
      <c r="X981" s="1"/>
      <c r="Y981" s="1">
        <v>3.5000000000000002E-11</v>
      </c>
      <c r="Z981" s="1"/>
      <c r="AD981">
        <v>4060</v>
      </c>
      <c r="AE981" s="2">
        <v>2.35</v>
      </c>
      <c r="AF981" s="2"/>
      <c r="AJ981" t="s">
        <v>203</v>
      </c>
    </row>
    <row r="982" spans="1:36" x14ac:dyDescent="0.25">
      <c r="A982" t="s">
        <v>210</v>
      </c>
      <c r="B982" t="s">
        <v>211</v>
      </c>
      <c r="C982" t="s">
        <v>212</v>
      </c>
      <c r="D982" t="s">
        <v>200</v>
      </c>
      <c r="E982" t="s">
        <v>19</v>
      </c>
      <c r="F982" t="s">
        <v>201</v>
      </c>
      <c r="G982" t="s">
        <v>620</v>
      </c>
      <c r="H982" t="s">
        <v>713</v>
      </c>
      <c r="I982">
        <f t="shared" si="138"/>
        <v>270</v>
      </c>
      <c r="J982" t="s">
        <v>213</v>
      </c>
      <c r="K982" t="s">
        <v>460</v>
      </c>
      <c r="L982" t="s">
        <v>716</v>
      </c>
      <c r="Q982" t="s">
        <v>412</v>
      </c>
      <c r="R982" t="s">
        <v>709</v>
      </c>
      <c r="S982" t="s">
        <v>703</v>
      </c>
      <c r="T982" t="s">
        <v>615</v>
      </c>
      <c r="U982" s="1" t="s">
        <v>755</v>
      </c>
      <c r="V982" s="1">
        <v>8.8600000000000004E-10</v>
      </c>
      <c r="W982" s="1"/>
      <c r="X982" s="1"/>
      <c r="Y982" s="1">
        <v>2.9800000000000003E-11</v>
      </c>
      <c r="Z982" s="1"/>
      <c r="AD982">
        <v>3060</v>
      </c>
      <c r="AE982" s="2">
        <v>2.29</v>
      </c>
      <c r="AF982" s="2"/>
      <c r="AJ982" t="s">
        <v>203</v>
      </c>
    </row>
    <row r="983" spans="1:36" x14ac:dyDescent="0.25">
      <c r="A983" t="s">
        <v>210</v>
      </c>
      <c r="B983" t="s">
        <v>211</v>
      </c>
      <c r="C983" t="s">
        <v>212</v>
      </c>
      <c r="D983" t="s">
        <v>200</v>
      </c>
      <c r="E983" t="s">
        <v>19</v>
      </c>
      <c r="F983" t="s">
        <v>201</v>
      </c>
      <c r="G983" t="s">
        <v>620</v>
      </c>
      <c r="H983" t="s">
        <v>713</v>
      </c>
      <c r="I983">
        <f t="shared" si="138"/>
        <v>270</v>
      </c>
      <c r="J983" t="s">
        <v>213</v>
      </c>
      <c r="K983" t="s">
        <v>214</v>
      </c>
      <c r="L983" t="s">
        <v>716</v>
      </c>
      <c r="Q983" t="s">
        <v>412</v>
      </c>
      <c r="R983" t="s">
        <v>709</v>
      </c>
      <c r="S983" t="s">
        <v>703</v>
      </c>
      <c r="T983" t="s">
        <v>615</v>
      </c>
      <c r="U983" s="1" t="s">
        <v>755</v>
      </c>
      <c r="V983" s="1">
        <v>1.6399999999999999E-9</v>
      </c>
      <c r="W983" s="1"/>
      <c r="X983" s="1"/>
      <c r="Y983" s="1">
        <v>3.43E-11</v>
      </c>
      <c r="Z983" s="1"/>
      <c r="AD983">
        <v>5200</v>
      </c>
      <c r="AE983" s="2">
        <v>3.67</v>
      </c>
      <c r="AF983" s="2"/>
      <c r="AJ983" t="s">
        <v>203</v>
      </c>
    </row>
    <row r="984" spans="1:36" x14ac:dyDescent="0.25">
      <c r="A984" t="s">
        <v>215</v>
      </c>
      <c r="B984" t="s">
        <v>216</v>
      </c>
      <c r="C984" t="s">
        <v>142</v>
      </c>
      <c r="D984" t="s">
        <v>143</v>
      </c>
      <c r="E984" t="s">
        <v>19</v>
      </c>
      <c r="F984" t="s">
        <v>72</v>
      </c>
      <c r="G984" t="s">
        <v>624</v>
      </c>
      <c r="H984" t="s">
        <v>713</v>
      </c>
      <c r="I984">
        <f t="shared" ref="I984:I989" si="139">+AVERAGE(48,63) +21 + 7</f>
        <v>83.5</v>
      </c>
      <c r="J984" t="s">
        <v>506</v>
      </c>
      <c r="K984" t="s">
        <v>39</v>
      </c>
      <c r="L984" t="str">
        <f t="shared" ref="L984:L995" si="140">+IF(K984 = "Control", "Control", "Stress")</f>
        <v>Control</v>
      </c>
      <c r="M984" t="s">
        <v>39</v>
      </c>
      <c r="N984" t="str">
        <f t="shared" ref="N984:N989" si="141">+IF(M984="Control","Control","Stress")</f>
        <v>Control</v>
      </c>
      <c r="Q984" t="s">
        <v>412</v>
      </c>
      <c r="R984" t="s">
        <v>709</v>
      </c>
      <c r="S984" t="s">
        <v>703</v>
      </c>
      <c r="T984" t="s">
        <v>615</v>
      </c>
      <c r="U984" s="1" t="s">
        <v>755</v>
      </c>
      <c r="V984" s="1">
        <v>2.8999999999999999E-9</v>
      </c>
      <c r="W984" s="1"/>
      <c r="X984" s="1"/>
      <c r="Y984" s="1">
        <v>3.4000000000000001E-10</v>
      </c>
      <c r="Z984" s="2"/>
      <c r="AD984">
        <v>911</v>
      </c>
      <c r="AE984" s="2"/>
      <c r="AF984" s="2"/>
      <c r="AJ984" t="s">
        <v>203</v>
      </c>
    </row>
    <row r="985" spans="1:36" x14ac:dyDescent="0.25">
      <c r="A985" t="s">
        <v>215</v>
      </c>
      <c r="B985" t="s">
        <v>216</v>
      </c>
      <c r="C985" t="s">
        <v>142</v>
      </c>
      <c r="D985" t="s">
        <v>143</v>
      </c>
      <c r="E985" t="s">
        <v>19</v>
      </c>
      <c r="F985" t="s">
        <v>72</v>
      </c>
      <c r="G985" t="s">
        <v>624</v>
      </c>
      <c r="H985" t="s">
        <v>713</v>
      </c>
      <c r="I985">
        <f t="shared" si="139"/>
        <v>83.5</v>
      </c>
      <c r="J985" t="s">
        <v>506</v>
      </c>
      <c r="K985" t="s">
        <v>39</v>
      </c>
      <c r="L985" t="str">
        <f t="shared" si="140"/>
        <v>Control</v>
      </c>
      <c r="M985" t="s">
        <v>507</v>
      </c>
      <c r="N985" t="str">
        <f t="shared" si="141"/>
        <v>Stress</v>
      </c>
      <c r="Q985" t="s">
        <v>412</v>
      </c>
      <c r="R985" t="s">
        <v>709</v>
      </c>
      <c r="S985" t="s">
        <v>703</v>
      </c>
      <c r="T985" t="s">
        <v>615</v>
      </c>
      <c r="U985" s="1" t="s">
        <v>755</v>
      </c>
      <c r="V985" s="1">
        <v>3.9000000000000002E-9</v>
      </c>
      <c r="W985" s="1"/>
      <c r="X985" s="1"/>
      <c r="Y985" s="1">
        <v>4.5999999999999996E-10</v>
      </c>
      <c r="Z985" s="2"/>
      <c r="AD985">
        <v>853</v>
      </c>
      <c r="AE985" s="2"/>
      <c r="AF985" s="2"/>
      <c r="AJ985" t="s">
        <v>203</v>
      </c>
    </row>
    <row r="986" spans="1:36" x14ac:dyDescent="0.25">
      <c r="A986" t="s">
        <v>215</v>
      </c>
      <c r="B986" t="s">
        <v>216</v>
      </c>
      <c r="C986" t="s">
        <v>142</v>
      </c>
      <c r="D986" t="s">
        <v>143</v>
      </c>
      <c r="E986" t="s">
        <v>19</v>
      </c>
      <c r="F986" t="s">
        <v>72</v>
      </c>
      <c r="G986" t="s">
        <v>624</v>
      </c>
      <c r="H986" t="s">
        <v>713</v>
      </c>
      <c r="I986">
        <f t="shared" si="139"/>
        <v>83.5</v>
      </c>
      <c r="J986" t="s">
        <v>506</v>
      </c>
      <c r="K986" t="s">
        <v>508</v>
      </c>
      <c r="L986" t="str">
        <f t="shared" si="140"/>
        <v>Stress</v>
      </c>
      <c r="M986" t="s">
        <v>39</v>
      </c>
      <c r="N986" t="str">
        <f t="shared" si="141"/>
        <v>Control</v>
      </c>
      <c r="Q986" t="s">
        <v>412</v>
      </c>
      <c r="R986" t="s">
        <v>709</v>
      </c>
      <c r="S986" t="s">
        <v>703</v>
      </c>
      <c r="T986" t="s">
        <v>615</v>
      </c>
      <c r="U986" s="1" t="s">
        <v>755</v>
      </c>
      <c r="V986" s="1">
        <v>3.1E-9</v>
      </c>
      <c r="W986" s="1"/>
      <c r="X986" s="1"/>
      <c r="Y986" s="1">
        <v>4.0000000000000001E-10</v>
      </c>
      <c r="Z986" s="2"/>
      <c r="AD986">
        <v>785</v>
      </c>
      <c r="AE986" s="2"/>
      <c r="AF986" s="2"/>
      <c r="AJ986" t="s">
        <v>203</v>
      </c>
    </row>
    <row r="987" spans="1:36" x14ac:dyDescent="0.25">
      <c r="A987" t="s">
        <v>215</v>
      </c>
      <c r="B987" t="s">
        <v>216</v>
      </c>
      <c r="C987" t="s">
        <v>142</v>
      </c>
      <c r="D987" t="s">
        <v>143</v>
      </c>
      <c r="E987" t="s">
        <v>19</v>
      </c>
      <c r="F987" t="s">
        <v>72</v>
      </c>
      <c r="G987" t="s">
        <v>624</v>
      </c>
      <c r="H987" t="s">
        <v>713</v>
      </c>
      <c r="I987">
        <f t="shared" si="139"/>
        <v>83.5</v>
      </c>
      <c r="J987" t="s">
        <v>506</v>
      </c>
      <c r="K987" t="s">
        <v>508</v>
      </c>
      <c r="L987" t="str">
        <f t="shared" si="140"/>
        <v>Stress</v>
      </c>
      <c r="M987" t="s">
        <v>507</v>
      </c>
      <c r="N987" t="str">
        <f t="shared" si="141"/>
        <v>Stress</v>
      </c>
      <c r="Q987" t="s">
        <v>412</v>
      </c>
      <c r="R987" t="s">
        <v>709</v>
      </c>
      <c r="S987" t="s">
        <v>703</v>
      </c>
      <c r="T987" t="s">
        <v>615</v>
      </c>
      <c r="U987" s="1" t="s">
        <v>755</v>
      </c>
      <c r="V987" s="1">
        <v>2.4E-9</v>
      </c>
      <c r="W987" s="1"/>
      <c r="X987" s="1"/>
      <c r="Y987" s="1">
        <v>2.7000000000000005E-10</v>
      </c>
      <c r="Z987" s="2"/>
      <c r="AD987">
        <v>929</v>
      </c>
      <c r="AE987" s="2"/>
      <c r="AF987" s="2"/>
      <c r="AJ987" t="s">
        <v>203</v>
      </c>
    </row>
    <row r="988" spans="1:36" x14ac:dyDescent="0.25">
      <c r="A988" t="s">
        <v>215</v>
      </c>
      <c r="B988" t="s">
        <v>216</v>
      </c>
      <c r="C988" t="s">
        <v>142</v>
      </c>
      <c r="D988" t="s">
        <v>143</v>
      </c>
      <c r="E988" t="s">
        <v>19</v>
      </c>
      <c r="F988" t="s">
        <v>72</v>
      </c>
      <c r="G988" t="s">
        <v>624</v>
      </c>
      <c r="H988" t="s">
        <v>713</v>
      </c>
      <c r="I988">
        <f t="shared" si="139"/>
        <v>83.5</v>
      </c>
      <c r="J988" t="s">
        <v>506</v>
      </c>
      <c r="K988" t="s">
        <v>509</v>
      </c>
      <c r="L988" t="str">
        <f t="shared" si="140"/>
        <v>Stress</v>
      </c>
      <c r="M988" t="s">
        <v>39</v>
      </c>
      <c r="N988" t="str">
        <f t="shared" si="141"/>
        <v>Control</v>
      </c>
      <c r="Q988" t="s">
        <v>412</v>
      </c>
      <c r="R988" t="s">
        <v>709</v>
      </c>
      <c r="S988" t="s">
        <v>703</v>
      </c>
      <c r="T988" t="s">
        <v>615</v>
      </c>
      <c r="U988" s="1" t="s">
        <v>755</v>
      </c>
      <c r="V988" s="1">
        <v>2.2999999999999999E-9</v>
      </c>
      <c r="W988" s="1"/>
      <c r="X988" s="1"/>
      <c r="Y988" s="1">
        <v>3.1000000000000002E-10</v>
      </c>
      <c r="Z988" s="2"/>
      <c r="AD988">
        <v>733</v>
      </c>
      <c r="AE988" s="2"/>
      <c r="AF988" s="2"/>
      <c r="AJ988" t="s">
        <v>203</v>
      </c>
    </row>
    <row r="989" spans="1:36" x14ac:dyDescent="0.25">
      <c r="A989" t="s">
        <v>215</v>
      </c>
      <c r="B989" t="s">
        <v>216</v>
      </c>
      <c r="C989" t="s">
        <v>142</v>
      </c>
      <c r="D989" t="s">
        <v>143</v>
      </c>
      <c r="E989" t="s">
        <v>19</v>
      </c>
      <c r="F989" t="s">
        <v>72</v>
      </c>
      <c r="G989" t="s">
        <v>624</v>
      </c>
      <c r="H989" t="s">
        <v>713</v>
      </c>
      <c r="I989">
        <f t="shared" si="139"/>
        <v>83.5</v>
      </c>
      <c r="J989" t="s">
        <v>506</v>
      </c>
      <c r="K989" t="s">
        <v>509</v>
      </c>
      <c r="L989" t="str">
        <f t="shared" si="140"/>
        <v>Stress</v>
      </c>
      <c r="M989" t="s">
        <v>507</v>
      </c>
      <c r="N989" t="str">
        <f t="shared" si="141"/>
        <v>Stress</v>
      </c>
      <c r="Q989" t="s">
        <v>412</v>
      </c>
      <c r="R989" t="s">
        <v>709</v>
      </c>
      <c r="S989" t="s">
        <v>703</v>
      </c>
      <c r="T989" t="s">
        <v>615</v>
      </c>
      <c r="U989" s="1" t="s">
        <v>755</v>
      </c>
      <c r="V989" s="1">
        <v>2.4E-9</v>
      </c>
      <c r="W989" s="1"/>
      <c r="X989" s="1"/>
      <c r="Y989" s="1">
        <v>2.7000000000000005E-10</v>
      </c>
      <c r="Z989" s="2"/>
      <c r="AD989">
        <v>864</v>
      </c>
      <c r="AE989" s="2"/>
      <c r="AF989" s="2"/>
      <c r="AJ989" t="s">
        <v>203</v>
      </c>
    </row>
    <row r="990" spans="1:36" x14ac:dyDescent="0.25">
      <c r="A990" t="s">
        <v>217</v>
      </c>
      <c r="B990" t="s">
        <v>101</v>
      </c>
      <c r="C990" t="s">
        <v>102</v>
      </c>
      <c r="D990" t="s">
        <v>92</v>
      </c>
      <c r="E990" t="s">
        <v>19</v>
      </c>
      <c r="F990" t="s">
        <v>37</v>
      </c>
      <c r="G990" t="s">
        <v>626</v>
      </c>
      <c r="H990" t="s">
        <v>714</v>
      </c>
      <c r="I990">
        <f t="shared" ref="I990:I995" si="142">7+14+4</f>
        <v>25</v>
      </c>
      <c r="J990" t="s">
        <v>84</v>
      </c>
      <c r="K990" t="s">
        <v>39</v>
      </c>
      <c r="L990" t="str">
        <f t="shared" si="140"/>
        <v>Control</v>
      </c>
      <c r="Q990" t="s">
        <v>412</v>
      </c>
      <c r="R990" t="s">
        <v>709</v>
      </c>
      <c r="S990" t="s">
        <v>703</v>
      </c>
      <c r="T990" t="s">
        <v>615</v>
      </c>
      <c r="U990" s="1"/>
      <c r="V990" s="1"/>
      <c r="W990" s="1"/>
      <c r="X990" s="1"/>
      <c r="Y990" s="1"/>
      <c r="Z990" s="1"/>
      <c r="AA990" s="1">
        <f>[116]Joly_1989_Fig2!B2</f>
        <v>6.68870523415977E-7</v>
      </c>
      <c r="AE990" s="2"/>
      <c r="AF990" s="2"/>
      <c r="AG990" s="2">
        <v>0.2</v>
      </c>
      <c r="AJ990" t="s">
        <v>203</v>
      </c>
    </row>
    <row r="991" spans="1:36" x14ac:dyDescent="0.25">
      <c r="A991" t="s">
        <v>217</v>
      </c>
      <c r="B991" t="s">
        <v>101</v>
      </c>
      <c r="C991" t="s">
        <v>102</v>
      </c>
      <c r="D991" t="s">
        <v>92</v>
      </c>
      <c r="E991" t="s">
        <v>19</v>
      </c>
      <c r="F991" t="s">
        <v>37</v>
      </c>
      <c r="G991" t="s">
        <v>626</v>
      </c>
      <c r="H991" t="s">
        <v>714</v>
      </c>
      <c r="I991">
        <f t="shared" si="142"/>
        <v>25</v>
      </c>
      <c r="J991" t="s">
        <v>84</v>
      </c>
      <c r="K991" t="s">
        <v>558</v>
      </c>
      <c r="L991" t="str">
        <f t="shared" si="140"/>
        <v>Stress</v>
      </c>
      <c r="Q991" t="s">
        <v>412</v>
      </c>
      <c r="R991" t="s">
        <v>709</v>
      </c>
      <c r="S991" t="s">
        <v>703</v>
      </c>
      <c r="T991" t="s">
        <v>615</v>
      </c>
      <c r="U991" s="1"/>
      <c r="V991" s="1"/>
      <c r="W991" s="1"/>
      <c r="X991" s="1"/>
      <c r="Y991" s="1"/>
      <c r="Z991" s="1"/>
      <c r="AA991" s="1">
        <f>[116]Joly_1989_Fig2!B3</f>
        <v>4.4187327823691401E-7</v>
      </c>
      <c r="AE991" s="2"/>
      <c r="AF991" s="2"/>
      <c r="AG991" s="2">
        <v>0.2</v>
      </c>
      <c r="AJ991" t="s">
        <v>203</v>
      </c>
    </row>
    <row r="992" spans="1:36" x14ac:dyDescent="0.25">
      <c r="A992" t="s">
        <v>217</v>
      </c>
      <c r="B992" t="s">
        <v>101</v>
      </c>
      <c r="C992" t="s">
        <v>102</v>
      </c>
      <c r="D992" t="s">
        <v>92</v>
      </c>
      <c r="E992" t="s">
        <v>19</v>
      </c>
      <c r="F992" t="s">
        <v>37</v>
      </c>
      <c r="G992" t="s">
        <v>626</v>
      </c>
      <c r="H992" t="s">
        <v>714</v>
      </c>
      <c r="I992">
        <f t="shared" si="142"/>
        <v>25</v>
      </c>
      <c r="J992" t="s">
        <v>84</v>
      </c>
      <c r="K992" t="s">
        <v>559</v>
      </c>
      <c r="L992" t="str">
        <f t="shared" si="140"/>
        <v>Stress</v>
      </c>
      <c r="Q992" t="s">
        <v>412</v>
      </c>
      <c r="R992" t="s">
        <v>709</v>
      </c>
      <c r="S992" t="s">
        <v>703</v>
      </c>
      <c r="T992" t="s">
        <v>615</v>
      </c>
      <c r="U992" s="1"/>
      <c r="V992" s="1"/>
      <c r="W992" s="1"/>
      <c r="X992" s="1"/>
      <c r="Y992" s="1"/>
      <c r="Z992" s="1"/>
      <c r="AA992" s="1">
        <f>[116]Joly_1989_Fig2!B4</f>
        <v>4.9586776859504103E-7</v>
      </c>
      <c r="AE992" s="2"/>
      <c r="AF992" s="2"/>
      <c r="AG992" s="2">
        <v>0.2</v>
      </c>
      <c r="AJ992" t="s">
        <v>203</v>
      </c>
    </row>
    <row r="993" spans="1:36" x14ac:dyDescent="0.25">
      <c r="A993" t="s">
        <v>217</v>
      </c>
      <c r="B993" t="s">
        <v>101</v>
      </c>
      <c r="C993" t="s">
        <v>102</v>
      </c>
      <c r="D993" t="s">
        <v>92</v>
      </c>
      <c r="E993" t="s">
        <v>19</v>
      </c>
      <c r="F993" t="s">
        <v>37</v>
      </c>
      <c r="G993" t="s">
        <v>626</v>
      </c>
      <c r="H993" t="s">
        <v>714</v>
      </c>
      <c r="I993">
        <f t="shared" si="142"/>
        <v>25</v>
      </c>
      <c r="J993" t="s">
        <v>84</v>
      </c>
      <c r="K993" t="s">
        <v>560</v>
      </c>
      <c r="L993" t="str">
        <f t="shared" si="140"/>
        <v>Stress</v>
      </c>
      <c r="Q993" t="s">
        <v>412</v>
      </c>
      <c r="R993" t="s">
        <v>709</v>
      </c>
      <c r="S993" t="s">
        <v>703</v>
      </c>
      <c r="T993" t="s">
        <v>615</v>
      </c>
      <c r="U993" s="1"/>
      <c r="V993" s="1"/>
      <c r="W993" s="1"/>
      <c r="X993" s="1"/>
      <c r="Y993" s="1"/>
      <c r="Z993" s="1"/>
      <c r="AA993" s="1">
        <f>[116]Joly_1989_Fig2!B5</f>
        <v>2.9531680440771298E-7</v>
      </c>
      <c r="AE993" s="2"/>
      <c r="AF993" s="2"/>
      <c r="AG993" s="2">
        <v>0.2</v>
      </c>
      <c r="AJ993" t="s">
        <v>203</v>
      </c>
    </row>
    <row r="994" spans="1:36" x14ac:dyDescent="0.25">
      <c r="A994" t="s">
        <v>217</v>
      </c>
      <c r="B994" t="s">
        <v>101</v>
      </c>
      <c r="C994" t="s">
        <v>102</v>
      </c>
      <c r="D994" t="s">
        <v>92</v>
      </c>
      <c r="E994" t="s">
        <v>19</v>
      </c>
      <c r="F994" t="s">
        <v>37</v>
      </c>
      <c r="G994" t="s">
        <v>626</v>
      </c>
      <c r="H994" t="s">
        <v>714</v>
      </c>
      <c r="I994">
        <f t="shared" si="142"/>
        <v>25</v>
      </c>
      <c r="J994" t="s">
        <v>84</v>
      </c>
      <c r="K994" t="s">
        <v>561</v>
      </c>
      <c r="L994" t="str">
        <f t="shared" si="140"/>
        <v>Stress</v>
      </c>
      <c r="Q994" t="s">
        <v>412</v>
      </c>
      <c r="R994" t="s">
        <v>709</v>
      </c>
      <c r="S994" t="s">
        <v>703</v>
      </c>
      <c r="T994" t="s">
        <v>615</v>
      </c>
      <c r="U994" s="1"/>
      <c r="V994" s="1"/>
      <c r="W994" s="1"/>
      <c r="X994" s="1"/>
      <c r="Y994" s="1"/>
      <c r="Z994" s="1"/>
      <c r="AA994" s="1">
        <f>[116]Joly_1989_Fig2!B6</f>
        <v>2.4022038567493098E-7</v>
      </c>
      <c r="AE994" s="2"/>
      <c r="AF994" s="2"/>
      <c r="AG994" s="2">
        <v>0.2</v>
      </c>
      <c r="AJ994" t="s">
        <v>203</v>
      </c>
    </row>
    <row r="995" spans="1:36" x14ac:dyDescent="0.25">
      <c r="A995" t="s">
        <v>217</v>
      </c>
      <c r="B995" t="s">
        <v>101</v>
      </c>
      <c r="C995" t="s">
        <v>102</v>
      </c>
      <c r="D995" t="s">
        <v>92</v>
      </c>
      <c r="E995" t="s">
        <v>19</v>
      </c>
      <c r="F995" t="s">
        <v>37</v>
      </c>
      <c r="G995" t="s">
        <v>626</v>
      </c>
      <c r="H995" t="s">
        <v>714</v>
      </c>
      <c r="I995">
        <f t="shared" si="142"/>
        <v>25</v>
      </c>
      <c r="J995" t="s">
        <v>84</v>
      </c>
      <c r="K995" t="s">
        <v>562</v>
      </c>
      <c r="L995" t="str">
        <f t="shared" si="140"/>
        <v>Stress</v>
      </c>
      <c r="Q995" t="s">
        <v>412</v>
      </c>
      <c r="R995" t="s">
        <v>709</v>
      </c>
      <c r="S995" t="s">
        <v>703</v>
      </c>
      <c r="T995" t="s">
        <v>615</v>
      </c>
      <c r="U995" s="1"/>
      <c r="V995" s="1"/>
      <c r="W995" s="1"/>
      <c r="X995" s="1"/>
      <c r="Y995" s="1"/>
      <c r="Z995" s="1"/>
      <c r="AA995" s="1">
        <f>[116]Joly_1989_Fig2!B7</f>
        <v>1.9173553719008201E-7</v>
      </c>
      <c r="AE995" s="2"/>
      <c r="AF995" s="2"/>
      <c r="AG995" s="2">
        <v>0.2</v>
      </c>
      <c r="AJ995" t="s">
        <v>203</v>
      </c>
    </row>
    <row r="996" spans="1:36" x14ac:dyDescent="0.25">
      <c r="A996" t="s">
        <v>377</v>
      </c>
      <c r="B996" t="s">
        <v>265</v>
      </c>
      <c r="C996" t="s">
        <v>199</v>
      </c>
      <c r="D996" t="s">
        <v>200</v>
      </c>
      <c r="E996" t="s">
        <v>19</v>
      </c>
      <c r="F996" t="s">
        <v>266</v>
      </c>
      <c r="G996" t="s">
        <v>620</v>
      </c>
      <c r="H996" t="s">
        <v>713</v>
      </c>
      <c r="I996">
        <f t="shared" ref="I996:I1001" si="143">1*365</f>
        <v>365</v>
      </c>
      <c r="J996" t="s">
        <v>776</v>
      </c>
      <c r="K996" t="s">
        <v>681</v>
      </c>
      <c r="L996" t="s">
        <v>716</v>
      </c>
      <c r="Q996" t="s">
        <v>412</v>
      </c>
      <c r="R996" t="s">
        <v>709</v>
      </c>
      <c r="S996" t="s">
        <v>703</v>
      </c>
      <c r="T996" t="s">
        <v>615</v>
      </c>
      <c r="U996" s="1"/>
      <c r="V996" s="1"/>
      <c r="W996" s="1"/>
      <c r="X996" s="1"/>
      <c r="Y996" s="1"/>
      <c r="Z996" s="1">
        <f>0.00000000464/60</f>
        <v>7.7333333333333325E-11</v>
      </c>
      <c r="AE996" s="2"/>
      <c r="AF996" s="2"/>
      <c r="AJ996" t="s">
        <v>203</v>
      </c>
    </row>
    <row r="997" spans="1:36" x14ac:dyDescent="0.25">
      <c r="A997" t="s">
        <v>377</v>
      </c>
      <c r="B997" t="s">
        <v>265</v>
      </c>
      <c r="C997" t="s">
        <v>199</v>
      </c>
      <c r="D997" t="s">
        <v>200</v>
      </c>
      <c r="E997" t="s">
        <v>19</v>
      </c>
      <c r="F997" t="s">
        <v>266</v>
      </c>
      <c r="G997" t="s">
        <v>620</v>
      </c>
      <c r="H997" t="s">
        <v>713</v>
      </c>
      <c r="I997">
        <f t="shared" si="143"/>
        <v>365</v>
      </c>
      <c r="J997" t="s">
        <v>776</v>
      </c>
      <c r="K997" t="s">
        <v>681</v>
      </c>
      <c r="L997" t="s">
        <v>716</v>
      </c>
      <c r="Q997" t="s">
        <v>412</v>
      </c>
      <c r="R997" t="s">
        <v>709</v>
      </c>
      <c r="S997" t="s">
        <v>703</v>
      </c>
      <c r="T997" t="s">
        <v>615</v>
      </c>
      <c r="U997" s="1"/>
      <c r="V997" s="1"/>
      <c r="W997" s="1"/>
      <c r="X997" s="1"/>
      <c r="Y997" s="1"/>
      <c r="Z997" s="1">
        <f>0.00000000937/60</f>
        <v>1.5616666666666667E-10</v>
      </c>
      <c r="AE997" s="2"/>
      <c r="AF997" s="2"/>
      <c r="AJ997" t="s">
        <v>203</v>
      </c>
    </row>
    <row r="998" spans="1:36" x14ac:dyDescent="0.25">
      <c r="A998" t="s">
        <v>377</v>
      </c>
      <c r="B998" t="s">
        <v>265</v>
      </c>
      <c r="C998" t="s">
        <v>199</v>
      </c>
      <c r="D998" t="s">
        <v>200</v>
      </c>
      <c r="E998" t="s">
        <v>19</v>
      </c>
      <c r="F998" t="s">
        <v>266</v>
      </c>
      <c r="G998" t="s">
        <v>620</v>
      </c>
      <c r="H998" t="s">
        <v>713</v>
      </c>
      <c r="I998">
        <f t="shared" si="143"/>
        <v>365</v>
      </c>
      <c r="J998" t="s">
        <v>776</v>
      </c>
      <c r="K998" t="s">
        <v>682</v>
      </c>
      <c r="L998" t="s">
        <v>716</v>
      </c>
      <c r="Q998" t="s">
        <v>412</v>
      </c>
      <c r="R998" t="s">
        <v>709</v>
      </c>
      <c r="S998" t="s">
        <v>703</v>
      </c>
      <c r="T998" t="s">
        <v>615</v>
      </c>
      <c r="U998" s="1"/>
      <c r="V998" s="1"/>
      <c r="W998" s="1"/>
      <c r="X998" s="1"/>
      <c r="Y998" s="1"/>
      <c r="Z998" s="1">
        <f>0.0000000098/60</f>
        <v>1.6333333333333334E-10</v>
      </c>
      <c r="AE998" s="2"/>
      <c r="AF998" s="2"/>
      <c r="AJ998" t="s">
        <v>203</v>
      </c>
    </row>
    <row r="999" spans="1:36" x14ac:dyDescent="0.25">
      <c r="A999" t="s">
        <v>377</v>
      </c>
      <c r="B999" t="s">
        <v>265</v>
      </c>
      <c r="C999" t="s">
        <v>199</v>
      </c>
      <c r="D999" t="s">
        <v>200</v>
      </c>
      <c r="E999" t="s">
        <v>19</v>
      </c>
      <c r="F999" t="s">
        <v>266</v>
      </c>
      <c r="G999" t="s">
        <v>620</v>
      </c>
      <c r="H999" t="s">
        <v>713</v>
      </c>
      <c r="I999">
        <f t="shared" si="143"/>
        <v>365</v>
      </c>
      <c r="J999" t="s">
        <v>776</v>
      </c>
      <c r="K999" t="s">
        <v>683</v>
      </c>
      <c r="L999" t="s">
        <v>716</v>
      </c>
      <c r="Q999" t="s">
        <v>412</v>
      </c>
      <c r="R999" t="s">
        <v>709</v>
      </c>
      <c r="S999" t="s">
        <v>703</v>
      </c>
      <c r="T999" t="s">
        <v>615</v>
      </c>
      <c r="U999" s="1"/>
      <c r="V999" s="1"/>
      <c r="W999" s="1"/>
      <c r="X999" s="1"/>
      <c r="Y999" s="1"/>
      <c r="Z999" s="1">
        <f>0.0000000121/60</f>
        <v>2.0166666666666667E-10</v>
      </c>
      <c r="AE999" s="2"/>
      <c r="AF999" s="2"/>
      <c r="AJ999" t="s">
        <v>203</v>
      </c>
    </row>
    <row r="1000" spans="1:36" x14ac:dyDescent="0.25">
      <c r="A1000" t="s">
        <v>377</v>
      </c>
      <c r="B1000" t="s">
        <v>265</v>
      </c>
      <c r="C1000" t="s">
        <v>199</v>
      </c>
      <c r="D1000" t="s">
        <v>200</v>
      </c>
      <c r="E1000" t="s">
        <v>19</v>
      </c>
      <c r="F1000" t="s">
        <v>266</v>
      </c>
      <c r="G1000" t="s">
        <v>620</v>
      </c>
      <c r="H1000" t="s">
        <v>713</v>
      </c>
      <c r="I1000">
        <f t="shared" si="143"/>
        <v>365</v>
      </c>
      <c r="J1000" t="s">
        <v>776</v>
      </c>
      <c r="K1000" t="s">
        <v>684</v>
      </c>
      <c r="L1000" t="s">
        <v>716</v>
      </c>
      <c r="Q1000" t="s">
        <v>412</v>
      </c>
      <c r="R1000" t="s">
        <v>709</v>
      </c>
      <c r="S1000" t="s">
        <v>703</v>
      </c>
      <c r="T1000" t="s">
        <v>615</v>
      </c>
      <c r="U1000" s="1"/>
      <c r="V1000" s="1"/>
      <c r="W1000" s="1"/>
      <c r="X1000" s="1"/>
      <c r="Y1000" s="1"/>
      <c r="Z1000" s="1">
        <f>0.00000001913/60</f>
        <v>3.1883333333333332E-10</v>
      </c>
      <c r="AE1000" s="2"/>
      <c r="AF1000" s="2"/>
      <c r="AJ1000" t="s">
        <v>203</v>
      </c>
    </row>
    <row r="1001" spans="1:36" x14ac:dyDescent="0.25">
      <c r="A1001" t="s">
        <v>377</v>
      </c>
      <c r="B1001" t="s">
        <v>265</v>
      </c>
      <c r="C1001" t="s">
        <v>199</v>
      </c>
      <c r="D1001" t="s">
        <v>200</v>
      </c>
      <c r="E1001" t="s">
        <v>19</v>
      </c>
      <c r="F1001" t="s">
        <v>266</v>
      </c>
      <c r="G1001" t="s">
        <v>620</v>
      </c>
      <c r="H1001" t="s">
        <v>713</v>
      </c>
      <c r="I1001">
        <f t="shared" si="143"/>
        <v>365</v>
      </c>
      <c r="J1001" t="s">
        <v>776</v>
      </c>
      <c r="K1001" t="s">
        <v>685</v>
      </c>
      <c r="L1001" t="s">
        <v>716</v>
      </c>
      <c r="Q1001" t="s">
        <v>412</v>
      </c>
      <c r="R1001" t="s">
        <v>709</v>
      </c>
      <c r="S1001" t="s">
        <v>703</v>
      </c>
      <c r="T1001" t="s">
        <v>615</v>
      </c>
      <c r="U1001" s="1"/>
      <c r="V1001" s="1"/>
      <c r="W1001" s="1"/>
      <c r="X1001" s="1"/>
      <c r="Y1001" s="1"/>
      <c r="Z1001" s="1">
        <f>0.00000001754/60</f>
        <v>2.9233333333333336E-10</v>
      </c>
      <c r="AE1001" s="2"/>
      <c r="AF1001" s="2"/>
      <c r="AJ1001" t="s">
        <v>203</v>
      </c>
    </row>
    <row r="1002" spans="1:36" x14ac:dyDescent="0.25">
      <c r="A1002" t="s">
        <v>218</v>
      </c>
      <c r="B1002" t="s">
        <v>219</v>
      </c>
      <c r="C1002" t="s">
        <v>220</v>
      </c>
      <c r="D1002" t="s">
        <v>92</v>
      </c>
      <c r="E1002" t="s">
        <v>19</v>
      </c>
      <c r="F1002" t="s">
        <v>37</v>
      </c>
      <c r="G1002" t="s">
        <v>626</v>
      </c>
      <c r="H1002" t="s">
        <v>714</v>
      </c>
      <c r="J1002" t="s">
        <v>208</v>
      </c>
      <c r="K1002" t="s">
        <v>39</v>
      </c>
      <c r="L1002" t="str">
        <f t="shared" ref="L1002:L1009" si="144">+IF(K1002 = "Control", "Control", "Stress")</f>
        <v>Control</v>
      </c>
      <c r="Q1002" t="s">
        <v>412</v>
      </c>
      <c r="R1002" t="s">
        <v>709</v>
      </c>
      <c r="S1002" t="s">
        <v>703</v>
      </c>
      <c r="T1002" t="s">
        <v>615</v>
      </c>
      <c r="U1002" s="1"/>
      <c r="V1002" s="1"/>
      <c r="W1002" s="1"/>
      <c r="X1002" s="1"/>
      <c r="Y1002" s="1"/>
      <c r="Z1002" s="1"/>
      <c r="AA1002" s="1">
        <f>'[117]Tissera&amp;Ayres_1988_Fig2'!B2</f>
        <v>6.9653299916457694E-8</v>
      </c>
      <c r="AE1002" s="2"/>
      <c r="AF1002" s="2"/>
      <c r="AJ1002" t="s">
        <v>203</v>
      </c>
    </row>
    <row r="1003" spans="1:36" x14ac:dyDescent="0.25">
      <c r="A1003" t="s">
        <v>218</v>
      </c>
      <c r="B1003" t="s">
        <v>219</v>
      </c>
      <c r="C1003" t="s">
        <v>220</v>
      </c>
      <c r="D1003" t="s">
        <v>92</v>
      </c>
      <c r="E1003" t="s">
        <v>19</v>
      </c>
      <c r="F1003" t="s">
        <v>37</v>
      </c>
      <c r="G1003" t="s">
        <v>626</v>
      </c>
      <c r="H1003" t="s">
        <v>714</v>
      </c>
      <c r="J1003" t="s">
        <v>208</v>
      </c>
      <c r="K1003" t="s">
        <v>39</v>
      </c>
      <c r="L1003" t="str">
        <f t="shared" si="144"/>
        <v>Control</v>
      </c>
      <c r="Q1003" t="s">
        <v>412</v>
      </c>
      <c r="R1003" t="s">
        <v>709</v>
      </c>
      <c r="S1003" t="s">
        <v>703</v>
      </c>
      <c r="T1003" t="s">
        <v>615</v>
      </c>
      <c r="U1003" s="1"/>
      <c r="V1003" s="1"/>
      <c r="W1003" s="1"/>
      <c r="X1003" s="1"/>
      <c r="Y1003" s="1"/>
      <c r="Z1003" s="1"/>
      <c r="AA1003" s="1">
        <f>'[117]Tissera&amp;Ayres_1988_Fig2'!B3</f>
        <v>7.5657894736842101E-8</v>
      </c>
      <c r="AE1003" s="2"/>
      <c r="AF1003" s="2"/>
      <c r="AJ1003" t="s">
        <v>203</v>
      </c>
    </row>
    <row r="1004" spans="1:36" x14ac:dyDescent="0.25">
      <c r="A1004" t="s">
        <v>218</v>
      </c>
      <c r="B1004" t="s">
        <v>219</v>
      </c>
      <c r="C1004" t="s">
        <v>220</v>
      </c>
      <c r="D1004" t="s">
        <v>92</v>
      </c>
      <c r="E1004" t="s">
        <v>19</v>
      </c>
      <c r="F1004" t="s">
        <v>37</v>
      </c>
      <c r="G1004" t="s">
        <v>626</v>
      </c>
      <c r="H1004" t="s">
        <v>714</v>
      </c>
      <c r="J1004" t="s">
        <v>208</v>
      </c>
      <c r="K1004" t="s">
        <v>39</v>
      </c>
      <c r="L1004" t="str">
        <f t="shared" si="144"/>
        <v>Control</v>
      </c>
      <c r="Q1004" t="s">
        <v>412</v>
      </c>
      <c r="R1004" t="s">
        <v>709</v>
      </c>
      <c r="S1004" t="s">
        <v>703</v>
      </c>
      <c r="T1004" t="s">
        <v>615</v>
      </c>
      <c r="U1004" s="1"/>
      <c r="V1004" s="1"/>
      <c r="W1004" s="1"/>
      <c r="X1004" s="1"/>
      <c r="Y1004" s="1"/>
      <c r="Z1004" s="1"/>
      <c r="AA1004" s="1">
        <f>'[117]Tissera&amp;Ayres_1988_Fig2'!B4</f>
        <v>9.0016708437761004E-8</v>
      </c>
      <c r="AE1004" s="2"/>
      <c r="AF1004" s="2"/>
      <c r="AJ1004" t="s">
        <v>203</v>
      </c>
    </row>
    <row r="1005" spans="1:36" x14ac:dyDescent="0.25">
      <c r="A1005" t="s">
        <v>218</v>
      </c>
      <c r="B1005" t="s">
        <v>219</v>
      </c>
      <c r="C1005" t="s">
        <v>220</v>
      </c>
      <c r="D1005" t="s">
        <v>92</v>
      </c>
      <c r="E1005" t="s">
        <v>19</v>
      </c>
      <c r="F1005" t="s">
        <v>37</v>
      </c>
      <c r="G1005" t="s">
        <v>626</v>
      </c>
      <c r="H1005" t="s">
        <v>714</v>
      </c>
      <c r="J1005" t="s">
        <v>208</v>
      </c>
      <c r="K1005" t="s">
        <v>39</v>
      </c>
      <c r="L1005" t="str">
        <f t="shared" si="144"/>
        <v>Control</v>
      </c>
      <c r="Q1005" t="s">
        <v>412</v>
      </c>
      <c r="R1005" t="s">
        <v>709</v>
      </c>
      <c r="S1005" t="s">
        <v>703</v>
      </c>
      <c r="T1005" t="s">
        <v>615</v>
      </c>
      <c r="U1005" s="1"/>
      <c r="V1005" s="1"/>
      <c r="W1005" s="1"/>
      <c r="X1005" s="1"/>
      <c r="Y1005" s="1"/>
      <c r="Z1005" s="1"/>
      <c r="AA1005" s="1">
        <f>'[117]Tissera&amp;Ayres_1988_Fig2'!B5</f>
        <v>9.4193817878028306E-8</v>
      </c>
      <c r="AE1005" s="2"/>
      <c r="AF1005" s="2"/>
      <c r="AJ1005" t="s">
        <v>203</v>
      </c>
    </row>
    <row r="1006" spans="1:36" x14ac:dyDescent="0.25">
      <c r="A1006" t="s">
        <v>218</v>
      </c>
      <c r="B1006" t="s">
        <v>219</v>
      </c>
      <c r="C1006" t="s">
        <v>220</v>
      </c>
      <c r="D1006" t="s">
        <v>92</v>
      </c>
      <c r="E1006" t="s">
        <v>19</v>
      </c>
      <c r="F1006" t="s">
        <v>37</v>
      </c>
      <c r="G1006" t="s">
        <v>626</v>
      </c>
      <c r="H1006" t="s">
        <v>714</v>
      </c>
      <c r="J1006" t="s">
        <v>208</v>
      </c>
      <c r="K1006" t="s">
        <v>209</v>
      </c>
      <c r="L1006" t="str">
        <f t="shared" si="144"/>
        <v>Stress</v>
      </c>
      <c r="Q1006" t="s">
        <v>412</v>
      </c>
      <c r="R1006" t="s">
        <v>709</v>
      </c>
      <c r="S1006" t="s">
        <v>703</v>
      </c>
      <c r="T1006" t="s">
        <v>615</v>
      </c>
      <c r="U1006" s="1"/>
      <c r="V1006" s="1"/>
      <c r="W1006" s="1"/>
      <c r="X1006" s="1"/>
      <c r="Y1006" s="1"/>
      <c r="Z1006" s="1"/>
      <c r="AA1006" s="1">
        <f>'[117]Tissera&amp;Ayres_1988_Fig2'!B6</f>
        <v>1.09596908939014E-7</v>
      </c>
      <c r="AE1006" s="2"/>
      <c r="AF1006" s="2"/>
      <c r="AJ1006" t="s">
        <v>203</v>
      </c>
    </row>
    <row r="1007" spans="1:36" x14ac:dyDescent="0.25">
      <c r="A1007" t="s">
        <v>218</v>
      </c>
      <c r="B1007" t="s">
        <v>219</v>
      </c>
      <c r="C1007" t="s">
        <v>220</v>
      </c>
      <c r="D1007" t="s">
        <v>92</v>
      </c>
      <c r="E1007" t="s">
        <v>19</v>
      </c>
      <c r="F1007" t="s">
        <v>37</v>
      </c>
      <c r="G1007" t="s">
        <v>626</v>
      </c>
      <c r="H1007" t="s">
        <v>714</v>
      </c>
      <c r="J1007" t="s">
        <v>208</v>
      </c>
      <c r="K1007" t="s">
        <v>209</v>
      </c>
      <c r="L1007" t="str">
        <f t="shared" si="144"/>
        <v>Stress</v>
      </c>
      <c r="Q1007" t="s">
        <v>412</v>
      </c>
      <c r="R1007" t="s">
        <v>709</v>
      </c>
      <c r="S1007" t="s">
        <v>703</v>
      </c>
      <c r="T1007" t="s">
        <v>615</v>
      </c>
      <c r="U1007" s="1"/>
      <c r="V1007" s="1"/>
      <c r="W1007" s="1"/>
      <c r="X1007" s="1"/>
      <c r="Y1007" s="1"/>
      <c r="Z1007" s="1"/>
      <c r="AA1007" s="1">
        <f>'[117]Tissera&amp;Ayres_1988_Fig2'!B7</f>
        <v>1.09335839598997E-7</v>
      </c>
      <c r="AE1007" s="2"/>
      <c r="AF1007" s="2"/>
      <c r="AJ1007" t="s">
        <v>203</v>
      </c>
    </row>
    <row r="1008" spans="1:36" x14ac:dyDescent="0.25">
      <c r="A1008" t="s">
        <v>218</v>
      </c>
      <c r="B1008" t="s">
        <v>219</v>
      </c>
      <c r="C1008" t="s">
        <v>220</v>
      </c>
      <c r="D1008" t="s">
        <v>92</v>
      </c>
      <c r="E1008" t="s">
        <v>19</v>
      </c>
      <c r="F1008" t="s">
        <v>37</v>
      </c>
      <c r="G1008" t="s">
        <v>626</v>
      </c>
      <c r="H1008" t="s">
        <v>714</v>
      </c>
      <c r="J1008" t="s">
        <v>208</v>
      </c>
      <c r="K1008" t="s">
        <v>209</v>
      </c>
      <c r="L1008" t="str">
        <f t="shared" si="144"/>
        <v>Stress</v>
      </c>
      <c r="Q1008" t="s">
        <v>412</v>
      </c>
      <c r="R1008" t="s">
        <v>709</v>
      </c>
      <c r="S1008" t="s">
        <v>703</v>
      </c>
      <c r="T1008" t="s">
        <v>615</v>
      </c>
      <c r="U1008" s="1"/>
      <c r="V1008" s="1"/>
      <c r="W1008" s="1"/>
      <c r="X1008" s="1"/>
      <c r="Y1008" s="1"/>
      <c r="Z1008" s="1"/>
      <c r="AA1008" s="1">
        <f>'[117]Tissera&amp;Ayres_1988_Fig2'!B8</f>
        <v>1.5006265664160301E-7</v>
      </c>
      <c r="AE1008" s="2"/>
      <c r="AF1008" s="2"/>
      <c r="AJ1008" t="s">
        <v>203</v>
      </c>
    </row>
    <row r="1009" spans="1:36" x14ac:dyDescent="0.25">
      <c r="A1009" t="s">
        <v>218</v>
      </c>
      <c r="B1009" t="s">
        <v>219</v>
      </c>
      <c r="C1009" t="s">
        <v>220</v>
      </c>
      <c r="D1009" t="s">
        <v>92</v>
      </c>
      <c r="E1009" t="s">
        <v>19</v>
      </c>
      <c r="F1009" t="s">
        <v>37</v>
      </c>
      <c r="G1009" t="s">
        <v>626</v>
      </c>
      <c r="H1009" t="s">
        <v>714</v>
      </c>
      <c r="J1009" t="s">
        <v>208</v>
      </c>
      <c r="K1009" t="s">
        <v>209</v>
      </c>
      <c r="L1009" t="str">
        <f t="shared" si="144"/>
        <v>Stress</v>
      </c>
      <c r="Q1009" t="s">
        <v>412</v>
      </c>
      <c r="R1009" t="s">
        <v>709</v>
      </c>
      <c r="S1009" t="s">
        <v>703</v>
      </c>
      <c r="T1009" t="s">
        <v>615</v>
      </c>
      <c r="U1009" s="1"/>
      <c r="V1009" s="1"/>
      <c r="W1009" s="1"/>
      <c r="X1009" s="1"/>
      <c r="Y1009" s="1"/>
      <c r="Z1009" s="1"/>
      <c r="AA1009" s="1">
        <f>'[117]Tissera&amp;Ayres_1988_Fig2'!B9</f>
        <v>1.5058479532163701E-7</v>
      </c>
      <c r="AE1009" s="2"/>
      <c r="AF1009" s="2"/>
      <c r="AJ1009" t="s">
        <v>203</v>
      </c>
    </row>
    <row r="1010" spans="1:36" x14ac:dyDescent="0.25">
      <c r="A1010" t="s">
        <v>722</v>
      </c>
      <c r="B1010" t="s">
        <v>105</v>
      </c>
      <c r="C1010" t="s">
        <v>78</v>
      </c>
      <c r="D1010" t="s">
        <v>18</v>
      </c>
      <c r="E1010" t="s">
        <v>31</v>
      </c>
      <c r="F1010" t="s">
        <v>20</v>
      </c>
      <c r="G1010" t="s">
        <v>20</v>
      </c>
      <c r="H1010" t="s">
        <v>712</v>
      </c>
      <c r="I1010">
        <f>+AVERAGE(4,10)</f>
        <v>7</v>
      </c>
      <c r="J1010" t="s">
        <v>778</v>
      </c>
      <c r="Q1010" t="s">
        <v>412</v>
      </c>
      <c r="R1010" t="s">
        <v>709</v>
      </c>
      <c r="S1010" t="s">
        <v>703</v>
      </c>
      <c r="T1010" t="s">
        <v>616</v>
      </c>
      <c r="U1010" s="1"/>
      <c r="V1010" s="1"/>
      <c r="W1010" s="1"/>
      <c r="X1010" s="1"/>
      <c r="Y1010" s="1"/>
      <c r="Z1010" s="1"/>
      <c r="AA1010" s="1">
        <v>2E-8</v>
      </c>
      <c r="AE1010" s="2"/>
      <c r="AF1010" s="2"/>
      <c r="AJ1010" t="s">
        <v>723</v>
      </c>
    </row>
    <row r="1011" spans="1:36" x14ac:dyDescent="0.25">
      <c r="A1011" t="s">
        <v>221</v>
      </c>
      <c r="B1011" t="s">
        <v>222</v>
      </c>
      <c r="C1011" t="s">
        <v>182</v>
      </c>
      <c r="D1011" t="s">
        <v>24</v>
      </c>
      <c r="E1011" t="s">
        <v>19</v>
      </c>
      <c r="F1011" t="s">
        <v>72</v>
      </c>
      <c r="G1011" t="s">
        <v>624</v>
      </c>
      <c r="H1011" t="s">
        <v>713</v>
      </c>
      <c r="I1011">
        <f>+AVERAGE(37,40)</f>
        <v>38.5</v>
      </c>
      <c r="J1011" t="s">
        <v>213</v>
      </c>
      <c r="K1011" t="s">
        <v>353</v>
      </c>
      <c r="L1011" t="s">
        <v>716</v>
      </c>
      <c r="Q1011" t="s">
        <v>412</v>
      </c>
      <c r="R1011" t="s">
        <v>709</v>
      </c>
      <c r="S1011" t="s">
        <v>703</v>
      </c>
      <c r="T1011" t="s">
        <v>615</v>
      </c>
      <c r="U1011" s="1"/>
      <c r="V1011" s="1"/>
      <c r="W1011" s="1"/>
      <c r="X1011" s="1"/>
      <c r="Y1011" s="1">
        <v>1.73E-10</v>
      </c>
      <c r="Z1011" s="1"/>
      <c r="AE1011" s="2"/>
      <c r="AF1011" s="2"/>
      <c r="AJ1011" t="s">
        <v>203</v>
      </c>
    </row>
    <row r="1012" spans="1:36" x14ac:dyDescent="0.25">
      <c r="A1012" t="s">
        <v>221</v>
      </c>
      <c r="B1012" t="s">
        <v>222</v>
      </c>
      <c r="C1012" t="s">
        <v>182</v>
      </c>
      <c r="D1012" t="s">
        <v>24</v>
      </c>
      <c r="E1012" t="s">
        <v>19</v>
      </c>
      <c r="F1012" t="s">
        <v>72</v>
      </c>
      <c r="G1012" t="s">
        <v>624</v>
      </c>
      <c r="H1012" t="s">
        <v>713</v>
      </c>
      <c r="I1012">
        <f>+AVERAGE(37,40)</f>
        <v>38.5</v>
      </c>
      <c r="J1012" t="s">
        <v>213</v>
      </c>
      <c r="K1012" t="s">
        <v>214</v>
      </c>
      <c r="L1012" t="s">
        <v>716</v>
      </c>
      <c r="Q1012" t="s">
        <v>412</v>
      </c>
      <c r="R1012" t="s">
        <v>709</v>
      </c>
      <c r="S1012" t="s">
        <v>703</v>
      </c>
      <c r="T1012" t="s">
        <v>615</v>
      </c>
      <c r="U1012" s="1"/>
      <c r="V1012" s="1"/>
      <c r="W1012" s="1"/>
      <c r="X1012" s="1"/>
      <c r="Y1012" s="1">
        <v>2.4700000000000003E-10</v>
      </c>
      <c r="Z1012" s="1"/>
      <c r="AE1012" s="2"/>
      <c r="AF1012" s="2"/>
      <c r="AJ1012" t="s">
        <v>203</v>
      </c>
    </row>
    <row r="1013" spans="1:36" x14ac:dyDescent="0.25">
      <c r="A1013" t="s">
        <v>221</v>
      </c>
      <c r="B1013" t="s">
        <v>222</v>
      </c>
      <c r="C1013" t="s">
        <v>182</v>
      </c>
      <c r="D1013" t="s">
        <v>24</v>
      </c>
      <c r="E1013" t="s">
        <v>19</v>
      </c>
      <c r="F1013" t="s">
        <v>72</v>
      </c>
      <c r="G1013" t="s">
        <v>624</v>
      </c>
      <c r="H1013" t="s">
        <v>713</v>
      </c>
      <c r="I1013">
        <f>+AVERAGE(44,47)</f>
        <v>45.5</v>
      </c>
      <c r="J1013" t="s">
        <v>213</v>
      </c>
      <c r="K1013" t="s">
        <v>353</v>
      </c>
      <c r="L1013" t="s">
        <v>716</v>
      </c>
      <c r="Q1013" t="s">
        <v>412</v>
      </c>
      <c r="R1013" t="s">
        <v>709</v>
      </c>
      <c r="S1013" t="s">
        <v>703</v>
      </c>
      <c r="T1013" t="s">
        <v>615</v>
      </c>
      <c r="U1013" s="1"/>
      <c r="V1013" s="1"/>
      <c r="W1013" s="1"/>
      <c r="X1013" s="1"/>
      <c r="Y1013" s="1">
        <v>1.16E-10</v>
      </c>
      <c r="Z1013" s="1"/>
      <c r="AE1013" s="2"/>
      <c r="AF1013" s="2"/>
      <c r="AJ1013" t="s">
        <v>203</v>
      </c>
    </row>
    <row r="1014" spans="1:36" x14ac:dyDescent="0.25">
      <c r="A1014" t="s">
        <v>221</v>
      </c>
      <c r="B1014" t="s">
        <v>222</v>
      </c>
      <c r="C1014" t="s">
        <v>182</v>
      </c>
      <c r="D1014" t="s">
        <v>24</v>
      </c>
      <c r="E1014" t="s">
        <v>19</v>
      </c>
      <c r="F1014" t="s">
        <v>72</v>
      </c>
      <c r="G1014" t="s">
        <v>624</v>
      </c>
      <c r="H1014" t="s">
        <v>713</v>
      </c>
      <c r="I1014">
        <f>+AVERAGE(44,47)</f>
        <v>45.5</v>
      </c>
      <c r="J1014" t="s">
        <v>213</v>
      </c>
      <c r="K1014" t="s">
        <v>214</v>
      </c>
      <c r="L1014" t="s">
        <v>716</v>
      </c>
      <c r="Q1014" t="s">
        <v>412</v>
      </c>
      <c r="R1014" t="s">
        <v>709</v>
      </c>
      <c r="S1014" t="s">
        <v>703</v>
      </c>
      <c r="T1014" t="s">
        <v>615</v>
      </c>
      <c r="U1014" s="1"/>
      <c r="V1014" s="1"/>
      <c r="W1014" s="1"/>
      <c r="X1014" s="1"/>
      <c r="Y1014" s="1">
        <v>1.5900000000000002E-10</v>
      </c>
      <c r="Z1014" s="1"/>
      <c r="AE1014" s="2"/>
      <c r="AF1014" s="2"/>
      <c r="AJ1014" t="s">
        <v>203</v>
      </c>
    </row>
    <row r="1015" spans="1:36" x14ac:dyDescent="0.25">
      <c r="A1015" t="s">
        <v>221</v>
      </c>
      <c r="B1015" t="s">
        <v>222</v>
      </c>
      <c r="C1015" t="s">
        <v>182</v>
      </c>
      <c r="D1015" t="s">
        <v>24</v>
      </c>
      <c r="E1015" t="s">
        <v>19</v>
      </c>
      <c r="F1015" t="s">
        <v>72</v>
      </c>
      <c r="G1015" t="s">
        <v>624</v>
      </c>
      <c r="H1015" t="s">
        <v>713</v>
      </c>
      <c r="I1015">
        <f>+AVERAGE(52,55)</f>
        <v>53.5</v>
      </c>
      <c r="J1015" t="s">
        <v>213</v>
      </c>
      <c r="K1015" t="s">
        <v>353</v>
      </c>
      <c r="L1015" t="s">
        <v>716</v>
      </c>
      <c r="Q1015" t="s">
        <v>412</v>
      </c>
      <c r="R1015" t="s">
        <v>709</v>
      </c>
      <c r="S1015" t="s">
        <v>703</v>
      </c>
      <c r="T1015" t="s">
        <v>615</v>
      </c>
      <c r="U1015" s="1"/>
      <c r="V1015" s="1"/>
      <c r="W1015" s="1"/>
      <c r="X1015" s="1"/>
      <c r="Y1015" s="1">
        <v>1.0200000000000001E-10</v>
      </c>
      <c r="Z1015" s="1"/>
      <c r="AE1015" s="2"/>
      <c r="AF1015" s="2"/>
      <c r="AJ1015" t="s">
        <v>203</v>
      </c>
    </row>
    <row r="1016" spans="1:36" x14ac:dyDescent="0.25">
      <c r="A1016" t="s">
        <v>221</v>
      </c>
      <c r="B1016" t="s">
        <v>222</v>
      </c>
      <c r="C1016" t="s">
        <v>182</v>
      </c>
      <c r="D1016" t="s">
        <v>24</v>
      </c>
      <c r="E1016" t="s">
        <v>19</v>
      </c>
      <c r="F1016" t="s">
        <v>72</v>
      </c>
      <c r="G1016" t="s">
        <v>624</v>
      </c>
      <c r="H1016" t="s">
        <v>713</v>
      </c>
      <c r="I1016">
        <f>+AVERAGE(52,55)</f>
        <v>53.5</v>
      </c>
      <c r="J1016" t="s">
        <v>213</v>
      </c>
      <c r="K1016" t="s">
        <v>214</v>
      </c>
      <c r="L1016" t="s">
        <v>716</v>
      </c>
      <c r="Q1016" t="s">
        <v>412</v>
      </c>
      <c r="R1016" t="s">
        <v>709</v>
      </c>
      <c r="S1016" t="s">
        <v>703</v>
      </c>
      <c r="T1016" t="s">
        <v>615</v>
      </c>
      <c r="U1016" s="1"/>
      <c r="V1016" s="1"/>
      <c r="W1016" s="1"/>
      <c r="X1016" s="1"/>
      <c r="Y1016" s="1">
        <v>9.3000000000000002E-11</v>
      </c>
      <c r="Z1016" s="1"/>
      <c r="AE1016" s="2"/>
      <c r="AF1016" s="2"/>
      <c r="AJ1016" t="s">
        <v>203</v>
      </c>
    </row>
    <row r="1017" spans="1:36" x14ac:dyDescent="0.25">
      <c r="A1017" t="s">
        <v>221</v>
      </c>
      <c r="B1017" t="s">
        <v>222</v>
      </c>
      <c r="C1017" t="s">
        <v>182</v>
      </c>
      <c r="D1017" t="s">
        <v>24</v>
      </c>
      <c r="E1017" t="s">
        <v>19</v>
      </c>
      <c r="F1017" t="s">
        <v>72</v>
      </c>
      <c r="G1017" t="s">
        <v>624</v>
      </c>
      <c r="H1017" t="s">
        <v>713</v>
      </c>
      <c r="I1017">
        <f>+AVERAGE(66,68)</f>
        <v>67</v>
      </c>
      <c r="J1017" t="s">
        <v>213</v>
      </c>
      <c r="K1017" t="s">
        <v>353</v>
      </c>
      <c r="L1017" t="s">
        <v>716</v>
      </c>
      <c r="Q1017" t="s">
        <v>412</v>
      </c>
      <c r="R1017" t="s">
        <v>709</v>
      </c>
      <c r="S1017" t="s">
        <v>703</v>
      </c>
      <c r="T1017" t="s">
        <v>615</v>
      </c>
      <c r="U1017" s="1"/>
      <c r="V1017" s="1"/>
      <c r="W1017" s="1"/>
      <c r="X1017" s="1"/>
      <c r="Y1017" s="1">
        <v>7.3000000000000006E-11</v>
      </c>
      <c r="Z1017" s="1"/>
      <c r="AE1017" s="2"/>
      <c r="AF1017" s="2"/>
      <c r="AJ1017" t="s">
        <v>203</v>
      </c>
    </row>
    <row r="1018" spans="1:36" x14ac:dyDescent="0.25">
      <c r="A1018" t="s">
        <v>221</v>
      </c>
      <c r="B1018" t="s">
        <v>222</v>
      </c>
      <c r="C1018" t="s">
        <v>182</v>
      </c>
      <c r="D1018" t="s">
        <v>24</v>
      </c>
      <c r="E1018" t="s">
        <v>19</v>
      </c>
      <c r="F1018" t="s">
        <v>72</v>
      </c>
      <c r="G1018" t="s">
        <v>624</v>
      </c>
      <c r="H1018" t="s">
        <v>713</v>
      </c>
      <c r="I1018">
        <f>+AVERAGE(66,68)</f>
        <v>67</v>
      </c>
      <c r="J1018" t="s">
        <v>213</v>
      </c>
      <c r="K1018" t="s">
        <v>214</v>
      </c>
      <c r="L1018" t="s">
        <v>716</v>
      </c>
      <c r="Q1018" t="s">
        <v>412</v>
      </c>
      <c r="R1018" t="s">
        <v>709</v>
      </c>
      <c r="S1018" t="s">
        <v>703</v>
      </c>
      <c r="T1018" t="s">
        <v>615</v>
      </c>
      <c r="U1018" s="1"/>
      <c r="V1018" s="1"/>
      <c r="W1018" s="1"/>
      <c r="X1018" s="1"/>
      <c r="Y1018" s="1">
        <v>1.2500000000000001E-10</v>
      </c>
      <c r="Z1018" s="1"/>
      <c r="AE1018" s="2"/>
      <c r="AF1018" s="2"/>
      <c r="AJ1018" t="s">
        <v>203</v>
      </c>
    </row>
    <row r="1019" spans="1:36" x14ac:dyDescent="0.25">
      <c r="A1019" t="s">
        <v>223</v>
      </c>
      <c r="B1019" t="s">
        <v>224</v>
      </c>
      <c r="C1019" t="s">
        <v>225</v>
      </c>
      <c r="D1019" t="s">
        <v>92</v>
      </c>
      <c r="E1019" t="s">
        <v>19</v>
      </c>
      <c r="F1019" t="s">
        <v>37</v>
      </c>
      <c r="G1019" t="s">
        <v>626</v>
      </c>
      <c r="H1019" t="s">
        <v>714</v>
      </c>
      <c r="J1019" t="s">
        <v>770</v>
      </c>
      <c r="K1019" t="s">
        <v>686</v>
      </c>
      <c r="L1019" t="s">
        <v>716</v>
      </c>
      <c r="Q1019" t="s">
        <v>412</v>
      </c>
      <c r="R1019" t="s">
        <v>709</v>
      </c>
      <c r="S1019" t="s">
        <v>703</v>
      </c>
      <c r="T1019" t="s">
        <v>615</v>
      </c>
      <c r="U1019" s="1" t="s">
        <v>754</v>
      </c>
      <c r="V1019" s="1">
        <f t="shared" ref="V1019:V1033" si="145">+AA1019*AC1019/10000</f>
        <v>7.0550591181692253E-8</v>
      </c>
      <c r="W1019" s="1"/>
      <c r="X1019" s="1"/>
      <c r="Y1019" s="1"/>
      <c r="Z1019" s="1"/>
      <c r="AA1019" s="1">
        <f>[118]Fiscus_1986_Fig5!B2</f>
        <v>3.1637036404346302E-7</v>
      </c>
      <c r="AB1019" s="1"/>
      <c r="AC1019">
        <v>2230</v>
      </c>
      <c r="AE1019" s="2"/>
      <c r="AF1019" s="2"/>
      <c r="AH1019" s="5">
        <v>0.315</v>
      </c>
      <c r="AJ1019" t="s">
        <v>203</v>
      </c>
    </row>
    <row r="1020" spans="1:36" x14ac:dyDescent="0.25">
      <c r="A1020" t="s">
        <v>223</v>
      </c>
      <c r="B1020" t="s">
        <v>224</v>
      </c>
      <c r="C1020" t="s">
        <v>225</v>
      </c>
      <c r="D1020" t="s">
        <v>92</v>
      </c>
      <c r="E1020" t="s">
        <v>19</v>
      </c>
      <c r="F1020" t="s">
        <v>37</v>
      </c>
      <c r="G1020" t="s">
        <v>626</v>
      </c>
      <c r="H1020" t="s">
        <v>714</v>
      </c>
      <c r="J1020" t="s">
        <v>770</v>
      </c>
      <c r="K1020" t="s">
        <v>687</v>
      </c>
      <c r="L1020" t="s">
        <v>716</v>
      </c>
      <c r="Q1020" t="s">
        <v>412</v>
      </c>
      <c r="R1020" t="s">
        <v>709</v>
      </c>
      <c r="S1020" t="s">
        <v>703</v>
      </c>
      <c r="T1020" t="s">
        <v>615</v>
      </c>
      <c r="U1020" s="1" t="s">
        <v>754</v>
      </c>
      <c r="V1020" s="1">
        <f t="shared" si="145"/>
        <v>6.6498853327151046E-8</v>
      </c>
      <c r="W1020" s="1"/>
      <c r="X1020" s="1"/>
      <c r="Y1020" s="1"/>
      <c r="Z1020" s="1"/>
      <c r="AA1020" s="1">
        <f>[118]Fiscus_1986_Fig5!B3</f>
        <v>2.9820113599619301E-7</v>
      </c>
      <c r="AB1020" s="1"/>
      <c r="AC1020">
        <v>2230</v>
      </c>
      <c r="AE1020" s="2"/>
      <c r="AF1020" s="2"/>
      <c r="AH1020" s="5">
        <v>0.315</v>
      </c>
      <c r="AJ1020" t="s">
        <v>203</v>
      </c>
    </row>
    <row r="1021" spans="1:36" x14ac:dyDescent="0.25">
      <c r="A1021" t="s">
        <v>223</v>
      </c>
      <c r="B1021" t="s">
        <v>224</v>
      </c>
      <c r="C1021" t="s">
        <v>225</v>
      </c>
      <c r="D1021" t="s">
        <v>92</v>
      </c>
      <c r="E1021" t="s">
        <v>19</v>
      </c>
      <c r="F1021" t="s">
        <v>37</v>
      </c>
      <c r="G1021" t="s">
        <v>626</v>
      </c>
      <c r="H1021" t="s">
        <v>714</v>
      </c>
      <c r="J1021" t="s">
        <v>770</v>
      </c>
      <c r="K1021" t="s">
        <v>688</v>
      </c>
      <c r="L1021" t="s">
        <v>716</v>
      </c>
      <c r="Q1021" t="s">
        <v>412</v>
      </c>
      <c r="R1021" t="s">
        <v>709</v>
      </c>
      <c r="S1021" t="s">
        <v>703</v>
      </c>
      <c r="T1021" t="s">
        <v>615</v>
      </c>
      <c r="U1021" s="1" t="s">
        <v>754</v>
      </c>
      <c r="V1021" s="1">
        <f t="shared" si="145"/>
        <v>6.8007796094174113E-8</v>
      </c>
      <c r="W1021" s="1"/>
      <c r="X1021" s="1"/>
      <c r="Y1021" s="1"/>
      <c r="Z1021" s="1"/>
      <c r="AA1021" s="1">
        <f>[118]Fiscus_1986_Fig5!B4</f>
        <v>3.0496769548957002E-7</v>
      </c>
      <c r="AB1021" s="1"/>
      <c r="AC1021">
        <v>2230</v>
      </c>
      <c r="AE1021" s="2"/>
      <c r="AF1021" s="2"/>
      <c r="AH1021" s="5">
        <v>0.315</v>
      </c>
      <c r="AJ1021" t="s">
        <v>203</v>
      </c>
    </row>
    <row r="1022" spans="1:36" x14ac:dyDescent="0.25">
      <c r="A1022" t="s">
        <v>223</v>
      </c>
      <c r="B1022" t="s">
        <v>224</v>
      </c>
      <c r="C1022" t="s">
        <v>225</v>
      </c>
      <c r="D1022" t="s">
        <v>92</v>
      </c>
      <c r="E1022" t="s">
        <v>19</v>
      </c>
      <c r="F1022" t="s">
        <v>37</v>
      </c>
      <c r="G1022" t="s">
        <v>626</v>
      </c>
      <c r="H1022" t="s">
        <v>714</v>
      </c>
      <c r="J1022" t="s">
        <v>770</v>
      </c>
      <c r="K1022" t="s">
        <v>689</v>
      </c>
      <c r="L1022" t="s">
        <v>716</v>
      </c>
      <c r="Q1022" t="s">
        <v>412</v>
      </c>
      <c r="R1022" t="s">
        <v>709</v>
      </c>
      <c r="S1022" t="s">
        <v>703</v>
      </c>
      <c r="T1022" t="s">
        <v>615</v>
      </c>
      <c r="U1022" s="1" t="s">
        <v>754</v>
      </c>
      <c r="V1022" s="1">
        <f t="shared" si="145"/>
        <v>7.2232182796551537E-8</v>
      </c>
      <c r="W1022" s="1"/>
      <c r="X1022" s="1"/>
      <c r="Y1022" s="1"/>
      <c r="Z1022" s="1"/>
      <c r="AA1022" s="1">
        <f>[118]Fiscus_1986_Fig5!B5</f>
        <v>3.2391113361682302E-7</v>
      </c>
      <c r="AB1022" s="1"/>
      <c r="AC1022">
        <v>2230</v>
      </c>
      <c r="AE1022" s="2"/>
      <c r="AF1022" s="2"/>
      <c r="AH1022" s="5">
        <v>0.315</v>
      </c>
      <c r="AJ1022" t="s">
        <v>203</v>
      </c>
    </row>
    <row r="1023" spans="1:36" x14ac:dyDescent="0.25">
      <c r="A1023" t="s">
        <v>223</v>
      </c>
      <c r="B1023" t="s">
        <v>224</v>
      </c>
      <c r="C1023" t="s">
        <v>225</v>
      </c>
      <c r="D1023" t="s">
        <v>92</v>
      </c>
      <c r="E1023" t="s">
        <v>19</v>
      </c>
      <c r="F1023" t="s">
        <v>37</v>
      </c>
      <c r="G1023" t="s">
        <v>626</v>
      </c>
      <c r="H1023" t="s">
        <v>714</v>
      </c>
      <c r="J1023" t="s">
        <v>770</v>
      </c>
      <c r="K1023" t="s">
        <v>690</v>
      </c>
      <c r="L1023" t="s">
        <v>716</v>
      </c>
      <c r="Q1023" t="s">
        <v>412</v>
      </c>
      <c r="R1023" t="s">
        <v>709</v>
      </c>
      <c r="S1023" t="s">
        <v>703</v>
      </c>
      <c r="T1023" t="s">
        <v>615</v>
      </c>
      <c r="U1023" s="1" t="s">
        <v>754</v>
      </c>
      <c r="V1023" s="1">
        <f t="shared" si="145"/>
        <v>6.7993510728513903E-8</v>
      </c>
      <c r="W1023" s="1"/>
      <c r="X1023" s="1"/>
      <c r="Y1023" s="1"/>
      <c r="Z1023" s="1"/>
      <c r="AA1023" s="1">
        <f>[118]Fiscus_1986_Fig5!B6</f>
        <v>3.0490363555387399E-7</v>
      </c>
      <c r="AB1023" s="1"/>
      <c r="AC1023">
        <v>2230</v>
      </c>
      <c r="AE1023" s="2"/>
      <c r="AF1023" s="2"/>
      <c r="AH1023" s="5">
        <v>0.315</v>
      </c>
      <c r="AJ1023" t="s">
        <v>203</v>
      </c>
    </row>
    <row r="1024" spans="1:36" x14ac:dyDescent="0.25">
      <c r="A1024" t="s">
        <v>223</v>
      </c>
      <c r="B1024" t="s">
        <v>224</v>
      </c>
      <c r="C1024" t="s">
        <v>225</v>
      </c>
      <c r="D1024" t="s">
        <v>92</v>
      </c>
      <c r="E1024" t="s">
        <v>19</v>
      </c>
      <c r="F1024" t="s">
        <v>37</v>
      </c>
      <c r="G1024" t="s">
        <v>626</v>
      </c>
      <c r="H1024" t="s">
        <v>714</v>
      </c>
      <c r="J1024" t="s">
        <v>770</v>
      </c>
      <c r="K1024" t="s">
        <v>691</v>
      </c>
      <c r="L1024" t="s">
        <v>716</v>
      </c>
      <c r="Q1024" t="s">
        <v>412</v>
      </c>
      <c r="R1024" t="s">
        <v>709</v>
      </c>
      <c r="S1024" t="s">
        <v>703</v>
      </c>
      <c r="T1024" t="s">
        <v>615</v>
      </c>
      <c r="U1024" s="1" t="s">
        <v>754</v>
      </c>
      <c r="V1024" s="1">
        <f t="shared" si="145"/>
        <v>7.0295087213026556E-8</v>
      </c>
      <c r="W1024" s="1"/>
      <c r="X1024" s="1"/>
      <c r="Y1024" s="1"/>
      <c r="Z1024" s="1"/>
      <c r="AA1024" s="1">
        <f>[118]Fiscus_1986_Fig5!B7</f>
        <v>3.1522460633644198E-7</v>
      </c>
      <c r="AB1024" s="1"/>
      <c r="AC1024">
        <v>2230</v>
      </c>
      <c r="AE1024" s="2"/>
      <c r="AF1024" s="2"/>
      <c r="AH1024" s="5">
        <v>0.315</v>
      </c>
      <c r="AJ1024" t="s">
        <v>203</v>
      </c>
    </row>
    <row r="1025" spans="1:36" x14ac:dyDescent="0.25">
      <c r="A1025" t="s">
        <v>223</v>
      </c>
      <c r="B1025" t="s">
        <v>224</v>
      </c>
      <c r="C1025" t="s">
        <v>225</v>
      </c>
      <c r="D1025" t="s">
        <v>92</v>
      </c>
      <c r="E1025" t="s">
        <v>19</v>
      </c>
      <c r="F1025" t="s">
        <v>37</v>
      </c>
      <c r="G1025" t="s">
        <v>626</v>
      </c>
      <c r="H1025" t="s">
        <v>714</v>
      </c>
      <c r="J1025" t="s">
        <v>770</v>
      </c>
      <c r="K1025" t="s">
        <v>692</v>
      </c>
      <c r="L1025" t="s">
        <v>716</v>
      </c>
      <c r="Q1025" t="s">
        <v>412</v>
      </c>
      <c r="R1025" t="s">
        <v>709</v>
      </c>
      <c r="S1025" t="s">
        <v>703</v>
      </c>
      <c r="T1025" t="s">
        <v>615</v>
      </c>
      <c r="U1025" s="1" t="s">
        <v>754</v>
      </c>
      <c r="V1025" s="1">
        <f t="shared" si="145"/>
        <v>6.9713468754003743E-8</v>
      </c>
      <c r="W1025" s="1"/>
      <c r="X1025" s="1"/>
      <c r="Y1025" s="1"/>
      <c r="Z1025" s="1"/>
      <c r="AA1025" s="1">
        <f>[118]Fiscus_1986_Fig5!B8</f>
        <v>3.1261645181167599E-7</v>
      </c>
      <c r="AB1025" s="1"/>
      <c r="AC1025">
        <v>2230</v>
      </c>
      <c r="AE1025" s="2"/>
      <c r="AF1025" s="2"/>
      <c r="AH1025" s="5">
        <v>0.315</v>
      </c>
      <c r="AJ1025" t="s">
        <v>203</v>
      </c>
    </row>
    <row r="1026" spans="1:36" x14ac:dyDescent="0.25">
      <c r="A1026" t="s">
        <v>223</v>
      </c>
      <c r="B1026" t="s">
        <v>224</v>
      </c>
      <c r="C1026" t="s">
        <v>225</v>
      </c>
      <c r="D1026" t="s">
        <v>92</v>
      </c>
      <c r="E1026" t="s">
        <v>19</v>
      </c>
      <c r="F1026" t="s">
        <v>37</v>
      </c>
      <c r="G1026" t="s">
        <v>626</v>
      </c>
      <c r="H1026" t="s">
        <v>714</v>
      </c>
      <c r="J1026" t="s">
        <v>770</v>
      </c>
      <c r="K1026" t="s">
        <v>693</v>
      </c>
      <c r="L1026" t="s">
        <v>716</v>
      </c>
      <c r="Q1026" t="s">
        <v>412</v>
      </c>
      <c r="R1026" t="s">
        <v>709</v>
      </c>
      <c r="S1026" t="s">
        <v>703</v>
      </c>
      <c r="T1026" t="s">
        <v>615</v>
      </c>
      <c r="U1026" s="1" t="s">
        <v>754</v>
      </c>
      <c r="V1026" s="1">
        <f t="shared" si="145"/>
        <v>6.999733937733723E-8</v>
      </c>
      <c r="W1026" s="1"/>
      <c r="X1026" s="1"/>
      <c r="Y1026" s="1"/>
      <c r="Z1026" s="1"/>
      <c r="AA1026" s="1">
        <f>[118]Fiscus_1986_Fig5!B9</f>
        <v>3.13889414248149E-7</v>
      </c>
      <c r="AB1026" s="1"/>
      <c r="AC1026">
        <v>2230</v>
      </c>
      <c r="AE1026" s="2"/>
      <c r="AF1026" s="2"/>
      <c r="AH1026" s="5">
        <v>0.315</v>
      </c>
      <c r="AJ1026" t="s">
        <v>203</v>
      </c>
    </row>
    <row r="1027" spans="1:36" x14ac:dyDescent="0.25">
      <c r="A1027" t="s">
        <v>223</v>
      </c>
      <c r="B1027" t="s">
        <v>224</v>
      </c>
      <c r="C1027" t="s">
        <v>225</v>
      </c>
      <c r="D1027" t="s">
        <v>92</v>
      </c>
      <c r="E1027" t="s">
        <v>19</v>
      </c>
      <c r="F1027" t="s">
        <v>37</v>
      </c>
      <c r="G1027" t="s">
        <v>626</v>
      </c>
      <c r="H1027" t="s">
        <v>714</v>
      </c>
      <c r="J1027" t="s">
        <v>770</v>
      </c>
      <c r="K1027" t="s">
        <v>694</v>
      </c>
      <c r="L1027" t="s">
        <v>716</v>
      </c>
      <c r="Q1027" t="s">
        <v>412</v>
      </c>
      <c r="R1027" t="s">
        <v>709</v>
      </c>
      <c r="S1027" t="s">
        <v>703</v>
      </c>
      <c r="T1027" t="s">
        <v>615</v>
      </c>
      <c r="U1027" s="1" t="s">
        <v>754</v>
      </c>
      <c r="V1027" s="1">
        <f t="shared" si="145"/>
        <v>6.6435997718245984E-8</v>
      </c>
      <c r="W1027" s="1"/>
      <c r="X1027" s="1"/>
      <c r="Y1027" s="1"/>
      <c r="Z1027" s="1"/>
      <c r="AA1027" s="1">
        <f>[118]Fiscus_1986_Fig5!B10</f>
        <v>2.9791927227912998E-7</v>
      </c>
      <c r="AB1027" s="1"/>
      <c r="AC1027">
        <v>2230</v>
      </c>
      <c r="AE1027" s="2"/>
      <c r="AF1027" s="2"/>
      <c r="AH1027" s="5">
        <v>0.315</v>
      </c>
      <c r="AJ1027" t="s">
        <v>203</v>
      </c>
    </row>
    <row r="1028" spans="1:36" x14ac:dyDescent="0.25">
      <c r="A1028" t="s">
        <v>223</v>
      </c>
      <c r="B1028" t="s">
        <v>224</v>
      </c>
      <c r="C1028" t="s">
        <v>225</v>
      </c>
      <c r="D1028" t="s">
        <v>92</v>
      </c>
      <c r="E1028" t="s">
        <v>19</v>
      </c>
      <c r="F1028" t="s">
        <v>37</v>
      </c>
      <c r="G1028" t="s">
        <v>626</v>
      </c>
      <c r="H1028" t="s">
        <v>714</v>
      </c>
      <c r="J1028" t="s">
        <v>770</v>
      </c>
      <c r="K1028" t="s">
        <v>695</v>
      </c>
      <c r="L1028" t="s">
        <v>716</v>
      </c>
      <c r="Q1028" t="s">
        <v>412</v>
      </c>
      <c r="R1028" t="s">
        <v>709</v>
      </c>
      <c r="S1028" t="s">
        <v>703</v>
      </c>
      <c r="T1028" t="s">
        <v>615</v>
      </c>
      <c r="U1028" s="1" t="s">
        <v>754</v>
      </c>
      <c r="V1028" s="1">
        <f t="shared" si="145"/>
        <v>6.383095925177977E-8</v>
      </c>
      <c r="W1028" s="1"/>
      <c r="X1028" s="1"/>
      <c r="Y1028" s="1"/>
      <c r="Z1028" s="1"/>
      <c r="AA1028" s="1">
        <f>[118]Fiscus_1986_Fig5!B11</f>
        <v>2.8623748543399002E-7</v>
      </c>
      <c r="AB1028" s="1"/>
      <c r="AC1028">
        <v>2230</v>
      </c>
      <c r="AE1028" s="2"/>
      <c r="AF1028" s="2"/>
      <c r="AH1028" s="5">
        <v>0.315</v>
      </c>
      <c r="AJ1028" t="s">
        <v>203</v>
      </c>
    </row>
    <row r="1029" spans="1:36" x14ac:dyDescent="0.25">
      <c r="A1029" t="s">
        <v>223</v>
      </c>
      <c r="B1029" t="s">
        <v>224</v>
      </c>
      <c r="C1029" t="s">
        <v>225</v>
      </c>
      <c r="D1029" t="s">
        <v>92</v>
      </c>
      <c r="E1029" t="s">
        <v>19</v>
      </c>
      <c r="F1029" t="s">
        <v>37</v>
      </c>
      <c r="G1029" t="s">
        <v>626</v>
      </c>
      <c r="H1029" t="s">
        <v>714</v>
      </c>
      <c r="J1029" t="s">
        <v>770</v>
      </c>
      <c r="K1029" t="s">
        <v>696</v>
      </c>
      <c r="L1029" t="s">
        <v>716</v>
      </c>
      <c r="Q1029" t="s">
        <v>412</v>
      </c>
      <c r="R1029" t="s">
        <v>709</v>
      </c>
      <c r="S1029" t="s">
        <v>703</v>
      </c>
      <c r="T1029" t="s">
        <v>615</v>
      </c>
      <c r="U1029" s="1" t="s">
        <v>754</v>
      </c>
      <c r="V1029" s="1">
        <f t="shared" si="145"/>
        <v>6.3922181515352834E-8</v>
      </c>
      <c r="W1029" s="1"/>
      <c r="X1029" s="1"/>
      <c r="Y1029" s="1"/>
      <c r="Z1029" s="1"/>
      <c r="AA1029" s="1">
        <f>[118]Fiscus_1986_Fig5!B12</f>
        <v>2.8664655388050597E-7</v>
      </c>
      <c r="AB1029" s="1"/>
      <c r="AC1029">
        <v>2230</v>
      </c>
      <c r="AE1029" s="2"/>
      <c r="AF1029" s="2"/>
      <c r="AH1029" s="5">
        <v>0.315</v>
      </c>
      <c r="AJ1029" t="s">
        <v>203</v>
      </c>
    </row>
    <row r="1030" spans="1:36" x14ac:dyDescent="0.25">
      <c r="A1030" t="s">
        <v>223</v>
      </c>
      <c r="B1030" t="s">
        <v>224</v>
      </c>
      <c r="C1030" t="s">
        <v>225</v>
      </c>
      <c r="D1030" t="s">
        <v>92</v>
      </c>
      <c r="E1030" t="s">
        <v>19</v>
      </c>
      <c r="F1030" t="s">
        <v>37</v>
      </c>
      <c r="G1030" t="s">
        <v>626</v>
      </c>
      <c r="H1030" t="s">
        <v>714</v>
      </c>
      <c r="J1030" t="s">
        <v>770</v>
      </c>
      <c r="K1030" t="s">
        <v>697</v>
      </c>
      <c r="L1030" t="s">
        <v>716</v>
      </c>
      <c r="Q1030" t="s">
        <v>412</v>
      </c>
      <c r="R1030" t="s">
        <v>709</v>
      </c>
      <c r="S1030" t="s">
        <v>703</v>
      </c>
      <c r="T1030" t="s">
        <v>615</v>
      </c>
      <c r="U1030" s="1" t="s">
        <v>754</v>
      </c>
      <c r="V1030" s="1">
        <f t="shared" si="145"/>
        <v>6.2571602230505774E-8</v>
      </c>
      <c r="W1030" s="1"/>
      <c r="X1030" s="1"/>
      <c r="Y1030" s="1"/>
      <c r="Z1030" s="1"/>
      <c r="AA1030" s="1">
        <f>[118]Fiscus_1986_Fig5!B13</f>
        <v>2.8059014453141602E-7</v>
      </c>
      <c r="AB1030" s="1"/>
      <c r="AC1030">
        <v>2230</v>
      </c>
      <c r="AE1030" s="2"/>
      <c r="AF1030" s="2"/>
      <c r="AH1030" s="5">
        <v>0.315</v>
      </c>
      <c r="AJ1030" t="s">
        <v>203</v>
      </c>
    </row>
    <row r="1031" spans="1:36" x14ac:dyDescent="0.25">
      <c r="A1031" t="s">
        <v>223</v>
      </c>
      <c r="B1031" t="s">
        <v>224</v>
      </c>
      <c r="C1031" t="s">
        <v>225</v>
      </c>
      <c r="D1031" t="s">
        <v>92</v>
      </c>
      <c r="E1031" t="s">
        <v>19</v>
      </c>
      <c r="F1031" t="s">
        <v>37</v>
      </c>
      <c r="G1031" t="s">
        <v>626</v>
      </c>
      <c r="H1031" t="s">
        <v>714</v>
      </c>
      <c r="J1031" t="s">
        <v>770</v>
      </c>
      <c r="K1031" t="s">
        <v>698</v>
      </c>
      <c r="L1031" t="s">
        <v>716</v>
      </c>
      <c r="Q1031" t="s">
        <v>412</v>
      </c>
      <c r="R1031" t="s">
        <v>709</v>
      </c>
      <c r="S1031" t="s">
        <v>703</v>
      </c>
      <c r="T1031" t="s">
        <v>615</v>
      </c>
      <c r="U1031" s="1" t="s">
        <v>754</v>
      </c>
      <c r="V1031" s="1">
        <f t="shared" si="145"/>
        <v>6.4585634711943808E-8</v>
      </c>
      <c r="W1031" s="1"/>
      <c r="X1031" s="1"/>
      <c r="Y1031" s="1"/>
      <c r="Z1031" s="1"/>
      <c r="AA1031" s="1">
        <f>[118]Fiscus_1986_Fig5!B14</f>
        <v>2.8962168032261799E-7</v>
      </c>
      <c r="AB1031" s="1"/>
      <c r="AC1031">
        <v>2230</v>
      </c>
      <c r="AE1031" s="2"/>
      <c r="AF1031" s="2"/>
      <c r="AH1031" s="5">
        <v>0.315</v>
      </c>
      <c r="AJ1031" t="s">
        <v>203</v>
      </c>
    </row>
    <row r="1032" spans="1:36" x14ac:dyDescent="0.25">
      <c r="A1032" t="s">
        <v>223</v>
      </c>
      <c r="B1032" t="s">
        <v>224</v>
      </c>
      <c r="C1032" t="s">
        <v>225</v>
      </c>
      <c r="D1032" t="s">
        <v>92</v>
      </c>
      <c r="E1032" t="s">
        <v>19</v>
      </c>
      <c r="F1032" t="s">
        <v>37</v>
      </c>
      <c r="G1032" t="s">
        <v>626</v>
      </c>
      <c r="H1032" t="s">
        <v>714</v>
      </c>
      <c r="J1032" t="s">
        <v>770</v>
      </c>
      <c r="K1032" t="s">
        <v>699</v>
      </c>
      <c r="L1032" t="s">
        <v>716</v>
      </c>
      <c r="Q1032" t="s">
        <v>412</v>
      </c>
      <c r="R1032" t="s">
        <v>709</v>
      </c>
      <c r="S1032" t="s">
        <v>703</v>
      </c>
      <c r="T1032" t="s">
        <v>615</v>
      </c>
      <c r="U1032" s="1" t="s">
        <v>754</v>
      </c>
      <c r="V1032" s="1">
        <f t="shared" si="145"/>
        <v>5.6597870464708943E-8</v>
      </c>
      <c r="W1032" s="1"/>
      <c r="X1032" s="1"/>
      <c r="Y1032" s="1"/>
      <c r="Z1032" s="1"/>
      <c r="AA1032" s="1">
        <f>[118]Fiscus_1986_Fig5!B15</f>
        <v>2.53802109707215E-7</v>
      </c>
      <c r="AB1032" s="1"/>
      <c r="AC1032">
        <v>2230</v>
      </c>
      <c r="AE1032" s="2"/>
      <c r="AF1032" s="2"/>
      <c r="AH1032" s="5">
        <v>0.315</v>
      </c>
      <c r="AJ1032" t="s">
        <v>203</v>
      </c>
    </row>
    <row r="1033" spans="1:36" x14ac:dyDescent="0.25">
      <c r="A1033" t="s">
        <v>226</v>
      </c>
      <c r="B1033" t="s">
        <v>53</v>
      </c>
      <c r="C1033" t="s">
        <v>54</v>
      </c>
      <c r="D1033" t="s">
        <v>18</v>
      </c>
      <c r="E1033" t="s">
        <v>31</v>
      </c>
      <c r="F1033" t="s">
        <v>32</v>
      </c>
      <c r="G1033" t="s">
        <v>32</v>
      </c>
      <c r="H1033" t="s">
        <v>712</v>
      </c>
      <c r="J1033" t="s">
        <v>778</v>
      </c>
      <c r="Q1033" t="s">
        <v>412</v>
      </c>
      <c r="R1033" t="s">
        <v>709</v>
      </c>
      <c r="S1033" t="s">
        <v>703</v>
      </c>
      <c r="T1033" t="s">
        <v>615</v>
      </c>
      <c r="U1033" s="1" t="s">
        <v>754</v>
      </c>
      <c r="V1033" s="1">
        <f t="shared" si="145"/>
        <v>5.7960000000000003E-9</v>
      </c>
      <c r="W1033" s="1"/>
      <c r="X1033" s="1"/>
      <c r="Y1033" s="1"/>
      <c r="AA1033" s="1">
        <v>2.1E-7</v>
      </c>
      <c r="AC1033" s="9">
        <v>276</v>
      </c>
      <c r="AE1033" s="2"/>
      <c r="AF1033" s="2"/>
      <c r="AJ1033" t="s">
        <v>203</v>
      </c>
    </row>
    <row r="1034" spans="1:36" x14ac:dyDescent="0.25">
      <c r="A1034" t="s">
        <v>378</v>
      </c>
      <c r="B1034" t="s">
        <v>66</v>
      </c>
      <c r="C1034" t="s">
        <v>67</v>
      </c>
      <c r="D1034" t="s">
        <v>68</v>
      </c>
      <c r="E1034" t="s">
        <v>19</v>
      </c>
      <c r="F1034" t="s">
        <v>37</v>
      </c>
      <c r="G1034" t="s">
        <v>622</v>
      </c>
      <c r="H1034" t="s">
        <v>714</v>
      </c>
      <c r="I1034">
        <f t="shared" ref="I1034:I1042" si="146">4*7</f>
        <v>28</v>
      </c>
      <c r="J1034" t="s">
        <v>769</v>
      </c>
      <c r="K1034" t="s">
        <v>467</v>
      </c>
      <c r="L1034" t="s">
        <v>716</v>
      </c>
      <c r="M1034" t="s">
        <v>510</v>
      </c>
      <c r="N1034" t="s">
        <v>716</v>
      </c>
      <c r="Q1034" t="s">
        <v>412</v>
      </c>
      <c r="R1034" t="s">
        <v>709</v>
      </c>
      <c r="S1034" t="s">
        <v>703</v>
      </c>
      <c r="T1034" t="s">
        <v>615</v>
      </c>
      <c r="U1034" s="1" t="s">
        <v>754</v>
      </c>
      <c r="V1034" s="1">
        <f t="shared" ref="V1034:V1039" si="147">+Z1034*AI1034</f>
        <v>2.5056000000000001E-10</v>
      </c>
      <c r="W1034" s="1"/>
      <c r="X1034" s="1"/>
      <c r="Y1034" s="1"/>
      <c r="Z1034" s="1">
        <v>5.4000000000000001E-11</v>
      </c>
      <c r="AB1034" s="1"/>
      <c r="AE1034" s="2">
        <v>1.89</v>
      </c>
      <c r="AF1034" s="2"/>
      <c r="AH1034" s="5">
        <v>1.01E-2</v>
      </c>
      <c r="AI1034" s="2">
        <v>4.6399999999999997</v>
      </c>
      <c r="AJ1034" t="s">
        <v>203</v>
      </c>
    </row>
    <row r="1035" spans="1:36" x14ac:dyDescent="0.25">
      <c r="A1035" t="s">
        <v>378</v>
      </c>
      <c r="B1035" t="s">
        <v>66</v>
      </c>
      <c r="C1035" t="s">
        <v>67</v>
      </c>
      <c r="D1035" t="s">
        <v>68</v>
      </c>
      <c r="E1035" t="s">
        <v>19</v>
      </c>
      <c r="F1035" t="s">
        <v>37</v>
      </c>
      <c r="G1035" t="s">
        <v>622</v>
      </c>
      <c r="H1035" t="s">
        <v>714</v>
      </c>
      <c r="I1035">
        <f t="shared" si="146"/>
        <v>28</v>
      </c>
      <c r="J1035" t="s">
        <v>769</v>
      </c>
      <c r="K1035" t="s">
        <v>467</v>
      </c>
      <c r="L1035" t="s">
        <v>716</v>
      </c>
      <c r="M1035" t="s">
        <v>511</v>
      </c>
      <c r="N1035" t="s">
        <v>716</v>
      </c>
      <c r="Q1035" t="s">
        <v>412</v>
      </c>
      <c r="R1035" t="s">
        <v>709</v>
      </c>
      <c r="S1035" t="s">
        <v>703</v>
      </c>
      <c r="T1035" t="s">
        <v>615</v>
      </c>
      <c r="U1035" s="1" t="s">
        <v>754</v>
      </c>
      <c r="V1035" s="1">
        <f t="shared" si="147"/>
        <v>2.2102799999999994E-10</v>
      </c>
      <c r="W1035" s="1"/>
      <c r="X1035" s="1"/>
      <c r="Y1035" s="1"/>
      <c r="Z1035" s="1">
        <v>6.7799999999999988E-11</v>
      </c>
      <c r="AB1035" s="1"/>
      <c r="AE1035" s="2">
        <v>1.83</v>
      </c>
      <c r="AF1035" s="2"/>
      <c r="AH1035" s="5">
        <v>9.41E-3</v>
      </c>
      <c r="AI1035" s="2">
        <v>3.26</v>
      </c>
      <c r="AJ1035" t="s">
        <v>203</v>
      </c>
    </row>
    <row r="1036" spans="1:36" x14ac:dyDescent="0.25">
      <c r="A1036" t="s">
        <v>378</v>
      </c>
      <c r="B1036" t="s">
        <v>66</v>
      </c>
      <c r="C1036" t="s">
        <v>67</v>
      </c>
      <c r="D1036" t="s">
        <v>68</v>
      </c>
      <c r="E1036" t="s">
        <v>19</v>
      </c>
      <c r="F1036" t="s">
        <v>37</v>
      </c>
      <c r="G1036" t="s">
        <v>622</v>
      </c>
      <c r="H1036" t="s">
        <v>714</v>
      </c>
      <c r="I1036">
        <f t="shared" si="146"/>
        <v>28</v>
      </c>
      <c r="J1036" t="s">
        <v>769</v>
      </c>
      <c r="K1036" t="s">
        <v>467</v>
      </c>
      <c r="L1036" t="s">
        <v>716</v>
      </c>
      <c r="M1036" t="s">
        <v>512</v>
      </c>
      <c r="N1036" t="s">
        <v>716</v>
      </c>
      <c r="Q1036" t="s">
        <v>412</v>
      </c>
      <c r="R1036" t="s">
        <v>709</v>
      </c>
      <c r="S1036" t="s">
        <v>703</v>
      </c>
      <c r="T1036" t="s">
        <v>615</v>
      </c>
      <c r="U1036" s="1" t="s">
        <v>754</v>
      </c>
      <c r="V1036" s="1">
        <f t="shared" si="147"/>
        <v>5.2930000000000002E-10</v>
      </c>
      <c r="W1036" s="1"/>
      <c r="X1036" s="1"/>
      <c r="Y1036" s="1"/>
      <c r="Z1036" s="1">
        <v>1.6749999999999999E-10</v>
      </c>
      <c r="AB1036" s="1"/>
      <c r="AE1036" s="2">
        <v>2.15</v>
      </c>
      <c r="AF1036" s="2"/>
      <c r="AH1036" s="5">
        <v>9.7000000000000003E-3</v>
      </c>
      <c r="AI1036" s="2">
        <v>3.16</v>
      </c>
      <c r="AJ1036" t="s">
        <v>203</v>
      </c>
    </row>
    <row r="1037" spans="1:36" x14ac:dyDescent="0.25">
      <c r="A1037" t="s">
        <v>378</v>
      </c>
      <c r="B1037" t="s">
        <v>66</v>
      </c>
      <c r="C1037" t="s">
        <v>67</v>
      </c>
      <c r="D1037" t="s">
        <v>68</v>
      </c>
      <c r="E1037" t="s">
        <v>19</v>
      </c>
      <c r="F1037" t="s">
        <v>37</v>
      </c>
      <c r="G1037" t="s">
        <v>622</v>
      </c>
      <c r="H1037" t="s">
        <v>714</v>
      </c>
      <c r="I1037">
        <f t="shared" si="146"/>
        <v>28</v>
      </c>
      <c r="J1037" t="s">
        <v>769</v>
      </c>
      <c r="K1037" t="s">
        <v>466</v>
      </c>
      <c r="L1037" t="s">
        <v>716</v>
      </c>
      <c r="M1037" t="s">
        <v>510</v>
      </c>
      <c r="N1037" t="s">
        <v>716</v>
      </c>
      <c r="Q1037" t="s">
        <v>412</v>
      </c>
      <c r="R1037" t="s">
        <v>709</v>
      </c>
      <c r="S1037" t="s">
        <v>703</v>
      </c>
      <c r="T1037" t="s">
        <v>615</v>
      </c>
      <c r="U1037" s="1" t="s">
        <v>754</v>
      </c>
      <c r="V1037" s="1">
        <f t="shared" si="147"/>
        <v>4.4029999999999996E-11</v>
      </c>
      <c r="W1037" s="1"/>
      <c r="X1037" s="1"/>
      <c r="Y1037" s="1"/>
      <c r="Z1037" s="1">
        <v>3.4000000000000001E-12</v>
      </c>
      <c r="AB1037" s="1"/>
      <c r="AE1037" s="2">
        <v>1.0900000000000001</v>
      </c>
      <c r="AF1037" s="2"/>
      <c r="AH1037" s="5">
        <v>2.511E-2</v>
      </c>
      <c r="AI1037" s="2">
        <v>12.95</v>
      </c>
      <c r="AJ1037" t="s">
        <v>203</v>
      </c>
    </row>
    <row r="1038" spans="1:36" x14ac:dyDescent="0.25">
      <c r="A1038" t="s">
        <v>378</v>
      </c>
      <c r="B1038" t="s">
        <v>66</v>
      </c>
      <c r="C1038" t="s">
        <v>67</v>
      </c>
      <c r="D1038" t="s">
        <v>68</v>
      </c>
      <c r="E1038" t="s">
        <v>19</v>
      </c>
      <c r="F1038" t="s">
        <v>37</v>
      </c>
      <c r="G1038" t="s">
        <v>622</v>
      </c>
      <c r="H1038" t="s">
        <v>714</v>
      </c>
      <c r="I1038">
        <f t="shared" si="146"/>
        <v>28</v>
      </c>
      <c r="J1038" t="s">
        <v>769</v>
      </c>
      <c r="K1038" t="s">
        <v>466</v>
      </c>
      <c r="L1038" t="s">
        <v>716</v>
      </c>
      <c r="M1038" t="s">
        <v>511</v>
      </c>
      <c r="N1038" t="s">
        <v>716</v>
      </c>
      <c r="Q1038" t="s">
        <v>412</v>
      </c>
      <c r="R1038" t="s">
        <v>709</v>
      </c>
      <c r="S1038" t="s">
        <v>703</v>
      </c>
      <c r="T1038" t="s">
        <v>615</v>
      </c>
      <c r="U1038" s="1" t="s">
        <v>754</v>
      </c>
      <c r="V1038" s="1">
        <f t="shared" si="147"/>
        <v>4.0857599999999997E-10</v>
      </c>
      <c r="W1038" s="1"/>
      <c r="X1038" s="1"/>
      <c r="Y1038" s="1"/>
      <c r="Z1038" s="1">
        <v>2.5599999999999998E-11</v>
      </c>
      <c r="AB1038" s="1"/>
      <c r="AE1038" s="2">
        <v>0.73</v>
      </c>
      <c r="AF1038" s="2"/>
      <c r="AH1038" s="5">
        <v>2.0799999999999999E-2</v>
      </c>
      <c r="AI1038" s="2">
        <v>15.96</v>
      </c>
      <c r="AJ1038" t="s">
        <v>203</v>
      </c>
    </row>
    <row r="1039" spans="1:36" x14ac:dyDescent="0.25">
      <c r="A1039" t="s">
        <v>378</v>
      </c>
      <c r="B1039" t="s">
        <v>66</v>
      </c>
      <c r="C1039" t="s">
        <v>67</v>
      </c>
      <c r="D1039" t="s">
        <v>68</v>
      </c>
      <c r="E1039" t="s">
        <v>19</v>
      </c>
      <c r="F1039" t="s">
        <v>37</v>
      </c>
      <c r="G1039" t="s">
        <v>622</v>
      </c>
      <c r="H1039" t="s">
        <v>714</v>
      </c>
      <c r="I1039">
        <f t="shared" si="146"/>
        <v>28</v>
      </c>
      <c r="J1039" t="s">
        <v>769</v>
      </c>
      <c r="K1039" t="s">
        <v>466</v>
      </c>
      <c r="L1039" t="s">
        <v>716</v>
      </c>
      <c r="M1039" t="s">
        <v>512</v>
      </c>
      <c r="N1039" t="s">
        <v>716</v>
      </c>
      <c r="Q1039" t="s">
        <v>412</v>
      </c>
      <c r="R1039" t="s">
        <v>709</v>
      </c>
      <c r="S1039" t="s">
        <v>703</v>
      </c>
      <c r="T1039" t="s">
        <v>615</v>
      </c>
      <c r="U1039" s="1" t="s">
        <v>754</v>
      </c>
      <c r="V1039" s="1">
        <f t="shared" si="147"/>
        <v>6.1311099999999987E-10</v>
      </c>
      <c r="W1039" s="1"/>
      <c r="X1039" s="1"/>
      <c r="Y1039" s="1"/>
      <c r="Z1039" s="1">
        <v>4.3699999999999995E-11</v>
      </c>
      <c r="AB1039" s="1"/>
      <c r="AE1039" s="2">
        <v>0.87</v>
      </c>
      <c r="AF1039" s="2"/>
      <c r="AH1039" s="5">
        <v>2.3709999999999998E-2</v>
      </c>
      <c r="AI1039" s="2">
        <v>14.03</v>
      </c>
      <c r="AJ1039" t="s">
        <v>203</v>
      </c>
    </row>
    <row r="1040" spans="1:36" x14ac:dyDescent="0.25">
      <c r="A1040" t="s">
        <v>751</v>
      </c>
      <c r="B1040" t="s">
        <v>66</v>
      </c>
      <c r="C1040" t="s">
        <v>67</v>
      </c>
      <c r="D1040" t="s">
        <v>68</v>
      </c>
      <c r="E1040" t="s">
        <v>19</v>
      </c>
      <c r="F1040" t="s">
        <v>37</v>
      </c>
      <c r="G1040" t="s">
        <v>622</v>
      </c>
      <c r="H1040" t="s">
        <v>714</v>
      </c>
      <c r="I1040">
        <f t="shared" si="146"/>
        <v>28</v>
      </c>
      <c r="J1040" t="s">
        <v>778</v>
      </c>
      <c r="Q1040" t="s">
        <v>412</v>
      </c>
      <c r="R1040" t="s">
        <v>709</v>
      </c>
      <c r="S1040" t="s">
        <v>703</v>
      </c>
      <c r="T1040" t="s">
        <v>615</v>
      </c>
      <c r="U1040" s="1"/>
      <c r="V1040" s="1"/>
      <c r="W1040" s="1"/>
      <c r="X1040" s="1"/>
      <c r="Y1040" s="1"/>
      <c r="Z1040" s="1"/>
      <c r="AA1040" s="1">
        <v>2.07E-8</v>
      </c>
      <c r="AB1040" s="1"/>
      <c r="AE1040" s="2"/>
      <c r="AF1040" s="2"/>
      <c r="AI1040" s="2"/>
      <c r="AJ1040" t="s">
        <v>203</v>
      </c>
    </row>
    <row r="1041" spans="1:36" x14ac:dyDescent="0.25">
      <c r="A1041" t="s">
        <v>751</v>
      </c>
      <c r="B1041" t="s">
        <v>224</v>
      </c>
      <c r="C1041" t="s">
        <v>225</v>
      </c>
      <c r="D1041" t="s">
        <v>92</v>
      </c>
      <c r="E1041" t="s">
        <v>19</v>
      </c>
      <c r="F1041" t="s">
        <v>37</v>
      </c>
      <c r="G1041" t="s">
        <v>626</v>
      </c>
      <c r="H1041" t="s">
        <v>714</v>
      </c>
      <c r="I1041">
        <f t="shared" si="146"/>
        <v>28</v>
      </c>
      <c r="J1041" t="s">
        <v>778</v>
      </c>
      <c r="Q1041" t="s">
        <v>412</v>
      </c>
      <c r="R1041" t="s">
        <v>709</v>
      </c>
      <c r="S1041" t="s">
        <v>703</v>
      </c>
      <c r="T1041" t="s">
        <v>615</v>
      </c>
      <c r="U1041" s="1"/>
      <c r="V1041" s="1"/>
      <c r="W1041" s="1"/>
      <c r="X1041" s="1"/>
      <c r="Y1041" s="1"/>
      <c r="Z1041" s="1"/>
      <c r="AA1041" s="1">
        <v>5.9999999999999995E-8</v>
      </c>
      <c r="AB1041" s="1"/>
      <c r="AE1041" s="2"/>
      <c r="AF1041" s="2"/>
      <c r="AI1041" s="2"/>
      <c r="AJ1041" t="s">
        <v>203</v>
      </c>
    </row>
    <row r="1042" spans="1:36" x14ac:dyDescent="0.25">
      <c r="A1042" t="s">
        <v>751</v>
      </c>
      <c r="B1042" t="s">
        <v>34</v>
      </c>
      <c r="C1042" t="s">
        <v>35</v>
      </c>
      <c r="D1042" t="s">
        <v>36</v>
      </c>
      <c r="E1042" t="s">
        <v>19</v>
      </c>
      <c r="F1042" t="s">
        <v>37</v>
      </c>
      <c r="G1042" t="s">
        <v>622</v>
      </c>
      <c r="H1042" t="s">
        <v>714</v>
      </c>
      <c r="I1042">
        <f t="shared" si="146"/>
        <v>28</v>
      </c>
      <c r="J1042" t="s">
        <v>778</v>
      </c>
      <c r="Q1042" t="s">
        <v>412</v>
      </c>
      <c r="R1042" t="s">
        <v>709</v>
      </c>
      <c r="S1042" t="s">
        <v>703</v>
      </c>
      <c r="T1042" t="s">
        <v>615</v>
      </c>
      <c r="U1042" s="1"/>
      <c r="V1042" s="1"/>
      <c r="W1042" s="1"/>
      <c r="X1042" s="1"/>
      <c r="Y1042" s="1"/>
      <c r="Z1042" s="1"/>
      <c r="AA1042" s="1">
        <v>2.3199999999999999E-8</v>
      </c>
      <c r="AB1042" s="1"/>
      <c r="AE1042" s="2"/>
      <c r="AF1042" s="2"/>
      <c r="AI1042" s="2"/>
      <c r="AJ1042" t="s">
        <v>203</v>
      </c>
    </row>
    <row r="1043" spans="1:36" x14ac:dyDescent="0.25">
      <c r="A1043" t="s">
        <v>752</v>
      </c>
      <c r="B1043" t="s">
        <v>105</v>
      </c>
      <c r="C1043" t="s">
        <v>78</v>
      </c>
      <c r="D1043" t="s">
        <v>18</v>
      </c>
      <c r="E1043" t="s">
        <v>19</v>
      </c>
      <c r="F1043" t="s">
        <v>20</v>
      </c>
      <c r="G1043" t="s">
        <v>20</v>
      </c>
      <c r="H1043" t="s">
        <v>712</v>
      </c>
      <c r="I1043">
        <f>+AVERAGE(4,6)</f>
        <v>5</v>
      </c>
      <c r="J1043" t="s">
        <v>778</v>
      </c>
      <c r="Q1043" t="s">
        <v>412</v>
      </c>
      <c r="R1043" t="s">
        <v>709</v>
      </c>
      <c r="S1043" t="s">
        <v>703</v>
      </c>
      <c r="T1043" t="s">
        <v>616</v>
      </c>
      <c r="Y1043" s="1"/>
      <c r="Z1043" s="1"/>
      <c r="AA1043">
        <f>+AVERAGE(4.74,5.02)*0.000000001</f>
        <v>4.8800000000000005E-9</v>
      </c>
      <c r="AB1043" s="1"/>
      <c r="AE1043" s="2"/>
      <c r="AF1043" s="2"/>
      <c r="AI1043" s="2"/>
      <c r="AJ1043" t="s">
        <v>723</v>
      </c>
    </row>
    <row r="1044" spans="1:36" x14ac:dyDescent="0.25">
      <c r="A1044" t="s">
        <v>338</v>
      </c>
      <c r="B1044" t="s">
        <v>365</v>
      </c>
      <c r="C1044" t="s">
        <v>232</v>
      </c>
      <c r="D1044" t="s">
        <v>200</v>
      </c>
      <c r="E1044" t="s">
        <v>19</v>
      </c>
      <c r="F1044" t="s">
        <v>201</v>
      </c>
      <c r="G1044" t="s">
        <v>620</v>
      </c>
      <c r="H1044" t="s">
        <v>713</v>
      </c>
      <c r="I1044">
        <f>9*30</f>
        <v>270</v>
      </c>
      <c r="J1044" t="s">
        <v>515</v>
      </c>
      <c r="K1044" t="s">
        <v>39</v>
      </c>
      <c r="L1044" t="str">
        <f>+IF(K1044 = "Control", "Control", "Stress")</f>
        <v>Control</v>
      </c>
      <c r="Q1044" t="s">
        <v>412</v>
      </c>
      <c r="R1044" t="s">
        <v>709</v>
      </c>
      <c r="S1044" t="s">
        <v>703</v>
      </c>
      <c r="T1044" t="s">
        <v>615</v>
      </c>
      <c r="U1044" s="1"/>
      <c r="V1044" s="1"/>
      <c r="W1044" s="1"/>
      <c r="X1044" s="1"/>
      <c r="Y1044" s="1">
        <v>2.0000000000000001E-10</v>
      </c>
      <c r="Z1044" s="1">
        <v>4.5E-10</v>
      </c>
      <c r="AA1044" s="1">
        <v>1.4000000000000001E-7</v>
      </c>
      <c r="AE1044" s="2"/>
      <c r="AF1044" s="2"/>
      <c r="AJ1044" t="s">
        <v>364</v>
      </c>
    </row>
    <row r="1045" spans="1:36" x14ac:dyDescent="0.25">
      <c r="A1045" t="s">
        <v>338</v>
      </c>
      <c r="B1045" t="s">
        <v>365</v>
      </c>
      <c r="C1045" t="s">
        <v>232</v>
      </c>
      <c r="D1045" t="s">
        <v>200</v>
      </c>
      <c r="E1045" t="s">
        <v>19</v>
      </c>
      <c r="F1045" t="s">
        <v>201</v>
      </c>
      <c r="G1045" t="s">
        <v>620</v>
      </c>
      <c r="H1045" t="s">
        <v>713</v>
      </c>
      <c r="I1045">
        <f>9*30</f>
        <v>270</v>
      </c>
      <c r="J1045" t="s">
        <v>700</v>
      </c>
      <c r="K1045" t="s">
        <v>513</v>
      </c>
      <c r="L1045" t="str">
        <f>+IF(K1045 = "Control", "Control", "Stress")</f>
        <v>Stress</v>
      </c>
      <c r="M1045" t="s">
        <v>214</v>
      </c>
      <c r="N1045" t="s">
        <v>716</v>
      </c>
      <c r="Q1045" t="s">
        <v>412</v>
      </c>
      <c r="R1045" t="s">
        <v>709</v>
      </c>
      <c r="S1045" t="s">
        <v>703</v>
      </c>
      <c r="T1045" t="s">
        <v>615</v>
      </c>
      <c r="U1045" s="1"/>
      <c r="V1045" s="1"/>
      <c r="W1045" s="1"/>
      <c r="X1045" s="1"/>
      <c r="Y1045" s="1"/>
      <c r="Z1045" s="1"/>
      <c r="AA1045" s="1">
        <v>8.0000000000000002E-8</v>
      </c>
      <c r="AE1045" s="2"/>
      <c r="AF1045" s="2"/>
      <c r="AJ1045" t="s">
        <v>364</v>
      </c>
    </row>
    <row r="1046" spans="1:36" x14ac:dyDescent="0.25">
      <c r="A1046" t="s">
        <v>338</v>
      </c>
      <c r="B1046" t="s">
        <v>365</v>
      </c>
      <c r="C1046" t="s">
        <v>232</v>
      </c>
      <c r="D1046" t="s">
        <v>200</v>
      </c>
      <c r="E1046" t="s">
        <v>19</v>
      </c>
      <c r="F1046" t="s">
        <v>201</v>
      </c>
      <c r="G1046" t="s">
        <v>620</v>
      </c>
      <c r="H1046" t="s">
        <v>713</v>
      </c>
      <c r="I1046">
        <f>9*30</f>
        <v>270</v>
      </c>
      <c r="J1046" t="s">
        <v>700</v>
      </c>
      <c r="K1046" t="s">
        <v>513</v>
      </c>
      <c r="L1046" t="str">
        <f>+IF(K1046 = "Control", "Control", "Stress")</f>
        <v>Stress</v>
      </c>
      <c r="M1046" t="s">
        <v>353</v>
      </c>
      <c r="N1046" t="s">
        <v>716</v>
      </c>
      <c r="Q1046" t="s">
        <v>412</v>
      </c>
      <c r="R1046" t="s">
        <v>709</v>
      </c>
      <c r="S1046" t="s">
        <v>703</v>
      </c>
      <c r="T1046" t="s">
        <v>615</v>
      </c>
      <c r="U1046" s="1"/>
      <c r="V1046" s="1"/>
      <c r="W1046" s="1"/>
      <c r="X1046" s="1"/>
      <c r="Y1046" s="1"/>
      <c r="Z1046" s="1"/>
      <c r="AA1046" s="1">
        <v>7.1E-8</v>
      </c>
      <c r="AE1046" s="2"/>
      <c r="AF1046" s="2"/>
      <c r="AJ1046" t="s">
        <v>364</v>
      </c>
    </row>
    <row r="1047" spans="1:36" x14ac:dyDescent="0.25">
      <c r="A1047" t="s">
        <v>338</v>
      </c>
      <c r="B1047" t="s">
        <v>365</v>
      </c>
      <c r="C1047" t="s">
        <v>232</v>
      </c>
      <c r="D1047" t="s">
        <v>200</v>
      </c>
      <c r="E1047" t="s">
        <v>19</v>
      </c>
      <c r="F1047" t="s">
        <v>201</v>
      </c>
      <c r="G1047" t="s">
        <v>620</v>
      </c>
      <c r="H1047" t="s">
        <v>713</v>
      </c>
      <c r="I1047">
        <f>9*30</f>
        <v>270</v>
      </c>
      <c r="J1047" t="s">
        <v>700</v>
      </c>
      <c r="K1047" t="s">
        <v>514</v>
      </c>
      <c r="L1047" t="str">
        <f>+IF(K1047 = "Control", "Control", "Stress")</f>
        <v>Stress</v>
      </c>
      <c r="M1047" t="s">
        <v>214</v>
      </c>
      <c r="N1047" t="s">
        <v>716</v>
      </c>
      <c r="Q1047" t="s">
        <v>412</v>
      </c>
      <c r="R1047" t="s">
        <v>709</v>
      </c>
      <c r="S1047" t="s">
        <v>703</v>
      </c>
      <c r="T1047" t="s">
        <v>615</v>
      </c>
      <c r="U1047" s="1"/>
      <c r="V1047" s="1"/>
      <c r="W1047" s="1"/>
      <c r="X1047" s="1"/>
      <c r="Y1047" s="1"/>
      <c r="Z1047" s="1"/>
      <c r="AA1047" s="1">
        <v>1.9000000000000001E-7</v>
      </c>
      <c r="AE1047" s="2"/>
      <c r="AF1047" s="2"/>
      <c r="AJ1047" t="s">
        <v>364</v>
      </c>
    </row>
    <row r="1048" spans="1:36" x14ac:dyDescent="0.25">
      <c r="A1048" t="s">
        <v>338</v>
      </c>
      <c r="B1048" t="s">
        <v>365</v>
      </c>
      <c r="C1048" t="s">
        <v>232</v>
      </c>
      <c r="D1048" t="s">
        <v>200</v>
      </c>
      <c r="E1048" t="s">
        <v>19</v>
      </c>
      <c r="F1048" t="s">
        <v>201</v>
      </c>
      <c r="G1048" t="s">
        <v>620</v>
      </c>
      <c r="H1048" t="s">
        <v>713</v>
      </c>
      <c r="I1048">
        <f>9*30</f>
        <v>270</v>
      </c>
      <c r="J1048" t="s">
        <v>700</v>
      </c>
      <c r="K1048" t="s">
        <v>514</v>
      </c>
      <c r="L1048" t="str">
        <f>+IF(K1048 = "Control", "Control", "Stress")</f>
        <v>Stress</v>
      </c>
      <c r="M1048" t="s">
        <v>353</v>
      </c>
      <c r="N1048" t="s">
        <v>716</v>
      </c>
      <c r="Q1048" t="s">
        <v>412</v>
      </c>
      <c r="R1048" t="s">
        <v>709</v>
      </c>
      <c r="S1048" t="s">
        <v>703</v>
      </c>
      <c r="T1048" t="s">
        <v>615</v>
      </c>
      <c r="U1048" s="1"/>
      <c r="V1048" s="1"/>
      <c r="W1048" s="1"/>
      <c r="X1048" s="1"/>
      <c r="Y1048" s="1"/>
      <c r="Z1048" s="1"/>
      <c r="AA1048" s="1">
        <v>1.9999999999999999E-7</v>
      </c>
      <c r="AE1048" s="2"/>
      <c r="AF1048" s="2"/>
      <c r="AJ1048" t="s">
        <v>364</v>
      </c>
    </row>
    <row r="1049" spans="1:36" x14ac:dyDescent="0.25">
      <c r="A1049" t="s">
        <v>227</v>
      </c>
      <c r="B1049" t="s">
        <v>224</v>
      </c>
      <c r="C1049" t="s">
        <v>225</v>
      </c>
      <c r="D1049" t="s">
        <v>92</v>
      </c>
      <c r="E1049" t="s">
        <v>19</v>
      </c>
      <c r="F1049" t="s">
        <v>37</v>
      </c>
      <c r="G1049" t="s">
        <v>626</v>
      </c>
      <c r="H1049" t="s">
        <v>714</v>
      </c>
      <c r="I1049" s="9">
        <f>'[119]Fiscus&amp;Markhart_1979_Fig4'!$A2</f>
        <v>6</v>
      </c>
      <c r="J1049" t="s">
        <v>778</v>
      </c>
      <c r="Q1049" t="s">
        <v>412</v>
      </c>
      <c r="R1049" t="s">
        <v>709</v>
      </c>
      <c r="S1049" t="s">
        <v>703</v>
      </c>
      <c r="T1049" t="s">
        <v>615</v>
      </c>
      <c r="U1049" s="1" t="s">
        <v>754</v>
      </c>
      <c r="V1049" s="1">
        <f t="shared" ref="V1049:V1062" si="148">+AA1049*AC1049/10000</f>
        <v>9.5491387473729443E-10</v>
      </c>
      <c r="W1049" s="1"/>
      <c r="X1049" s="1"/>
      <c r="Y1049" s="1"/>
      <c r="AA1049" s="1">
        <f>'[119]Fiscus&amp;Markhart_1979_Fig4'!C2</f>
        <v>8.3632292101567302E-8</v>
      </c>
      <c r="AC1049" s="9">
        <f>'[119]Fiscus&amp;Markhart_1979_Fig4'!B2</f>
        <v>114.18004346665501</v>
      </c>
      <c r="AE1049" s="2"/>
      <c r="AF1049" s="2"/>
      <c r="AJ1049" t="s">
        <v>203</v>
      </c>
    </row>
    <row r="1050" spans="1:36" x14ac:dyDescent="0.25">
      <c r="A1050" t="s">
        <v>227</v>
      </c>
      <c r="B1050" t="s">
        <v>224</v>
      </c>
      <c r="C1050" t="s">
        <v>225</v>
      </c>
      <c r="D1050" t="s">
        <v>92</v>
      </c>
      <c r="E1050" t="s">
        <v>19</v>
      </c>
      <c r="F1050" t="s">
        <v>37</v>
      </c>
      <c r="G1050" t="s">
        <v>626</v>
      </c>
      <c r="H1050" t="s">
        <v>714</v>
      </c>
      <c r="I1050" s="9">
        <f>'[119]Fiscus&amp;Markhart_1979_Fig4'!$A3</f>
        <v>10</v>
      </c>
      <c r="J1050" t="s">
        <v>778</v>
      </c>
      <c r="Q1050" t="s">
        <v>412</v>
      </c>
      <c r="R1050" t="s">
        <v>709</v>
      </c>
      <c r="S1050" t="s">
        <v>703</v>
      </c>
      <c r="T1050" t="s">
        <v>615</v>
      </c>
      <c r="U1050" s="1" t="s">
        <v>754</v>
      </c>
      <c r="V1050" s="1">
        <f t="shared" si="148"/>
        <v>3.9065273146539013E-9</v>
      </c>
      <c r="W1050" s="1"/>
      <c r="X1050" s="1"/>
      <c r="Y1050" s="1"/>
      <c r="Z1050" s="1"/>
      <c r="AA1050" s="1">
        <f>'[119]Fiscus&amp;Markhart_1979_Fig4'!C3</f>
        <v>2.1594337116180199E-7</v>
      </c>
      <c r="AC1050" s="9">
        <f>'[119]Fiscus&amp;Markhart_1979_Fig4'!B3</f>
        <v>180.905174057268</v>
      </c>
      <c r="AE1050" s="2"/>
      <c r="AF1050" s="2"/>
      <c r="AJ1050" t="s">
        <v>203</v>
      </c>
    </row>
    <row r="1051" spans="1:36" x14ac:dyDescent="0.25">
      <c r="A1051" t="s">
        <v>227</v>
      </c>
      <c r="B1051" t="s">
        <v>224</v>
      </c>
      <c r="C1051" t="s">
        <v>225</v>
      </c>
      <c r="D1051" t="s">
        <v>92</v>
      </c>
      <c r="E1051" t="s">
        <v>19</v>
      </c>
      <c r="F1051" t="s">
        <v>37</v>
      </c>
      <c r="G1051" t="s">
        <v>626</v>
      </c>
      <c r="H1051" t="s">
        <v>714</v>
      </c>
      <c r="I1051" s="9">
        <f>'[119]Fiscus&amp;Markhart_1979_Fig4'!$A4</f>
        <v>11</v>
      </c>
      <c r="J1051" t="s">
        <v>778</v>
      </c>
      <c r="Q1051" t="s">
        <v>412</v>
      </c>
      <c r="R1051" t="s">
        <v>709</v>
      </c>
      <c r="S1051" t="s">
        <v>703</v>
      </c>
      <c r="T1051" t="s">
        <v>615</v>
      </c>
      <c r="U1051" s="1" t="s">
        <v>754</v>
      </c>
      <c r="V1051" s="1">
        <f t="shared" si="148"/>
        <v>7.7852198760146331E-9</v>
      </c>
      <c r="W1051" s="1"/>
      <c r="X1051" s="1"/>
      <c r="Y1051" s="1"/>
      <c r="Z1051" s="1"/>
      <c r="AA1051" s="1">
        <f>'[119]Fiscus&amp;Markhart_1979_Fig4'!C4</f>
        <v>6.1048544426310299E-7</v>
      </c>
      <c r="AC1051" s="9">
        <f>'[119]Fiscus&amp;Markhart_1979_Fig4'!B4</f>
        <v>127.52506958477802</v>
      </c>
      <c r="AE1051" s="2"/>
      <c r="AF1051" s="2"/>
      <c r="AJ1051" t="s">
        <v>203</v>
      </c>
    </row>
    <row r="1052" spans="1:36" x14ac:dyDescent="0.25">
      <c r="A1052" t="s">
        <v>227</v>
      </c>
      <c r="B1052" t="s">
        <v>224</v>
      </c>
      <c r="C1052" t="s">
        <v>225</v>
      </c>
      <c r="D1052" t="s">
        <v>92</v>
      </c>
      <c r="E1052" t="s">
        <v>19</v>
      </c>
      <c r="F1052" t="s">
        <v>37</v>
      </c>
      <c r="G1052" t="s">
        <v>626</v>
      </c>
      <c r="H1052" t="s">
        <v>714</v>
      </c>
      <c r="I1052" s="9">
        <f>'[119]Fiscus&amp;Markhart_1979_Fig4'!$A5</f>
        <v>12</v>
      </c>
      <c r="J1052" t="s">
        <v>778</v>
      </c>
      <c r="Q1052" t="s">
        <v>412</v>
      </c>
      <c r="R1052" t="s">
        <v>709</v>
      </c>
      <c r="S1052" t="s">
        <v>703</v>
      </c>
      <c r="T1052" t="s">
        <v>615</v>
      </c>
      <c r="U1052" s="1" t="s">
        <v>754</v>
      </c>
      <c r="V1052" s="1">
        <f t="shared" si="148"/>
        <v>1.1105731635063803E-8</v>
      </c>
      <c r="W1052" s="1"/>
      <c r="X1052" s="1"/>
      <c r="Y1052" s="1"/>
      <c r="Z1052" s="1"/>
      <c r="AA1052" s="1">
        <f>'[119]Fiscus&amp;Markhart_1979_Fig4'!C5</f>
        <v>4.0484533343454599E-7</v>
      </c>
      <c r="AC1052" s="9">
        <f>'[119]Fiscus&amp;Markhart_1979_Fig4'!B5</f>
        <v>274.32035688412697</v>
      </c>
      <c r="AE1052" s="2"/>
      <c r="AF1052" s="2"/>
      <c r="AJ1052" t="s">
        <v>203</v>
      </c>
    </row>
    <row r="1053" spans="1:36" x14ac:dyDescent="0.25">
      <c r="A1053" t="s">
        <v>227</v>
      </c>
      <c r="B1053" t="s">
        <v>224</v>
      </c>
      <c r="C1053" t="s">
        <v>225</v>
      </c>
      <c r="D1053" t="s">
        <v>92</v>
      </c>
      <c r="E1053" t="s">
        <v>19</v>
      </c>
      <c r="F1053" t="s">
        <v>37</v>
      </c>
      <c r="G1053" t="s">
        <v>626</v>
      </c>
      <c r="H1053" t="s">
        <v>714</v>
      </c>
      <c r="I1053" s="9">
        <f>'[119]Fiscus&amp;Markhart_1979_Fig4'!$A6</f>
        <v>18</v>
      </c>
      <c r="J1053" t="s">
        <v>778</v>
      </c>
      <c r="Q1053" t="s">
        <v>412</v>
      </c>
      <c r="R1053" t="s">
        <v>709</v>
      </c>
      <c r="S1053" t="s">
        <v>703</v>
      </c>
      <c r="T1053" t="s">
        <v>615</v>
      </c>
      <c r="U1053" s="1" t="s">
        <v>754</v>
      </c>
      <c r="V1053" s="1">
        <f t="shared" si="148"/>
        <v>4.4679102250601757E-8</v>
      </c>
      <c r="W1053" s="1"/>
      <c r="X1053" s="1"/>
      <c r="Y1053" s="1"/>
      <c r="Z1053" s="1"/>
      <c r="AA1053" s="1">
        <f>'[119]Fiscus&amp;Markhart_1979_Fig4'!C6</f>
        <v>4.6143621664705601E-7</v>
      </c>
      <c r="AC1053" s="9">
        <f>'[119]Fiscus&amp;Markhart_1979_Fig4'!B6</f>
        <v>968.26171502649902</v>
      </c>
      <c r="AE1053" s="2"/>
      <c r="AF1053" s="2"/>
      <c r="AJ1053" t="s">
        <v>203</v>
      </c>
    </row>
    <row r="1054" spans="1:36" x14ac:dyDescent="0.25">
      <c r="A1054" t="s">
        <v>227</v>
      </c>
      <c r="B1054" t="s">
        <v>224</v>
      </c>
      <c r="C1054" t="s">
        <v>225</v>
      </c>
      <c r="D1054" t="s">
        <v>92</v>
      </c>
      <c r="E1054" t="s">
        <v>19</v>
      </c>
      <c r="F1054" t="s">
        <v>37</v>
      </c>
      <c r="G1054" t="s">
        <v>626</v>
      </c>
      <c r="H1054" t="s">
        <v>714</v>
      </c>
      <c r="I1054" s="9">
        <f>'[119]Fiscus&amp;Markhart_1979_Fig4'!$A7</f>
        <v>19</v>
      </c>
      <c r="J1054" t="s">
        <v>778</v>
      </c>
      <c r="Q1054" t="s">
        <v>412</v>
      </c>
      <c r="R1054" t="s">
        <v>709</v>
      </c>
      <c r="S1054" t="s">
        <v>703</v>
      </c>
      <c r="T1054" t="s">
        <v>615</v>
      </c>
      <c r="U1054" s="1" t="s">
        <v>754</v>
      </c>
      <c r="V1054" s="1">
        <f t="shared" si="148"/>
        <v>5.8271758403908484E-8</v>
      </c>
      <c r="W1054" s="1"/>
      <c r="X1054" s="1"/>
      <c r="Y1054" s="1"/>
      <c r="Z1054" s="1"/>
      <c r="AA1054" s="1">
        <f>'[119]Fiscus&amp;Markhart_1979_Fig4'!C7</f>
        <v>5.0447717007628895E-7</v>
      </c>
      <c r="AC1054" s="9">
        <f>'[119]Fiscus&amp;Markhart_1979_Fig4'!B7</f>
        <v>1155.0920806802101</v>
      </c>
      <c r="AE1054" s="2"/>
      <c r="AF1054" s="2"/>
      <c r="AJ1054" t="s">
        <v>203</v>
      </c>
    </row>
    <row r="1055" spans="1:36" x14ac:dyDescent="0.25">
      <c r="A1055" t="s">
        <v>227</v>
      </c>
      <c r="B1055" t="s">
        <v>224</v>
      </c>
      <c r="C1055" t="s">
        <v>225</v>
      </c>
      <c r="D1055" t="s">
        <v>92</v>
      </c>
      <c r="E1055" t="s">
        <v>19</v>
      </c>
      <c r="F1055" t="s">
        <v>37</v>
      </c>
      <c r="G1055" t="s">
        <v>626</v>
      </c>
      <c r="H1055" t="s">
        <v>714</v>
      </c>
      <c r="I1055" s="9">
        <f>'[119]Fiscus&amp;Markhart_1979_Fig4'!$A8</f>
        <v>25</v>
      </c>
      <c r="J1055" t="s">
        <v>778</v>
      </c>
      <c r="Q1055" t="s">
        <v>412</v>
      </c>
      <c r="R1055" t="s">
        <v>709</v>
      </c>
      <c r="S1055" t="s">
        <v>703</v>
      </c>
      <c r="T1055" t="s">
        <v>615</v>
      </c>
      <c r="U1055" s="1" t="s">
        <v>754</v>
      </c>
      <c r="V1055" s="1">
        <f t="shared" si="148"/>
        <v>8.3651692445822578E-8</v>
      </c>
      <c r="W1055" s="1"/>
      <c r="X1055" s="1"/>
      <c r="Y1055" s="1"/>
      <c r="Z1055" s="1"/>
      <c r="AA1055" s="1">
        <f>'[119]Fiscus&amp;Markhart_1979_Fig4'!C8</f>
        <v>3.5303677838083999E-7</v>
      </c>
      <c r="AC1055" s="9">
        <f>'[119]Fiscus&amp;Markhart_1979_Fig4'!B8</f>
        <v>2369.4894574293598</v>
      </c>
      <c r="AE1055" s="2"/>
      <c r="AF1055" s="2"/>
      <c r="AJ1055" t="s">
        <v>203</v>
      </c>
    </row>
    <row r="1056" spans="1:36" x14ac:dyDescent="0.25">
      <c r="A1056" t="s">
        <v>227</v>
      </c>
      <c r="B1056" t="s">
        <v>224</v>
      </c>
      <c r="C1056" t="s">
        <v>225</v>
      </c>
      <c r="D1056" t="s">
        <v>92</v>
      </c>
      <c r="E1056" t="s">
        <v>19</v>
      </c>
      <c r="F1056" t="s">
        <v>37</v>
      </c>
      <c r="G1056" t="s">
        <v>626</v>
      </c>
      <c r="H1056" t="s">
        <v>714</v>
      </c>
      <c r="I1056" s="9">
        <f>'[119]Fiscus&amp;Markhart_1979_Fig4'!$A9</f>
        <v>27</v>
      </c>
      <c r="J1056" t="s">
        <v>778</v>
      </c>
      <c r="Q1056" t="s">
        <v>412</v>
      </c>
      <c r="R1056" t="s">
        <v>709</v>
      </c>
      <c r="S1056" t="s">
        <v>703</v>
      </c>
      <c r="T1056" t="s">
        <v>615</v>
      </c>
      <c r="U1056" s="1" t="s">
        <v>754</v>
      </c>
      <c r="V1056" s="1">
        <f t="shared" si="148"/>
        <v>4.685998778045403E-8</v>
      </c>
      <c r="W1056" s="1"/>
      <c r="X1056" s="1"/>
      <c r="Y1056" s="1"/>
      <c r="Z1056" s="1"/>
      <c r="AA1056" s="1">
        <f>'[119]Fiscus&amp;Markhart_1979_Fig4'!C9</f>
        <v>2.0956693361672999E-7</v>
      </c>
      <c r="AC1056" s="9">
        <f>'[119]Fiscus&amp;Markhart_1979_Fig4'!B9</f>
        <v>2236.0391962481403</v>
      </c>
      <c r="AE1056" s="2"/>
      <c r="AF1056" s="2"/>
      <c r="AJ1056" t="s">
        <v>203</v>
      </c>
    </row>
    <row r="1057" spans="1:36" x14ac:dyDescent="0.25">
      <c r="A1057" t="s">
        <v>227</v>
      </c>
      <c r="B1057" t="s">
        <v>224</v>
      </c>
      <c r="C1057" t="s">
        <v>225</v>
      </c>
      <c r="D1057" t="s">
        <v>92</v>
      </c>
      <c r="E1057" t="s">
        <v>19</v>
      </c>
      <c r="F1057" t="s">
        <v>37</v>
      </c>
      <c r="G1057" t="s">
        <v>626</v>
      </c>
      <c r="H1057" t="s">
        <v>714</v>
      </c>
      <c r="I1057" s="9">
        <f>'[119]Fiscus&amp;Markhart_1979_Fig4'!$A10</f>
        <v>28</v>
      </c>
      <c r="J1057" t="s">
        <v>778</v>
      </c>
      <c r="Q1057" t="s">
        <v>412</v>
      </c>
      <c r="R1057" t="s">
        <v>709</v>
      </c>
      <c r="S1057" t="s">
        <v>703</v>
      </c>
      <c r="T1057" t="s">
        <v>615</v>
      </c>
      <c r="U1057" s="1" t="s">
        <v>754</v>
      </c>
      <c r="V1057" s="1">
        <f t="shared" si="148"/>
        <v>7.3317345956394709E-8</v>
      </c>
      <c r="W1057" s="1"/>
      <c r="X1057" s="1"/>
      <c r="Y1057" s="1"/>
      <c r="Z1057" s="1"/>
      <c r="AA1057" s="1">
        <f>'[119]Fiscus&amp;Markhart_1979_Fig4'!C10</f>
        <v>2.6217254336356998E-7</v>
      </c>
      <c r="AC1057" s="9">
        <f>'[119]Fiscus&amp;Markhart_1979_Fig4'!B10</f>
        <v>2796.53029320928</v>
      </c>
      <c r="AE1057" s="2"/>
      <c r="AF1057" s="2"/>
      <c r="AJ1057" t="s">
        <v>203</v>
      </c>
    </row>
    <row r="1058" spans="1:36" x14ac:dyDescent="0.25">
      <c r="A1058" t="s">
        <v>227</v>
      </c>
      <c r="B1058" t="s">
        <v>224</v>
      </c>
      <c r="C1058" t="s">
        <v>225</v>
      </c>
      <c r="D1058" t="s">
        <v>92</v>
      </c>
      <c r="E1058" t="s">
        <v>19</v>
      </c>
      <c r="F1058" t="s">
        <v>37</v>
      </c>
      <c r="G1058" t="s">
        <v>626</v>
      </c>
      <c r="H1058" t="s">
        <v>714</v>
      </c>
      <c r="I1058" s="9">
        <f>'[119]Fiscus&amp;Markhart_1979_Fig4'!$A11</f>
        <v>32</v>
      </c>
      <c r="J1058" t="s">
        <v>778</v>
      </c>
      <c r="Q1058" t="s">
        <v>412</v>
      </c>
      <c r="R1058" t="s">
        <v>709</v>
      </c>
      <c r="S1058" t="s">
        <v>703</v>
      </c>
      <c r="T1058" t="s">
        <v>615</v>
      </c>
      <c r="U1058" s="1" t="s">
        <v>754</v>
      </c>
      <c r="V1058" s="1">
        <f t="shared" si="148"/>
        <v>8.8711623486417315E-8</v>
      </c>
      <c r="W1058" s="1"/>
      <c r="X1058" s="1"/>
      <c r="Y1058" s="1"/>
      <c r="Z1058" s="1"/>
      <c r="AA1058" s="1">
        <f>'[119]Fiscus&amp;Markhart_1979_Fig4'!C11</f>
        <v>2.6217254336356998E-7</v>
      </c>
      <c r="AC1058" s="9">
        <f>'[119]Fiscus&amp;Markhart_1979_Fig4'!B11</f>
        <v>3383.7114424066799</v>
      </c>
      <c r="AE1058" s="2"/>
      <c r="AF1058" s="2"/>
      <c r="AJ1058" t="s">
        <v>203</v>
      </c>
    </row>
    <row r="1059" spans="1:36" x14ac:dyDescent="0.25">
      <c r="A1059" t="s">
        <v>227</v>
      </c>
      <c r="B1059" t="s">
        <v>224</v>
      </c>
      <c r="C1059" t="s">
        <v>225</v>
      </c>
      <c r="D1059" t="s">
        <v>92</v>
      </c>
      <c r="E1059" t="s">
        <v>19</v>
      </c>
      <c r="F1059" t="s">
        <v>37</v>
      </c>
      <c r="G1059" t="s">
        <v>626</v>
      </c>
      <c r="H1059" t="s">
        <v>714</v>
      </c>
      <c r="I1059" s="9">
        <f>'[119]Fiscus&amp;Markhart_1979_Fig4'!$A12</f>
        <v>33</v>
      </c>
      <c r="J1059" t="s">
        <v>778</v>
      </c>
      <c r="Q1059" t="s">
        <v>412</v>
      </c>
      <c r="R1059" t="s">
        <v>709</v>
      </c>
      <c r="S1059" t="s">
        <v>703</v>
      </c>
      <c r="T1059" t="s">
        <v>615</v>
      </c>
      <c r="U1059" s="1" t="s">
        <v>754</v>
      </c>
      <c r="V1059" s="1">
        <f t="shared" si="148"/>
        <v>5.8685045864989368E-8</v>
      </c>
      <c r="W1059" s="1"/>
      <c r="X1059" s="1"/>
      <c r="Y1059" s="1"/>
      <c r="Z1059" s="1"/>
      <c r="AA1059" s="1">
        <f>'[119]Fiscus&amp;Markhart_1979_Fig4'!C12</f>
        <v>1.20296807985728E-7</v>
      </c>
      <c r="AC1059" s="9">
        <f>'[119]Fiscus&amp;Markhart_1979_Fig4'!B12</f>
        <v>4878.3543676364006</v>
      </c>
      <c r="AE1059" s="2"/>
      <c r="AF1059" s="2"/>
      <c r="AJ1059" t="s">
        <v>203</v>
      </c>
    </row>
    <row r="1060" spans="1:36" x14ac:dyDescent="0.25">
      <c r="A1060" t="s">
        <v>227</v>
      </c>
      <c r="B1060" t="s">
        <v>224</v>
      </c>
      <c r="C1060" t="s">
        <v>225</v>
      </c>
      <c r="D1060" t="s">
        <v>92</v>
      </c>
      <c r="E1060" t="s">
        <v>19</v>
      </c>
      <c r="F1060" t="s">
        <v>37</v>
      </c>
      <c r="G1060" t="s">
        <v>626</v>
      </c>
      <c r="H1060" t="s">
        <v>714</v>
      </c>
      <c r="I1060" s="9">
        <f>'[119]Fiscus&amp;Markhart_1979_Fig4'!$A13</f>
        <v>39</v>
      </c>
      <c r="J1060" t="s">
        <v>778</v>
      </c>
      <c r="Q1060" t="s">
        <v>412</v>
      </c>
      <c r="R1060" t="s">
        <v>709</v>
      </c>
      <c r="S1060" t="s">
        <v>703</v>
      </c>
      <c r="T1060" t="s">
        <v>615</v>
      </c>
      <c r="U1060" s="1" t="s">
        <v>754</v>
      </c>
      <c r="V1060" s="1">
        <f t="shared" si="148"/>
        <v>9.8879882624030048E-8</v>
      </c>
      <c r="W1060" s="1"/>
      <c r="X1060" s="1"/>
      <c r="Y1060" s="1"/>
      <c r="Z1060" s="1"/>
      <c r="AA1060" s="1">
        <f>'[119]Fiscus&amp;Markhart_1979_Fig4'!C13</f>
        <v>1.8406118343644399E-7</v>
      </c>
      <c r="AC1060" s="9">
        <f>'[119]Fiscus&amp;Markhart_1979_Fig4'!B13</f>
        <v>5372.1203340069305</v>
      </c>
      <c r="AE1060" s="2"/>
      <c r="AF1060" s="2"/>
      <c r="AJ1060" t="s">
        <v>203</v>
      </c>
    </row>
    <row r="1061" spans="1:36" x14ac:dyDescent="0.25">
      <c r="A1061" t="s">
        <v>227</v>
      </c>
      <c r="B1061" t="s">
        <v>224</v>
      </c>
      <c r="C1061" t="s">
        <v>225</v>
      </c>
      <c r="D1061" t="s">
        <v>92</v>
      </c>
      <c r="E1061" t="s">
        <v>19</v>
      </c>
      <c r="F1061" t="s">
        <v>37</v>
      </c>
      <c r="G1061" t="s">
        <v>626</v>
      </c>
      <c r="H1061" t="s">
        <v>714</v>
      </c>
      <c r="I1061" s="9">
        <f>'[119]Fiscus&amp;Markhart_1979_Fig4'!$A14</f>
        <v>40</v>
      </c>
      <c r="J1061" t="s">
        <v>778</v>
      </c>
      <c r="Q1061" t="s">
        <v>412</v>
      </c>
      <c r="R1061" t="s">
        <v>709</v>
      </c>
      <c r="S1061" t="s">
        <v>703</v>
      </c>
      <c r="T1061" t="s">
        <v>615</v>
      </c>
      <c r="U1061" s="1" t="s">
        <v>754</v>
      </c>
      <c r="V1061" s="1">
        <f t="shared" si="148"/>
        <v>1.0783929178668676E-7</v>
      </c>
      <c r="W1061" s="1"/>
      <c r="X1061" s="1"/>
      <c r="Y1061" s="1"/>
      <c r="Z1061" s="1"/>
      <c r="AA1061" s="1">
        <f>'[119]Fiscus&amp;Markhart_1979_Fig4'!C14</f>
        <v>1.87249402208979E-7</v>
      </c>
      <c r="AC1061" s="9">
        <f>'[119]Fiscus&amp;Markhart_1979_Fig4'!B14</f>
        <v>5759.1260914324903</v>
      </c>
      <c r="AE1061" s="2"/>
      <c r="AF1061" s="2"/>
      <c r="AJ1061" t="s">
        <v>203</v>
      </c>
    </row>
    <row r="1062" spans="1:36" x14ac:dyDescent="0.25">
      <c r="A1062" t="s">
        <v>227</v>
      </c>
      <c r="B1062" t="s">
        <v>224</v>
      </c>
      <c r="C1062" t="s">
        <v>225</v>
      </c>
      <c r="D1062" t="s">
        <v>92</v>
      </c>
      <c r="E1062" t="s">
        <v>19</v>
      </c>
      <c r="F1062" t="s">
        <v>37</v>
      </c>
      <c r="G1062" t="s">
        <v>626</v>
      </c>
      <c r="H1062" t="s">
        <v>714</v>
      </c>
      <c r="I1062" s="9">
        <f>'[119]Fiscus&amp;Markhart_1979_Fig4'!$A15</f>
        <v>41</v>
      </c>
      <c r="J1062" t="s">
        <v>778</v>
      </c>
      <c r="Q1062" t="s">
        <v>412</v>
      </c>
      <c r="R1062" t="s">
        <v>709</v>
      </c>
      <c r="S1062" t="s">
        <v>703</v>
      </c>
      <c r="T1062" t="s">
        <v>615</v>
      </c>
      <c r="U1062" s="1" t="s">
        <v>754</v>
      </c>
      <c r="V1062" s="1">
        <f t="shared" si="148"/>
        <v>1.6805289692203798E-7</v>
      </c>
      <c r="W1062" s="1"/>
      <c r="X1062" s="1"/>
      <c r="Y1062" s="1"/>
      <c r="Z1062" s="1"/>
      <c r="AA1062" s="1">
        <f>'[119]Fiscus&amp;Markhart_1979_Fig4'!C15</f>
        <v>2.4144912134208799E-7</v>
      </c>
      <c r="AC1062" s="9">
        <f>'[119]Fiscus&amp;Markhart_1979_Fig4'!B15</f>
        <v>6960.1784420635204</v>
      </c>
      <c r="AE1062" s="2"/>
      <c r="AF1062" s="2"/>
      <c r="AJ1062" t="s">
        <v>203</v>
      </c>
    </row>
    <row r="1063" spans="1:36" x14ac:dyDescent="0.25">
      <c r="A1063" t="s">
        <v>391</v>
      </c>
      <c r="B1063" t="s">
        <v>101</v>
      </c>
      <c r="C1063" t="s">
        <v>102</v>
      </c>
      <c r="D1063" t="s">
        <v>92</v>
      </c>
      <c r="E1063" t="s">
        <v>19</v>
      </c>
      <c r="F1063" t="s">
        <v>37</v>
      </c>
      <c r="G1063" t="s">
        <v>626</v>
      </c>
      <c r="H1063" t="s">
        <v>714</v>
      </c>
      <c r="I1063">
        <f>+AVERAGE(45,60)</f>
        <v>52.5</v>
      </c>
      <c r="J1063" t="s">
        <v>778</v>
      </c>
      <c r="Q1063" t="s">
        <v>412</v>
      </c>
      <c r="R1063" t="s">
        <v>709</v>
      </c>
      <c r="S1063" t="s">
        <v>703</v>
      </c>
      <c r="T1063" t="s">
        <v>615</v>
      </c>
      <c r="U1063" s="1"/>
      <c r="V1063" s="1"/>
      <c r="AA1063" s="1">
        <v>2.65E-7</v>
      </c>
      <c r="AJ1063" t="s">
        <v>203</v>
      </c>
    </row>
    <row r="1064" spans="1:36" x14ac:dyDescent="0.25">
      <c r="A1064" t="s">
        <v>339</v>
      </c>
      <c r="B1064" t="s">
        <v>219</v>
      </c>
      <c r="C1064" t="s">
        <v>220</v>
      </c>
      <c r="D1064" t="s">
        <v>92</v>
      </c>
      <c r="E1064" t="s">
        <v>19</v>
      </c>
      <c r="F1064" t="s">
        <v>37</v>
      </c>
      <c r="G1064" t="s">
        <v>626</v>
      </c>
      <c r="H1064" t="s">
        <v>714</v>
      </c>
      <c r="I1064">
        <f>+AVERAGE(3,4)*7</f>
        <v>24.5</v>
      </c>
      <c r="J1064" t="s">
        <v>778</v>
      </c>
      <c r="Q1064" t="s">
        <v>412</v>
      </c>
      <c r="R1064" t="s">
        <v>709</v>
      </c>
      <c r="S1064" t="s">
        <v>703</v>
      </c>
      <c r="T1064" t="s">
        <v>616</v>
      </c>
      <c r="U1064" s="1" t="s">
        <v>754</v>
      </c>
      <c r="V1064" s="1">
        <f t="shared" ref="V1064:V1068" si="149">+AA1064*AC1064/10000</f>
        <v>1.6794000000000002E-10</v>
      </c>
      <c r="Z1064" s="1">
        <v>3E-11</v>
      </c>
      <c r="AA1064" s="1">
        <v>5.4000000000000004E-9</v>
      </c>
      <c r="AC1064">
        <f>+AVERAGE(239,383)</f>
        <v>311</v>
      </c>
      <c r="AG1064" s="2">
        <v>0.72</v>
      </c>
      <c r="AJ1064" t="s">
        <v>352</v>
      </c>
    </row>
    <row r="1065" spans="1:36" x14ac:dyDescent="0.25">
      <c r="A1065" t="s">
        <v>339</v>
      </c>
      <c r="B1065" t="s">
        <v>224</v>
      </c>
      <c r="C1065" t="s">
        <v>225</v>
      </c>
      <c r="D1065" t="s">
        <v>92</v>
      </c>
      <c r="E1065" t="s">
        <v>19</v>
      </c>
      <c r="F1065" t="s">
        <v>37</v>
      </c>
      <c r="G1065" t="s">
        <v>626</v>
      </c>
      <c r="H1065" t="s">
        <v>714</v>
      </c>
      <c r="I1065">
        <f>+AVERAGE(2,3)*7</f>
        <v>17.5</v>
      </c>
      <c r="J1065" t="s">
        <v>778</v>
      </c>
      <c r="Q1065" t="s">
        <v>412</v>
      </c>
      <c r="R1065" t="s">
        <v>709</v>
      </c>
      <c r="S1065" t="s">
        <v>703</v>
      </c>
      <c r="T1065" t="s">
        <v>616</v>
      </c>
      <c r="U1065" s="1" t="s">
        <v>754</v>
      </c>
      <c r="V1065" s="1">
        <f t="shared" si="149"/>
        <v>3.9115999999999997E-10</v>
      </c>
      <c r="Z1065" s="1">
        <v>6.2000000000000006E-11</v>
      </c>
      <c r="AA1065" s="1">
        <v>5.6000000000000005E-9</v>
      </c>
      <c r="AC1065">
        <f>+AVERAGE(203,1194)</f>
        <v>698.5</v>
      </c>
      <c r="AG1065" s="2">
        <v>0.28999999999999998</v>
      </c>
      <c r="AJ1065" t="s">
        <v>352</v>
      </c>
    </row>
    <row r="1066" spans="1:36" x14ac:dyDescent="0.25">
      <c r="A1066" t="s">
        <v>339</v>
      </c>
      <c r="B1066" t="s">
        <v>66</v>
      </c>
      <c r="C1066" t="s">
        <v>67</v>
      </c>
      <c r="D1066" t="s">
        <v>68</v>
      </c>
      <c r="E1066" t="s">
        <v>19</v>
      </c>
      <c r="F1066" t="s">
        <v>37</v>
      </c>
      <c r="G1066" t="s">
        <v>622</v>
      </c>
      <c r="H1066" t="s">
        <v>714</v>
      </c>
      <c r="I1066">
        <f>+AVERAGE(3,5)*7</f>
        <v>28</v>
      </c>
      <c r="J1066" t="s">
        <v>778</v>
      </c>
      <c r="Q1066" t="s">
        <v>412</v>
      </c>
      <c r="R1066" t="s">
        <v>709</v>
      </c>
      <c r="S1066" t="s">
        <v>703</v>
      </c>
      <c r="T1066" t="s">
        <v>616</v>
      </c>
      <c r="U1066" s="1" t="s">
        <v>754</v>
      </c>
      <c r="V1066" s="1">
        <f t="shared" si="149"/>
        <v>3.3902499999999997E-10</v>
      </c>
      <c r="Z1066" s="1">
        <v>7.5999999999999996E-11</v>
      </c>
      <c r="AA1066" s="1">
        <v>7.0999999999999999E-9</v>
      </c>
      <c r="AC1066">
        <f>+AVERAGE(86,869)</f>
        <v>477.5</v>
      </c>
      <c r="AG1066" s="2">
        <v>0.33</v>
      </c>
      <c r="AJ1066" t="s">
        <v>352</v>
      </c>
    </row>
    <row r="1067" spans="1:36" x14ac:dyDescent="0.25">
      <c r="A1067" t="s">
        <v>339</v>
      </c>
      <c r="B1067" t="s">
        <v>53</v>
      </c>
      <c r="C1067" t="s">
        <v>54</v>
      </c>
      <c r="D1067" t="s">
        <v>18</v>
      </c>
      <c r="E1067" t="s">
        <v>31</v>
      </c>
      <c r="F1067" t="s">
        <v>32</v>
      </c>
      <c r="G1067" t="s">
        <v>32</v>
      </c>
      <c r="H1067" t="s">
        <v>712</v>
      </c>
      <c r="I1067">
        <f>+AVERAGE(3,4)*7</f>
        <v>24.5</v>
      </c>
      <c r="J1067" t="s">
        <v>778</v>
      </c>
      <c r="Q1067" t="s">
        <v>412</v>
      </c>
      <c r="R1067" t="s">
        <v>709</v>
      </c>
      <c r="S1067" t="s">
        <v>703</v>
      </c>
      <c r="T1067" t="s">
        <v>616</v>
      </c>
      <c r="U1067" s="1" t="s">
        <v>754</v>
      </c>
      <c r="V1067" s="1">
        <f t="shared" si="149"/>
        <v>7.2594000000000008E-10</v>
      </c>
      <c r="Z1067" s="1">
        <v>1.96E-10</v>
      </c>
      <c r="AA1067" s="1">
        <v>2.2200000000000004E-8</v>
      </c>
      <c r="AC1067">
        <f>+AVERAGE(85,569)</f>
        <v>327</v>
      </c>
      <c r="AG1067" s="2">
        <v>0.34</v>
      </c>
      <c r="AJ1067" t="s">
        <v>352</v>
      </c>
    </row>
    <row r="1068" spans="1:36" x14ac:dyDescent="0.25">
      <c r="A1068" t="s">
        <v>339</v>
      </c>
      <c r="B1068" t="s">
        <v>34</v>
      </c>
      <c r="C1068" t="s">
        <v>35</v>
      </c>
      <c r="D1068" t="s">
        <v>36</v>
      </c>
      <c r="E1068" t="s">
        <v>19</v>
      </c>
      <c r="F1068" t="s">
        <v>37</v>
      </c>
      <c r="G1068" t="s">
        <v>622</v>
      </c>
      <c r="H1068" t="s">
        <v>714</v>
      </c>
      <c r="I1068">
        <f>+AVERAGE(5,6)*7</f>
        <v>38.5</v>
      </c>
      <c r="J1068" t="s">
        <v>778</v>
      </c>
      <c r="Q1068" t="s">
        <v>412</v>
      </c>
      <c r="R1068" t="s">
        <v>709</v>
      </c>
      <c r="S1068" t="s">
        <v>703</v>
      </c>
      <c r="T1068" t="s">
        <v>616</v>
      </c>
      <c r="U1068" s="1" t="s">
        <v>754</v>
      </c>
      <c r="V1068" s="1">
        <f t="shared" si="149"/>
        <v>2.0621249999999998E-9</v>
      </c>
      <c r="Z1068" s="1">
        <v>9.89E-10</v>
      </c>
      <c r="AA1068" s="1">
        <v>6.1099999999999998E-8</v>
      </c>
      <c r="AC1068">
        <f>+AVERAGE(122,553)</f>
        <v>337.5</v>
      </c>
      <c r="AG1068" s="2">
        <v>0.22</v>
      </c>
      <c r="AJ1068" t="s">
        <v>352</v>
      </c>
    </row>
  </sheetData>
  <autoFilter ref="A1:AJ1068" xr:uid="{4293B082-C322-4A78-B56F-A3AAFBFAC7A5}">
    <sortState xmlns:xlrd2="http://schemas.microsoft.com/office/spreadsheetml/2017/richdata2" ref="A2:AJ1068">
      <sortCondition sortBy="cellColor" ref="AG1:AG1068" dxfId="0"/>
    </sortState>
  </autoFilter>
  <phoneticPr fontId="4"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Baca</dc:creator>
  <cp:lastModifiedBy>Juan Baca</cp:lastModifiedBy>
  <dcterms:created xsi:type="dcterms:W3CDTF">2022-09-20T13:59:18Z</dcterms:created>
  <dcterms:modified xsi:type="dcterms:W3CDTF">2023-06-12T08:26:51Z</dcterms:modified>
</cp:coreProperties>
</file>