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baca\sciebo\literature review\multivariate_analysis\root_hydraulics_database\Data\"/>
    </mc:Choice>
  </mc:AlternateContent>
  <xr:revisionPtr revIDLastSave="0" documentId="13_ncr:1_{64CABD59-62AF-4A93-B4A5-C5A40D53FB1D}" xr6:coauthVersionLast="47" xr6:coauthVersionMax="47" xr10:uidLastSave="{00000000-0000-0000-0000-000000000000}"/>
  <bookViews>
    <workbookView xWindow="-120" yWindow="-120" windowWidth="29040" windowHeight="17640" xr2:uid="{DEE2E340-745D-4F66-A0BD-3ECCCD70ADA3}"/>
  </bookViews>
  <sheets>
    <sheet name="Sheet1" sheetId="1" r:id="rId1"/>
    <sheet name="spatial_gradient_studies"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s>
  <definedNames>
    <definedName name="_xlnm._FilterDatabase" localSheetId="0" hidden="1">Sheet1!$A$1:$Z$484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44" i="1" l="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270" i="1"/>
  <c r="N269" i="1"/>
  <c r="N268" i="1"/>
  <c r="N267" i="1"/>
  <c r="N266" i="1"/>
  <c r="N265" i="1"/>
  <c r="N264" i="1"/>
  <c r="N263" i="1"/>
  <c r="N262" i="1"/>
  <c r="N261" i="1"/>
  <c r="N241" i="1"/>
  <c r="N240" i="1"/>
  <c r="N239" i="1"/>
  <c r="N238" i="1"/>
  <c r="N221" i="1"/>
  <c r="N220" i="1"/>
  <c r="N219" i="1"/>
  <c r="N218" i="1"/>
  <c r="N217" i="1"/>
  <c r="N216" i="1"/>
  <c r="N215" i="1"/>
  <c r="N214" i="1"/>
  <c r="N197" i="1"/>
  <c r="N196" i="1"/>
  <c r="N195" i="1"/>
  <c r="N194" i="1"/>
  <c r="N193" i="1"/>
  <c r="N192" i="1"/>
  <c r="N191" i="1"/>
  <c r="N190" i="1"/>
  <c r="N189" i="1"/>
  <c r="N188" i="1"/>
  <c r="N187" i="1"/>
  <c r="N186" i="1"/>
  <c r="N185" i="1"/>
  <c r="N184" i="1"/>
  <c r="N183" i="1"/>
  <c r="N182" i="1"/>
  <c r="N181" i="1"/>
  <c r="N180" i="1"/>
  <c r="N164" i="1"/>
  <c r="N163" i="1"/>
  <c r="N162" i="1"/>
  <c r="N161" i="1"/>
  <c r="N160" i="1"/>
  <c r="N159" i="1"/>
  <c r="L460" i="1"/>
  <c r="L459"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01" i="1"/>
  <c r="L400" i="1"/>
  <c r="L399" i="1"/>
  <c r="L398" i="1"/>
  <c r="L397" i="1"/>
  <c r="L396" i="1"/>
  <c r="L395" i="1"/>
  <c r="L394" i="1"/>
  <c r="L393" i="1"/>
  <c r="L392" i="1"/>
  <c r="L391" i="1"/>
  <c r="L390" i="1"/>
  <c r="L389" i="1"/>
  <c r="L388" i="1"/>
  <c r="L374" i="1"/>
  <c r="L373" i="1"/>
  <c r="L372" i="1"/>
  <c r="L371" i="1"/>
  <c r="L370" i="1"/>
  <c r="L369" i="1"/>
  <c r="L368" i="1"/>
  <c r="L367" i="1"/>
  <c r="L366" i="1"/>
  <c r="L365" i="1"/>
  <c r="L364" i="1"/>
  <c r="L363" i="1"/>
  <c r="L362" i="1"/>
  <c r="L361" i="1"/>
  <c r="L355" i="1"/>
  <c r="L354" i="1"/>
  <c r="L353" i="1"/>
  <c r="L352" i="1"/>
  <c r="L351" i="1"/>
  <c r="L350" i="1"/>
  <c r="L349" i="1"/>
  <c r="L348" i="1"/>
  <c r="L347" i="1"/>
  <c r="L346" i="1"/>
  <c r="L345" i="1"/>
  <c r="L344" i="1"/>
  <c r="L343" i="1"/>
  <c r="L342" i="1"/>
  <c r="L341" i="1"/>
  <c r="L340" i="1"/>
  <c r="L339" i="1"/>
  <c r="L338" i="1"/>
  <c r="L298" i="1"/>
  <c r="L297" i="1"/>
  <c r="L296" i="1"/>
  <c r="L295" i="1"/>
  <c r="L294" i="1"/>
  <c r="L293" i="1"/>
  <c r="L292" i="1"/>
  <c r="L291" i="1"/>
  <c r="L290" i="1"/>
  <c r="L289" i="1"/>
  <c r="L288" i="1"/>
  <c r="L287" i="1"/>
  <c r="L286" i="1"/>
  <c r="L285"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25" i="1"/>
  <c r="L224" i="1"/>
  <c r="L223" i="1"/>
  <c r="L222" i="1"/>
  <c r="L221" i="1"/>
  <c r="L220" i="1"/>
  <c r="L219" i="1"/>
  <c r="L218" i="1"/>
  <c r="L217" i="1"/>
  <c r="L216" i="1"/>
  <c r="L215" i="1"/>
  <c r="L214" i="1"/>
  <c r="L205" i="1"/>
  <c r="L204" i="1"/>
  <c r="L203" i="1"/>
  <c r="L202" i="1"/>
  <c r="L197" i="1"/>
  <c r="L196" i="1"/>
  <c r="L195" i="1"/>
  <c r="L194" i="1"/>
  <c r="L193" i="1"/>
  <c r="L192" i="1"/>
  <c r="L191" i="1"/>
  <c r="L190" i="1"/>
  <c r="L189" i="1"/>
  <c r="L188" i="1"/>
  <c r="L187" i="1"/>
  <c r="L186" i="1"/>
  <c r="L185" i="1"/>
  <c r="L184" i="1"/>
  <c r="L183" i="1"/>
  <c r="L182" i="1"/>
  <c r="L181" i="1"/>
  <c r="L180" i="1"/>
  <c r="L172" i="1"/>
  <c r="L171" i="1"/>
  <c r="L170" i="1"/>
  <c r="L169" i="1"/>
  <c r="L168" i="1"/>
  <c r="L167" i="1"/>
  <c r="L166" i="1"/>
  <c r="L165" i="1"/>
  <c r="L164" i="1"/>
  <c r="L163" i="1"/>
  <c r="L162" i="1"/>
  <c r="L161" i="1"/>
  <c r="L160" i="1"/>
  <c r="L159" i="1"/>
  <c r="L146" i="1"/>
  <c r="L145" i="1"/>
  <c r="L144" i="1"/>
  <c r="L143" i="1"/>
  <c r="L142" i="1"/>
  <c r="L141" i="1"/>
  <c r="L140" i="1"/>
  <c r="L139" i="1"/>
  <c r="L138" i="1"/>
  <c r="L137" i="1"/>
  <c r="L136" i="1"/>
  <c r="L135" i="1"/>
  <c r="L134" i="1"/>
  <c r="L98" i="1"/>
  <c r="L97" i="1"/>
  <c r="L96" i="1"/>
  <c r="L95" i="1"/>
  <c r="L94" i="1"/>
  <c r="L93" i="1"/>
  <c r="L92" i="1"/>
  <c r="L91" i="1"/>
  <c r="L90" i="1"/>
  <c r="L89" i="1"/>
  <c r="L72" i="1"/>
  <c r="L71" i="1"/>
  <c r="L70" i="1"/>
  <c r="L69" i="1"/>
  <c r="L68" i="1"/>
  <c r="L67" i="1"/>
  <c r="L66" i="1"/>
  <c r="L65" i="1"/>
  <c r="L64" i="1"/>
  <c r="L63" i="1"/>
  <c r="L62" i="1"/>
  <c r="L61" i="1"/>
  <c r="L60" i="1"/>
  <c r="L59" i="1"/>
  <c r="L58" i="1"/>
  <c r="L57" i="1"/>
  <c r="L56" i="1"/>
  <c r="L55" i="1"/>
  <c r="L54" i="1"/>
  <c r="L46" i="1"/>
  <c r="L45" i="1"/>
  <c r="L44" i="1"/>
  <c r="L43" i="1"/>
  <c r="L42" i="1"/>
  <c r="L41" i="1"/>
  <c r="L40" i="1"/>
  <c r="L39" i="1"/>
  <c r="L38" i="1"/>
  <c r="L37" i="1"/>
  <c r="L36" i="1"/>
  <c r="L35" i="1"/>
  <c r="L34" i="1"/>
  <c r="L33" i="1"/>
  <c r="L32" i="1"/>
  <c r="L31" i="1"/>
  <c r="L30" i="1"/>
  <c r="L29" i="1"/>
  <c r="L28" i="1"/>
  <c r="L27" i="1"/>
  <c r="L23" i="1"/>
  <c r="L22" i="1"/>
  <c r="L21" i="1"/>
  <c r="L20" i="1"/>
  <c r="L19" i="1"/>
  <c r="L18" i="1"/>
  <c r="L17" i="1"/>
  <c r="L16" i="1"/>
  <c r="L15" i="1"/>
  <c r="L14" i="1"/>
  <c r="L13" i="1"/>
  <c r="L12" i="1"/>
  <c r="L11" i="1"/>
  <c r="L10" i="1"/>
  <c r="L9" i="1"/>
  <c r="L8" i="1"/>
  <c r="L7" i="1"/>
  <c r="L6" i="1"/>
  <c r="L5" i="1"/>
  <c r="L4" i="1"/>
  <c r="I335" i="1" l="1"/>
  <c r="V335" i="1"/>
  <c r="I336" i="1"/>
  <c r="V336" i="1"/>
  <c r="I337" i="1"/>
  <c r="V337" i="1"/>
  <c r="I466" i="1"/>
  <c r="I465" i="1"/>
  <c r="I464" i="1"/>
  <c r="I463" i="1"/>
  <c r="I462" i="1"/>
  <c r="I461" i="1"/>
  <c r="V451" i="1"/>
  <c r="V448" i="1"/>
  <c r="I446" i="1"/>
  <c r="I445" i="1"/>
  <c r="V396" i="1" l="1"/>
  <c r="V397" i="1"/>
  <c r="V398" i="1"/>
  <c r="V399" i="1"/>
  <c r="V400" i="1"/>
  <c r="V401" i="1"/>
  <c r="V386" i="1"/>
  <c r="V385" i="1"/>
  <c r="V384" i="1"/>
  <c r="V383" i="1"/>
  <c r="V382" i="1"/>
  <c r="V381" i="1"/>
  <c r="V222" i="1" l="1"/>
  <c r="X205" i="1"/>
  <c r="X204" i="1"/>
  <c r="X203" i="1"/>
  <c r="X202" i="1"/>
  <c r="I205" i="1"/>
  <c r="I204" i="1"/>
  <c r="I203" i="1"/>
  <c r="I202" i="1"/>
  <c r="V466" i="1" l="1"/>
  <c r="V465" i="1"/>
  <c r="V464" i="1"/>
  <c r="V462" i="1"/>
  <c r="V461" i="1"/>
  <c r="V463" i="1"/>
  <c r="I259" i="1" l="1"/>
  <c r="I258" i="1"/>
  <c r="I401" i="1"/>
  <c r="I400" i="1"/>
  <c r="I399" i="1"/>
  <c r="I398" i="1"/>
  <c r="I397" i="1"/>
  <c r="I396" i="1"/>
  <c r="I395" i="1"/>
  <c r="I394" i="1"/>
  <c r="I393" i="1"/>
  <c r="I392" i="1"/>
  <c r="I390" i="1"/>
  <c r="I391" i="1"/>
  <c r="I388" i="1"/>
  <c r="I389" i="1"/>
  <c r="I18" i="1" l="1"/>
  <c r="I3" i="1"/>
  <c r="I2" i="1"/>
  <c r="I444" i="1"/>
  <c r="I443" i="1"/>
  <c r="I442" i="1"/>
  <c r="I441" i="1"/>
  <c r="X172" i="1"/>
  <c r="X171" i="1"/>
  <c r="X170" i="1"/>
  <c r="X169" i="1"/>
  <c r="X168" i="1"/>
  <c r="X167" i="1"/>
  <c r="X166" i="1"/>
  <c r="I172" i="1"/>
  <c r="I171" i="1"/>
  <c r="I170" i="1"/>
  <c r="I169" i="1"/>
  <c r="I168" i="1"/>
  <c r="I167" i="1"/>
  <c r="I166" i="1"/>
  <c r="I165" i="1"/>
  <c r="X165" i="1"/>
  <c r="V275" i="1"/>
  <c r="V276" i="1"/>
  <c r="V277" i="1"/>
  <c r="V278" i="1"/>
  <c r="X257" i="1"/>
  <c r="X256" i="1"/>
  <c r="X255" i="1"/>
  <c r="X254" i="1"/>
  <c r="X253" i="1"/>
  <c r="X252" i="1"/>
  <c r="X251" i="1"/>
  <c r="X250" i="1"/>
  <c r="X249" i="1"/>
  <c r="X248" i="1"/>
  <c r="X192" i="1"/>
  <c r="X193" i="1"/>
  <c r="X194" i="1"/>
  <c r="X195" i="1"/>
  <c r="X196" i="1"/>
  <c r="X197" i="1"/>
  <c r="V192" i="1"/>
  <c r="V193" i="1"/>
  <c r="V194" i="1"/>
  <c r="V195" i="1"/>
  <c r="V196" i="1"/>
  <c r="V197" i="1"/>
  <c r="I88" i="1" l="1"/>
  <c r="I87" i="1"/>
  <c r="I86" i="1"/>
  <c r="I85" i="1"/>
  <c r="I84" i="1"/>
  <c r="I83" i="1"/>
  <c r="I82" i="1"/>
  <c r="I81" i="1"/>
  <c r="I80" i="1"/>
  <c r="I79" i="1"/>
  <c r="I484" i="1"/>
  <c r="I483" i="1"/>
  <c r="I482" i="1"/>
  <c r="I481" i="1"/>
  <c r="I480" i="1"/>
  <c r="I479" i="1"/>
  <c r="I478" i="1"/>
  <c r="I477" i="1"/>
  <c r="I476" i="1"/>
  <c r="I475" i="1"/>
  <c r="I474" i="1"/>
  <c r="W473" i="1"/>
  <c r="Y484" i="1"/>
  <c r="Y483" i="1"/>
  <c r="Y482" i="1"/>
  <c r="Y481" i="1"/>
  <c r="Y480" i="1"/>
  <c r="Y479" i="1"/>
  <c r="Y478" i="1"/>
  <c r="Y477" i="1"/>
  <c r="Y476" i="1"/>
  <c r="Y475" i="1"/>
  <c r="Y474" i="1"/>
  <c r="W474" i="1"/>
  <c r="W475" i="1"/>
  <c r="W476" i="1"/>
  <c r="W477" i="1"/>
  <c r="W478" i="1"/>
  <c r="W479" i="1"/>
  <c r="W480" i="1"/>
  <c r="W481" i="1"/>
  <c r="W482" i="1"/>
  <c r="W483" i="1"/>
  <c r="W484" i="1"/>
  <c r="Y473" i="1"/>
  <c r="I473" i="1"/>
  <c r="V321" i="1"/>
  <c r="V322" i="1"/>
  <c r="V323" i="1"/>
  <c r="V324" i="1"/>
  <c r="V325" i="1"/>
  <c r="V326" i="1"/>
  <c r="V327" i="1"/>
  <c r="V328" i="1"/>
  <c r="V329" i="1"/>
  <c r="V330" i="1"/>
  <c r="V331" i="1"/>
  <c r="V332" i="1"/>
  <c r="V333" i="1"/>
  <c r="V334" i="1"/>
  <c r="I322" i="1"/>
  <c r="I323" i="1"/>
  <c r="I324" i="1"/>
  <c r="I325" i="1"/>
  <c r="I326" i="1"/>
  <c r="I327" i="1"/>
  <c r="I328" i="1"/>
  <c r="I329" i="1"/>
  <c r="I330" i="1"/>
  <c r="I331" i="1"/>
  <c r="I332" i="1"/>
  <c r="I333" i="1"/>
  <c r="I334" i="1"/>
  <c r="I321" i="1"/>
  <c r="I320" i="1"/>
  <c r="I319" i="1"/>
  <c r="I318" i="1"/>
  <c r="I317" i="1"/>
  <c r="I304" i="1"/>
  <c r="I305" i="1"/>
  <c r="I306" i="1"/>
  <c r="I307" i="1"/>
  <c r="I308" i="1"/>
  <c r="I309" i="1"/>
  <c r="I310" i="1"/>
  <c r="I311" i="1"/>
  <c r="I312" i="1"/>
  <c r="I313" i="1"/>
  <c r="I314" i="1"/>
  <c r="I315" i="1"/>
  <c r="I316" i="1"/>
  <c r="I303" i="1"/>
  <c r="V303" i="1"/>
  <c r="V304" i="1"/>
  <c r="V305" i="1"/>
  <c r="V306" i="1"/>
  <c r="V307" i="1"/>
  <c r="V308" i="1"/>
  <c r="V309" i="1"/>
  <c r="V310" i="1"/>
  <c r="V311" i="1"/>
  <c r="V312" i="1"/>
  <c r="V313" i="1"/>
  <c r="V314" i="1"/>
  <c r="V315" i="1"/>
  <c r="V316" i="1"/>
  <c r="I302" i="1"/>
  <c r="I301" i="1"/>
  <c r="I300" i="1"/>
  <c r="I299" i="1"/>
  <c r="Y472" i="1"/>
  <c r="Y471" i="1"/>
  <c r="Y470" i="1"/>
  <c r="Y469" i="1"/>
  <c r="Y468" i="1"/>
  <c r="Y467" i="1"/>
  <c r="I468" i="1"/>
  <c r="I467" i="1"/>
  <c r="V456" i="1" l="1"/>
  <c r="V457" i="1"/>
  <c r="V458" i="1"/>
  <c r="V453" i="1"/>
  <c r="V454" i="1"/>
  <c r="V455" i="1"/>
  <c r="I458" i="1"/>
  <c r="I457" i="1"/>
  <c r="I456" i="1"/>
  <c r="I455" i="1"/>
  <c r="I454" i="1"/>
  <c r="I453" i="1"/>
  <c r="I440" i="1" l="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V410" i="1"/>
  <c r="V411" i="1"/>
  <c r="V412" i="1"/>
  <c r="V413" i="1"/>
  <c r="V414" i="1"/>
  <c r="V415" i="1"/>
  <c r="V416" i="1"/>
  <c r="V402" i="1"/>
  <c r="V403" i="1"/>
  <c r="V404" i="1"/>
  <c r="V405" i="1"/>
  <c r="V406" i="1"/>
  <c r="V407" i="1"/>
  <c r="V408" i="1"/>
  <c r="V409" i="1"/>
  <c r="X400" i="1"/>
  <c r="X399" i="1"/>
  <c r="X397" i="1"/>
  <c r="X396" i="1"/>
  <c r="X395" i="1"/>
  <c r="X394" i="1"/>
  <c r="X392" i="1"/>
  <c r="X391" i="1"/>
  <c r="X389" i="1"/>
  <c r="X388" i="1"/>
  <c r="Y387" i="1" l="1"/>
  <c r="X387" i="1"/>
  <c r="I387" i="1"/>
  <c r="Y380" i="1"/>
  <c r="Y379" i="1"/>
  <c r="Y378" i="1"/>
  <c r="Y377" i="1"/>
  <c r="Y376" i="1"/>
  <c r="Y375" i="1"/>
  <c r="X380" i="1"/>
  <c r="X379" i="1"/>
  <c r="X378" i="1"/>
  <c r="X377" i="1"/>
  <c r="X376" i="1"/>
  <c r="X375" i="1"/>
  <c r="V371" i="1"/>
  <c r="V365" i="1"/>
  <c r="V361" i="1"/>
  <c r="V369" i="1"/>
  <c r="V368" i="1"/>
  <c r="V367" i="1"/>
  <c r="V372" i="1"/>
  <c r="V370" i="1"/>
  <c r="V366" i="1"/>
  <c r="V364" i="1"/>
  <c r="V362" i="1"/>
  <c r="V363" i="1"/>
  <c r="I356" i="1"/>
  <c r="I357" i="1"/>
  <c r="I358" i="1"/>
  <c r="I359" i="1"/>
  <c r="I360" i="1"/>
  <c r="V356" i="1"/>
  <c r="V357" i="1"/>
  <c r="V358" i="1"/>
  <c r="V359" i="1"/>
  <c r="V360" i="1"/>
  <c r="Y355" i="1"/>
  <c r="Y354" i="1"/>
  <c r="Y353" i="1"/>
  <c r="Y352" i="1"/>
  <c r="Y351" i="1"/>
  <c r="Y350" i="1"/>
  <c r="Y349" i="1"/>
  <c r="Y348" i="1"/>
  <c r="Y347" i="1"/>
  <c r="Y346" i="1"/>
  <c r="Y345" i="1"/>
  <c r="Y344" i="1"/>
  <c r="Y343" i="1"/>
  <c r="Y342" i="1"/>
  <c r="Y341" i="1"/>
  <c r="Y340" i="1"/>
  <c r="Y339" i="1"/>
  <c r="I355" i="1"/>
  <c r="I354" i="1"/>
  <c r="I353" i="1"/>
  <c r="I352" i="1"/>
  <c r="I351" i="1"/>
  <c r="I350" i="1"/>
  <c r="I349" i="1"/>
  <c r="I348" i="1"/>
  <c r="I347" i="1"/>
  <c r="I346" i="1"/>
  <c r="I345" i="1"/>
  <c r="I344" i="1"/>
  <c r="I343" i="1"/>
  <c r="I342" i="1"/>
  <c r="I341" i="1"/>
  <c r="I340" i="1"/>
  <c r="I339" i="1"/>
  <c r="Y338" i="1"/>
  <c r="I338" i="1"/>
  <c r="I298" i="1" l="1"/>
  <c r="I297" i="1"/>
  <c r="Y298" i="1"/>
  <c r="X298" i="1"/>
  <c r="Y297" i="1"/>
  <c r="X297" i="1"/>
  <c r="I296" i="1"/>
  <c r="I295" i="1"/>
  <c r="I294" i="1"/>
  <c r="I293" i="1"/>
  <c r="I292" i="1"/>
  <c r="I291" i="1"/>
  <c r="I290" i="1"/>
  <c r="I289" i="1"/>
  <c r="I288" i="1"/>
  <c r="I287" i="1"/>
  <c r="I286" i="1"/>
  <c r="Y296" i="1"/>
  <c r="X296" i="1"/>
  <c r="Y295" i="1"/>
  <c r="X295" i="1"/>
  <c r="Y294" i="1"/>
  <c r="X294" i="1"/>
  <c r="Y293" i="1"/>
  <c r="X293" i="1"/>
  <c r="Y292" i="1"/>
  <c r="X292" i="1"/>
  <c r="Y291" i="1"/>
  <c r="X291" i="1"/>
  <c r="Y290" i="1"/>
  <c r="X290" i="1"/>
  <c r="Y289" i="1"/>
  <c r="X289" i="1"/>
  <c r="Y288" i="1"/>
  <c r="X288" i="1"/>
  <c r="Y287" i="1"/>
  <c r="X287" i="1"/>
  <c r="Y286" i="1"/>
  <c r="X286" i="1"/>
  <c r="Y285" i="1"/>
  <c r="X285" i="1"/>
  <c r="I285" i="1"/>
  <c r="I284" i="1"/>
  <c r="I283" i="1"/>
  <c r="I282" i="1"/>
  <c r="V282" i="1"/>
  <c r="V283" i="1"/>
  <c r="V284" i="1"/>
  <c r="I281" i="1"/>
  <c r="I280" i="1"/>
  <c r="V279" i="1"/>
  <c r="V280" i="1"/>
  <c r="V281" i="1"/>
  <c r="I279" i="1"/>
  <c r="V271" i="1" l="1"/>
  <c r="V272" i="1"/>
  <c r="V273" i="1"/>
  <c r="V274" i="1"/>
  <c r="I270" i="1" l="1"/>
  <c r="I269" i="1"/>
  <c r="I268" i="1"/>
  <c r="I267" i="1"/>
  <c r="I266" i="1"/>
  <c r="I265" i="1"/>
  <c r="I264" i="1"/>
  <c r="I263" i="1"/>
  <c r="I262" i="1"/>
  <c r="I261" i="1"/>
  <c r="I260" i="1"/>
  <c r="V258" i="1"/>
  <c r="V259" i="1"/>
  <c r="V260" i="1"/>
  <c r="I257" i="1"/>
  <c r="I256" i="1"/>
  <c r="I255" i="1"/>
  <c r="I254" i="1"/>
  <c r="I253" i="1"/>
  <c r="I252" i="1"/>
  <c r="I251" i="1"/>
  <c r="I250" i="1"/>
  <c r="I249" i="1"/>
  <c r="V257" i="1"/>
  <c r="V256" i="1"/>
  <c r="I248" i="1"/>
  <c r="I247" i="1"/>
  <c r="I246" i="1"/>
  <c r="I245" i="1"/>
  <c r="I244" i="1"/>
  <c r="I243" i="1"/>
  <c r="V242" i="1"/>
  <c r="V243" i="1"/>
  <c r="V244" i="1"/>
  <c r="V245" i="1"/>
  <c r="V246" i="1"/>
  <c r="V247" i="1"/>
  <c r="I242" i="1"/>
  <c r="I241" i="1"/>
  <c r="I240" i="1"/>
  <c r="I239" i="1"/>
  <c r="I238" i="1"/>
  <c r="V238" i="1"/>
  <c r="V239" i="1"/>
  <c r="V240" i="1"/>
  <c r="V241" i="1"/>
  <c r="I225" i="1"/>
  <c r="I224" i="1"/>
  <c r="I223" i="1"/>
  <c r="I222" i="1"/>
  <c r="I221" i="1"/>
  <c r="I220" i="1"/>
  <c r="I219" i="1"/>
  <c r="I218" i="1"/>
  <c r="I217" i="1"/>
  <c r="I216" i="1"/>
  <c r="I215" i="1"/>
  <c r="I214" i="1"/>
  <c r="X222" i="1"/>
  <c r="X223" i="1"/>
  <c r="X224" i="1"/>
  <c r="V223" i="1"/>
  <c r="V224" i="1"/>
  <c r="V225" i="1"/>
  <c r="X221" i="1"/>
  <c r="X220" i="1"/>
  <c r="X219" i="1"/>
  <c r="X218" i="1"/>
  <c r="X217" i="1"/>
  <c r="X216" i="1"/>
  <c r="X215" i="1"/>
  <c r="V214" i="1"/>
  <c r="V215" i="1"/>
  <c r="V216" i="1"/>
  <c r="V217" i="1"/>
  <c r="V218" i="1"/>
  <c r="V219" i="1"/>
  <c r="V220" i="1"/>
  <c r="V221" i="1"/>
  <c r="X214" i="1"/>
  <c r="X213" i="1" l="1"/>
  <c r="X212" i="1"/>
  <c r="X211" i="1"/>
  <c r="X210" i="1"/>
  <c r="X209" i="1"/>
  <c r="X208" i="1"/>
  <c r="X207" i="1"/>
  <c r="X206" i="1"/>
  <c r="Y213" i="1"/>
  <c r="Y212" i="1"/>
  <c r="Y211" i="1"/>
  <c r="Y210" i="1"/>
  <c r="Y209" i="1"/>
  <c r="Y208" i="1"/>
  <c r="Y207" i="1"/>
  <c r="Y206" i="1"/>
  <c r="I213" i="1"/>
  <c r="I212" i="1"/>
  <c r="I211" i="1"/>
  <c r="I210" i="1"/>
  <c r="I209" i="1"/>
  <c r="I208" i="1"/>
  <c r="I207" i="1"/>
  <c r="I206" i="1"/>
  <c r="I201" i="1"/>
  <c r="I200" i="1"/>
  <c r="I199" i="1"/>
  <c r="X201" i="1"/>
  <c r="X200" i="1"/>
  <c r="X199" i="1"/>
  <c r="Y201" i="1"/>
  <c r="Y200" i="1"/>
  <c r="Y198" i="1"/>
  <c r="Y199" i="1"/>
  <c r="X198" i="1"/>
  <c r="I198" i="1"/>
  <c r="X191" i="1"/>
  <c r="X190" i="1"/>
  <c r="X189" i="1"/>
  <c r="X188" i="1"/>
  <c r="X187" i="1"/>
  <c r="X186" i="1"/>
  <c r="X185" i="1"/>
  <c r="X184" i="1"/>
  <c r="X183" i="1"/>
  <c r="X182" i="1"/>
  <c r="X181" i="1"/>
  <c r="V180" i="1"/>
  <c r="V181" i="1"/>
  <c r="V182" i="1"/>
  <c r="V183" i="1"/>
  <c r="V184" i="1"/>
  <c r="V185" i="1"/>
  <c r="V186" i="1"/>
  <c r="V187" i="1"/>
  <c r="V188" i="1"/>
  <c r="V189" i="1"/>
  <c r="V190" i="1"/>
  <c r="V191" i="1"/>
  <c r="X180" i="1"/>
  <c r="I173" i="1"/>
  <c r="V147" i="1" l="1"/>
  <c r="V148" i="1"/>
  <c r="V149" i="1"/>
  <c r="V150" i="1"/>
  <c r="V151" i="1"/>
  <c r="V152" i="1"/>
  <c r="V153" i="1"/>
  <c r="V154" i="1"/>
  <c r="V155" i="1"/>
  <c r="V156" i="1"/>
  <c r="V157" i="1"/>
  <c r="V158" i="1"/>
  <c r="I158" i="1"/>
  <c r="I157" i="1"/>
  <c r="I156" i="1"/>
  <c r="I155" i="1"/>
  <c r="I154" i="1"/>
  <c r="I153" i="1"/>
  <c r="I152" i="1"/>
  <c r="I151" i="1"/>
  <c r="I150" i="1"/>
  <c r="I149" i="1"/>
  <c r="I148" i="1"/>
  <c r="I147" i="1"/>
  <c r="V139" i="1"/>
  <c r="V140" i="1"/>
  <c r="V141" i="1"/>
  <c r="V142" i="1"/>
  <c r="V143" i="1"/>
  <c r="V144" i="1"/>
  <c r="V145" i="1"/>
  <c r="V146" i="1"/>
  <c r="I142" i="1"/>
  <c r="I146" i="1" s="1"/>
  <c r="I141" i="1"/>
  <c r="I145" i="1" s="1"/>
  <c r="I140" i="1"/>
  <c r="I144" i="1" s="1"/>
  <c r="I139" i="1"/>
  <c r="I143" i="1" s="1"/>
  <c r="V134" i="1"/>
  <c r="V135" i="1"/>
  <c r="V136" i="1"/>
  <c r="V137" i="1"/>
  <c r="V138" i="1"/>
  <c r="I138" i="1"/>
  <c r="I137" i="1"/>
  <c r="I136" i="1"/>
  <c r="I135" i="1"/>
  <c r="I134" i="1"/>
  <c r="I130" i="1"/>
  <c r="I129" i="1"/>
  <c r="I78" i="1" l="1"/>
  <c r="I77" i="1"/>
  <c r="I76" i="1"/>
  <c r="I75" i="1"/>
  <c r="I74" i="1"/>
  <c r="I73" i="1" l="1"/>
  <c r="V159" i="1"/>
  <c r="V160" i="1"/>
  <c r="V161" i="1"/>
  <c r="V162" i="1"/>
  <c r="V163" i="1"/>
  <c r="V164" i="1"/>
  <c r="V117" i="1"/>
  <c r="V118" i="1"/>
  <c r="V119" i="1"/>
  <c r="V120" i="1"/>
  <c r="V121" i="1"/>
  <c r="V122" i="1"/>
  <c r="V105" i="1"/>
  <c r="V106" i="1"/>
  <c r="V107" i="1"/>
  <c r="V108" i="1"/>
  <c r="V109" i="1"/>
  <c r="V110" i="1"/>
  <c r="V111" i="1"/>
  <c r="V112" i="1"/>
  <c r="V113" i="1"/>
  <c r="V114" i="1"/>
  <c r="V115" i="1"/>
  <c r="V116" i="1"/>
  <c r="V99" i="1"/>
  <c r="V100" i="1"/>
  <c r="V101" i="1"/>
  <c r="V102" i="1"/>
  <c r="V103" i="1"/>
  <c r="V104" i="1"/>
  <c r="V95" i="1" l="1"/>
  <c r="V96" i="1"/>
  <c r="V97" i="1"/>
  <c r="V98" i="1"/>
  <c r="V89" i="1"/>
  <c r="V90" i="1"/>
  <c r="V91" i="1"/>
  <c r="V92" i="1"/>
  <c r="V93" i="1"/>
  <c r="V94" i="1"/>
  <c r="X72" i="1" l="1"/>
  <c r="X71" i="1"/>
  <c r="X70" i="1"/>
  <c r="V72" i="1"/>
  <c r="V71" i="1"/>
  <c r="I72" i="1"/>
  <c r="I71" i="1"/>
  <c r="I70" i="1"/>
  <c r="X69" i="1"/>
  <c r="I69" i="1"/>
  <c r="V61" i="1"/>
  <c r="V62" i="1"/>
  <c r="V63" i="1"/>
  <c r="V64" i="1"/>
  <c r="V65" i="1"/>
  <c r="V66" i="1"/>
  <c r="V67" i="1"/>
  <c r="V68" i="1"/>
  <c r="I59" i="1" l="1"/>
  <c r="I58" i="1"/>
  <c r="I57" i="1"/>
  <c r="I56" i="1"/>
  <c r="I55" i="1"/>
  <c r="I54" i="1"/>
  <c r="V54" i="1"/>
  <c r="V56" i="1" s="1"/>
  <c r="V55" i="1"/>
  <c r="V57" i="1" s="1"/>
  <c r="V47" i="1"/>
  <c r="V48" i="1"/>
  <c r="V49" i="1"/>
  <c r="V50" i="1"/>
  <c r="V51" i="1"/>
  <c r="V52" i="1"/>
  <c r="V53" i="1"/>
  <c r="I53" i="1"/>
  <c r="I52" i="1"/>
  <c r="I51" i="1"/>
  <c r="I50" i="1"/>
  <c r="I49" i="1"/>
  <c r="I48" i="1"/>
  <c r="I47" i="1"/>
  <c r="Y41" i="1" l="1"/>
  <c r="Y42" i="1"/>
  <c r="Y43" i="1"/>
  <c r="Y44" i="1"/>
  <c r="Y45" i="1"/>
  <c r="Y46" i="1"/>
  <c r="V41" i="1"/>
  <c r="V42" i="1"/>
  <c r="V43" i="1"/>
  <c r="V44" i="1"/>
  <c r="V45" i="1"/>
  <c r="V46" i="1"/>
  <c r="I44" i="1"/>
  <c r="I45" i="1"/>
  <c r="I46" i="1"/>
  <c r="I43" i="1"/>
  <c r="I42" i="1"/>
  <c r="I41" i="1"/>
  <c r="V31" i="1"/>
  <c r="V38" i="1" s="1"/>
  <c r="V32" i="1"/>
  <c r="V39" i="1" s="1"/>
  <c r="V33" i="1"/>
  <c r="V40" i="1" s="1"/>
  <c r="V27" i="1"/>
  <c r="V34" i="1" s="1"/>
  <c r="V28" i="1"/>
  <c r="V35" i="1" s="1"/>
  <c r="V29" i="1"/>
  <c r="V36" i="1" s="1"/>
  <c r="V30" i="1"/>
  <c r="V37" i="1" s="1"/>
  <c r="I26" i="1" l="1"/>
  <c r="I25" i="1"/>
  <c r="I24" i="1"/>
  <c r="X25" i="1"/>
  <c r="X24" i="1"/>
  <c r="I23" i="1"/>
  <c r="I22" i="1"/>
  <c r="I21" i="1"/>
  <c r="I20" i="1"/>
  <c r="I19" i="1"/>
  <c r="V18" i="1"/>
  <c r="V19" i="1"/>
  <c r="V20" i="1"/>
  <c r="V21" i="1"/>
  <c r="V22" i="1"/>
  <c r="V23" i="1"/>
  <c r="X14" i="1"/>
  <c r="X15" i="1"/>
  <c r="X16" i="1"/>
  <c r="X17" i="1"/>
  <c r="X10" i="1"/>
  <c r="X11" i="1"/>
  <c r="X12" i="1"/>
  <c r="X13" i="1"/>
  <c r="V4" i="1"/>
  <c r="V5" i="1"/>
  <c r="V6" i="1"/>
  <c r="V7" i="1"/>
  <c r="V8" i="1"/>
  <c r="V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Juan Baca</author>
    <author>Juan</author>
  </authors>
  <commentList>
    <comment ref="R1" authorId="0" shapeId="0" xr:uid="{F29E48AF-ADD3-444B-A558-E8DC69375102}">
      <text>
        <r>
          <rPr>
            <b/>
            <sz val="9"/>
            <color indexed="81"/>
            <rFont val="Tahoma"/>
            <family val="2"/>
          </rPr>
          <t>Juan Baca:</t>
        </r>
        <r>
          <rPr>
            <sz val="9"/>
            <color indexed="81"/>
            <rFont val="Tahoma"/>
            <family val="2"/>
          </rPr>
          <t xml:space="preserve">
entire root system, individual roots, specifi rot tipes (e.g. tap root vs lateral)...</t>
        </r>
      </text>
    </comment>
    <comment ref="S1" authorId="0" shapeId="0" xr:uid="{36FA090F-09B2-4092-B408-3CF17C43898A}">
      <text>
        <r>
          <rPr>
            <b/>
            <sz val="9"/>
            <color indexed="81"/>
            <rFont val="Tahoma"/>
            <family val="2"/>
          </rPr>
          <t>Juan Baca:</t>
        </r>
        <r>
          <rPr>
            <sz val="9"/>
            <color indexed="81"/>
            <rFont val="Tahoma"/>
            <family val="2"/>
          </rPr>
          <t xml:space="preserve">
for thwe case where longitudinal variation alongside individual roots was measured</t>
        </r>
      </text>
    </comment>
    <comment ref="V1" authorId="0" shapeId="0" xr:uid="{83024454-E4B1-494B-926E-39F404A9766E}">
      <text>
        <r>
          <rPr>
            <b/>
            <sz val="9"/>
            <color indexed="81"/>
            <rFont val="Tahoma"/>
            <family val="2"/>
          </rPr>
          <t>Juan Baca:</t>
        </r>
        <r>
          <rPr>
            <sz val="9"/>
            <color indexed="81"/>
            <rFont val="Tahoma"/>
            <family val="2"/>
          </rPr>
          <t xml:space="preserve">
Unit is always m/(Mpa*s) if flow is driven by a difference and m2/(Mpa*s) if driven by a gradient</t>
        </r>
      </text>
    </comment>
    <comment ref="I2" authorId="0" shapeId="0" xr:uid="{3C29F56C-8C27-4C24-AAA0-173295F66FB0}">
      <text>
        <r>
          <rPr>
            <b/>
            <sz val="9"/>
            <color indexed="81"/>
            <rFont val="Tahoma"/>
            <family val="2"/>
          </rPr>
          <t>Juan Baca:</t>
        </r>
        <r>
          <rPr>
            <sz val="9"/>
            <color indexed="81"/>
            <rFont val="Tahoma"/>
            <family val="2"/>
          </rPr>
          <t xml:space="preserve">
 All full-scale
hydroponic experiments, including the untreated controls as the main objective of this study, were harvested
after 5 weeks  (page 3)</t>
        </r>
      </text>
    </comment>
    <comment ref="V2" authorId="0" shapeId="0" xr:uid="{AB5C9057-D0D6-42D4-BE41-B9F176150E88}">
      <text>
        <r>
          <rPr>
            <b/>
            <sz val="9"/>
            <color indexed="81"/>
            <rFont val="Tahoma"/>
            <family val="2"/>
          </rPr>
          <t>Juan Baca:</t>
        </r>
        <r>
          <rPr>
            <sz val="9"/>
            <color indexed="81"/>
            <rFont val="Tahoma"/>
            <family val="2"/>
          </rPr>
          <t xml:space="preserve">
data from text (pages 8-9)</t>
        </r>
      </text>
    </comment>
    <comment ref="X2" authorId="0" shapeId="0" xr:uid="{F9B3AC6E-68DB-4066-B254-C1648F5EC5E9}">
      <text>
        <r>
          <rPr>
            <b/>
            <sz val="9"/>
            <color indexed="81"/>
            <rFont val="Tahoma"/>
            <family val="2"/>
          </rPr>
          <t>Juan Baca:</t>
        </r>
        <r>
          <rPr>
            <sz val="9"/>
            <color indexed="81"/>
            <rFont val="Tahoma"/>
            <family val="2"/>
          </rPr>
          <t xml:space="preserve">
eight to ten roots had developed having mean lengths of 13 cm (legend Fig. 2)</t>
        </r>
      </text>
    </comment>
    <comment ref="I4" authorId="0" shapeId="0" xr:uid="{1693C7D6-B193-4D35-9A63-8B44AEC65856}">
      <text>
        <r>
          <rPr>
            <b/>
            <sz val="9"/>
            <color indexed="81"/>
            <rFont val="Tahoma"/>
            <family val="2"/>
          </rPr>
          <t>Juan Baca:</t>
        </r>
        <r>
          <rPr>
            <sz val="9"/>
            <color indexed="81"/>
            <rFont val="Tahoma"/>
            <family val="2"/>
          </rPr>
          <t xml:space="preserve">
new clear information about the age</t>
        </r>
      </text>
    </comment>
    <comment ref="S4" authorId="0" shapeId="0" xr:uid="{0592F7D2-5EFD-42F0-9259-207EF448AE0D}">
      <text>
        <r>
          <rPr>
            <b/>
            <sz val="9"/>
            <color indexed="81"/>
            <rFont val="Tahoma"/>
            <family val="2"/>
          </rPr>
          <t>Juan Baca:</t>
        </r>
        <r>
          <rPr>
            <sz val="9"/>
            <color indexed="81"/>
            <rFont val="Tahoma"/>
            <family val="2"/>
          </rPr>
          <t xml:space="preserve">
 three fine roots were excised under water at c. 10 cm from the tip (page 274)</t>
        </r>
      </text>
    </comment>
    <comment ref="I10" authorId="0" shapeId="0" xr:uid="{6C292DF7-B89F-470D-92EA-6C70146CD904}">
      <text>
        <r>
          <rPr>
            <b/>
            <sz val="9"/>
            <color indexed="81"/>
            <rFont val="Tahoma"/>
            <family val="2"/>
          </rPr>
          <t>Juan Baca:</t>
        </r>
        <r>
          <rPr>
            <sz val="9"/>
            <color indexed="81"/>
            <rFont val="Tahoma"/>
            <family val="2"/>
          </rPr>
          <t xml:space="preserve">
When plants were 6 days old (3 days of germination and 3 days of growth), they were transferred to osmotic stress or control solution for further 6 days until they were 12 days old
(page 345)</t>
        </r>
      </text>
    </comment>
    <comment ref="S10" authorId="0" shapeId="0" xr:uid="{CBC969C6-BCF8-4A67-9746-748C5FA328E7}">
      <text>
        <r>
          <rPr>
            <b/>
            <sz val="9"/>
            <color indexed="81"/>
            <rFont val="Tahoma"/>
            <family val="2"/>
          </rPr>
          <t>Juan Baca:</t>
        </r>
        <r>
          <rPr>
            <sz val="9"/>
            <color indexed="81"/>
            <rFont val="Tahoma"/>
            <family val="2"/>
          </rPr>
          <t xml:space="preserve">
Root pressure probe experiments were conducted with the end
segments/apical part of the seminal roots (page 346) -&gt; this corresponds to root tip + root transition zone</t>
        </r>
      </text>
    </comment>
    <comment ref="V10" authorId="0" shapeId="0" xr:uid="{5D726E84-5898-4AA1-B432-157323DE1E99}">
      <text>
        <r>
          <rPr>
            <b/>
            <sz val="9"/>
            <color indexed="81"/>
            <rFont val="Tahoma"/>
            <family val="2"/>
          </rPr>
          <t>Juan Baca:</t>
        </r>
        <r>
          <rPr>
            <sz val="9"/>
            <color indexed="81"/>
            <rFont val="Tahoma"/>
            <family val="2"/>
          </rPr>
          <t xml:space="preserve">
data from table 1</t>
        </r>
      </text>
    </comment>
    <comment ref="I18" authorId="0" shapeId="0" xr:uid="{D54AE55B-4BFA-49B0-B288-87D66768E500}">
      <text>
        <r>
          <rPr>
            <b/>
            <sz val="9"/>
            <color indexed="81"/>
            <rFont val="Tahoma"/>
            <family val="2"/>
          </rPr>
          <t>Juan Baca:</t>
        </r>
        <r>
          <rPr>
            <sz val="9"/>
            <color indexed="81"/>
            <rFont val="Tahoma"/>
            <family val="2"/>
          </rPr>
          <t xml:space="preserve">
 Lpr was measured in 2-week-old maize seedlings (legend figure 3)</t>
        </r>
      </text>
    </comment>
    <comment ref="J18" authorId="0" shapeId="0" xr:uid="{C43D2F66-76BD-405F-8453-54ECBBB6DF89}">
      <text>
        <r>
          <rPr>
            <b/>
            <sz val="9"/>
            <color indexed="81"/>
            <rFont val="Tahoma"/>
            <family val="2"/>
          </rPr>
          <t>Juan Baca:</t>
        </r>
        <r>
          <rPr>
            <sz val="9"/>
            <color indexed="81"/>
            <rFont val="Tahoma"/>
            <family val="2"/>
          </rPr>
          <t xml:space="preserve">
AQP enhancement or inhibition achieved thorugh different mutant lines</t>
        </r>
      </text>
    </comment>
    <comment ref="I24" authorId="0" shapeId="0" xr:uid="{109A34D2-2858-4A7F-83C9-6F65711565C4}">
      <text>
        <r>
          <rPr>
            <b/>
            <sz val="9"/>
            <color indexed="81"/>
            <rFont val="Tahoma"/>
            <family val="2"/>
          </rPr>
          <t>Juan Baca:</t>
        </r>
        <r>
          <rPr>
            <sz val="9"/>
            <color indexed="81"/>
            <rFont val="Tahoma"/>
            <family val="2"/>
          </rPr>
          <t xml:space="preserve">
The plants used in
the experiments were grown for 16–20 d, including the germination period (page 630)</t>
        </r>
      </text>
    </comment>
    <comment ref="S24" authorId="0" shapeId="0" xr:uid="{FBABB661-D6A7-46B6-9188-0ED1FC5E272C}">
      <text>
        <r>
          <rPr>
            <b/>
            <sz val="9"/>
            <color indexed="81"/>
            <rFont val="Tahoma"/>
            <family val="2"/>
          </rPr>
          <t>Juan Baca:</t>
        </r>
        <r>
          <rPr>
            <sz val="9"/>
            <color indexed="81"/>
            <rFont val="Tahoma"/>
            <family val="2"/>
          </rPr>
          <t xml:space="preserve">
The Lpr of the end segments/apical part of the seminal roots
(Zone-I; length: 50–75mm) and total seminal roots (length:
approx. 200mm) (page 630)</t>
        </r>
      </text>
    </comment>
    <comment ref="V24" authorId="0" shapeId="0" xr:uid="{48541431-41AE-4CA6-B9EE-A0C2F1C6E853}">
      <text>
        <r>
          <rPr>
            <b/>
            <sz val="9"/>
            <color indexed="81"/>
            <rFont val="Tahoma"/>
            <family val="2"/>
          </rPr>
          <t>Juan Baca:</t>
        </r>
        <r>
          <rPr>
            <sz val="9"/>
            <color indexed="81"/>
            <rFont val="Tahoma"/>
            <family val="2"/>
          </rPr>
          <t xml:space="preserve">
data extracted from text (pages 632-633) and table 1</t>
        </r>
      </text>
    </comment>
    <comment ref="X24" authorId="0" shapeId="0" xr:uid="{BB1A0033-74C0-4097-AEAF-EFB0BAE5A854}">
      <text>
        <r>
          <rPr>
            <b/>
            <sz val="9"/>
            <color indexed="81"/>
            <rFont val="Tahoma"/>
            <family val="2"/>
          </rPr>
          <t>Juan Baca:</t>
        </r>
        <r>
          <rPr>
            <sz val="9"/>
            <color indexed="81"/>
            <rFont val="Tahoma"/>
            <family val="2"/>
          </rPr>
          <t xml:space="preserve">
The Lpr of the end segments/apical part of the seminal roots
(Zone-I; length: 50–75mm) and total seminal roots (length:
approx. 200mm) (page 630)</t>
        </r>
      </text>
    </comment>
    <comment ref="Y24" authorId="0" shapeId="0" xr:uid="{B018FFEA-8EB7-412C-A97E-2B9375394F88}">
      <text>
        <r>
          <rPr>
            <b/>
            <sz val="9"/>
            <color indexed="81"/>
            <rFont val="Tahoma"/>
            <family val="2"/>
          </rPr>
          <t>Juan Baca:</t>
        </r>
        <r>
          <rPr>
            <sz val="9"/>
            <color indexed="81"/>
            <rFont val="Tahoma"/>
            <family val="2"/>
          </rPr>
          <t xml:space="preserve">
maximum length and average diameter of the seminal roots varied between 70 and 140 mm and 0 4 and 0 6 mm (page 630)</t>
        </r>
      </text>
    </comment>
    <comment ref="I27" authorId="0" shapeId="0" xr:uid="{9F3977D4-F120-476D-82AA-268A8D1E6AB1}">
      <text>
        <r>
          <rPr>
            <b/>
            <sz val="9"/>
            <color indexed="81"/>
            <rFont val="Tahoma"/>
            <family val="2"/>
          </rPr>
          <t>Juan Baca:</t>
        </r>
        <r>
          <rPr>
            <sz val="9"/>
            <color indexed="81"/>
            <rFont val="Tahoma"/>
            <family val="2"/>
          </rPr>
          <t xml:space="preserve">
no clear information about age -&gt; old forests</t>
        </r>
      </text>
    </comment>
    <comment ref="S27" authorId="0" shapeId="0" xr:uid="{FAAAC59D-997B-4FA6-A3F5-1C3B2E1F2E68}">
      <text>
        <r>
          <rPr>
            <b/>
            <sz val="9"/>
            <color indexed="81"/>
            <rFont val="Tahoma"/>
            <family val="2"/>
          </rPr>
          <t>Juan Baca:</t>
        </r>
        <r>
          <rPr>
            <sz val="9"/>
            <color indexed="81"/>
            <rFont val="Tahoma"/>
            <family val="2"/>
          </rPr>
          <t xml:space="preserve">
no specific information about where the root segments where taken from</t>
        </r>
      </text>
    </comment>
    <comment ref="Y27" authorId="0" shapeId="0" xr:uid="{860B6595-2565-4295-9733-7146804D002D}">
      <text>
        <r>
          <rPr>
            <b/>
            <sz val="9"/>
            <color indexed="81"/>
            <rFont val="Tahoma"/>
            <family val="2"/>
          </rPr>
          <t>Juan Baca:</t>
        </r>
        <r>
          <rPr>
            <sz val="9"/>
            <color indexed="81"/>
            <rFont val="Tahoma"/>
            <family val="2"/>
          </rPr>
          <t xml:space="preserve">
For the shallow roots, we excavated an individual root of appropriate diameter (mean diameter = 1.8 ± 0.4 cm) (page 1325)</t>
        </r>
      </text>
    </comment>
    <comment ref="I41" authorId="0" shapeId="0" xr:uid="{C18D3F7D-E5D3-401C-ABDF-001DC977DE63}">
      <text>
        <r>
          <rPr>
            <b/>
            <sz val="9"/>
            <color indexed="81"/>
            <rFont val="Tahoma"/>
            <family val="2"/>
          </rPr>
          <t>Juan Baca:</t>
        </r>
        <r>
          <rPr>
            <sz val="9"/>
            <color indexed="81"/>
            <rFont val="Tahoma"/>
            <family val="2"/>
          </rPr>
          <t xml:space="preserve">
age from legend Fig 2</t>
        </r>
      </text>
    </comment>
    <comment ref="I47" authorId="0" shapeId="0" xr:uid="{3689DDBF-DA94-4045-B245-B9B4B9EA368F}">
      <text>
        <r>
          <rPr>
            <b/>
            <sz val="9"/>
            <color indexed="81"/>
            <rFont val="Tahoma"/>
            <family val="2"/>
          </rPr>
          <t>Juan Baca:</t>
        </r>
        <r>
          <rPr>
            <sz val="9"/>
            <color indexed="81"/>
            <rFont val="Tahoma"/>
            <family val="2"/>
          </rPr>
          <t xml:space="preserve">
 plants were analysed when they were 9–13, 14–18, 19–23 and 24–28 d old</t>
        </r>
      </text>
    </comment>
    <comment ref="I54" authorId="0" shapeId="0" xr:uid="{8F64AD0E-178D-49FE-837C-B54C49726EE1}">
      <text>
        <r>
          <rPr>
            <b/>
            <sz val="9"/>
            <color indexed="81"/>
            <rFont val="Tahoma"/>
            <family val="2"/>
          </rPr>
          <t>Juan Baca:</t>
        </r>
        <r>
          <rPr>
            <sz val="9"/>
            <color indexed="81"/>
            <rFont val="Tahoma"/>
            <family val="2"/>
          </rPr>
          <t xml:space="preserve">
 Plants were grown under greenhouse conditions
for 6 to 8 weeks prior to conducting the root experiments (page 1262)</t>
        </r>
      </text>
    </comment>
    <comment ref="S54" authorId="0" shapeId="0" xr:uid="{F00603FE-DA78-4EAF-9EB2-C06A51372DE0}">
      <text>
        <r>
          <rPr>
            <b/>
            <sz val="9"/>
            <color indexed="81"/>
            <rFont val="Tahoma"/>
            <family val="2"/>
          </rPr>
          <t>Juan Baca:</t>
        </r>
        <r>
          <rPr>
            <sz val="9"/>
            <color indexed="81"/>
            <rFont val="Tahoma"/>
            <family val="2"/>
          </rPr>
          <t xml:space="preserve">
For root tips, the first 10 to 20 mm including the tip was used. Secondary root portions (typically 10–20 mm in length) did not contain any lateral
roots (page 1263)</t>
        </r>
      </text>
    </comment>
    <comment ref="S55" authorId="0" shapeId="0" xr:uid="{AB719153-7FDD-4C3A-A8FA-72BDA26C5F1F}">
      <text>
        <r>
          <rPr>
            <b/>
            <sz val="9"/>
            <color indexed="81"/>
            <rFont val="Tahoma"/>
            <family val="2"/>
          </rPr>
          <t>Juan Baca:</t>
        </r>
        <r>
          <rPr>
            <sz val="9"/>
            <color indexed="81"/>
            <rFont val="Tahoma"/>
            <family val="2"/>
          </rPr>
          <t xml:space="preserve">
defined as secondary root growth zones</t>
        </r>
      </text>
    </comment>
    <comment ref="V56" authorId="0" shapeId="0" xr:uid="{F3859E77-1F41-471D-A1E0-A8037D3FFB32}">
      <text>
        <r>
          <rPr>
            <b/>
            <sz val="9"/>
            <color indexed="81"/>
            <rFont val="Tahoma"/>
            <family val="2"/>
          </rPr>
          <t>Juan Baca:</t>
        </r>
        <r>
          <rPr>
            <sz val="9"/>
            <color indexed="81"/>
            <rFont val="Tahoma"/>
            <family val="2"/>
          </rPr>
          <t xml:space="preserve">
Inhibition had
very little effect on LprHy, decreasing 5% in the
meristematic and elongation zones while remaining unchanged in the secondary growth zone (page 1257)</t>
        </r>
      </text>
    </comment>
    <comment ref="I58" authorId="0" shapeId="0" xr:uid="{AE71DA3C-DE84-47F7-9428-9F1AA172E26B}">
      <text>
        <r>
          <rPr>
            <b/>
            <sz val="9"/>
            <color indexed="81"/>
            <rFont val="Tahoma"/>
            <family val="2"/>
          </rPr>
          <t>Juan Baca:</t>
        </r>
        <r>
          <rPr>
            <sz val="9"/>
            <color indexed="81"/>
            <rFont val="Tahoma"/>
            <family val="2"/>
          </rPr>
          <t xml:space="preserve">
When plants had grown for 7–9 d on nutrient solution, they were used for experiments (page 186)</t>
        </r>
      </text>
    </comment>
    <comment ref="V58" authorId="0" shapeId="0" xr:uid="{F610BE69-F271-415A-971E-067E58836A23}">
      <text>
        <r>
          <rPr>
            <b/>
            <sz val="9"/>
            <color indexed="81"/>
            <rFont val="Tahoma"/>
            <family val="2"/>
          </rPr>
          <t>Juan Baca:</t>
        </r>
        <r>
          <rPr>
            <sz val="9"/>
            <color indexed="81"/>
            <rFont val="Tahoma"/>
            <family val="2"/>
          </rPr>
          <t xml:space="preserve">
data from text (page 191)</t>
        </r>
      </text>
    </comment>
    <comment ref="I60" authorId="0" shapeId="0" xr:uid="{84F583D5-BFC9-4EE2-ACC6-72896C52EFE3}">
      <text>
        <r>
          <rPr>
            <b/>
            <sz val="9"/>
            <color indexed="81"/>
            <rFont val="Tahoma"/>
            <family val="2"/>
          </rPr>
          <t>Juan Baca:</t>
        </r>
        <r>
          <rPr>
            <sz val="9"/>
            <color indexed="81"/>
            <rFont val="Tahoma"/>
            <family val="2"/>
          </rPr>
          <t xml:space="preserve">
the primary
root of 10-day-old hydroponically grown maize seedlings
was excised at the base under water, inserted into a glass capillary (page 187)</t>
        </r>
      </text>
    </comment>
    <comment ref="V60" authorId="0" shapeId="0" xr:uid="{989367B9-4E16-4379-AF4D-26282B5E7F4F}">
      <text>
        <r>
          <rPr>
            <b/>
            <sz val="9"/>
            <color indexed="81"/>
            <rFont val="Tahoma"/>
            <family val="2"/>
          </rPr>
          <t>Juan Baca:</t>
        </r>
        <r>
          <rPr>
            <sz val="9"/>
            <color indexed="81"/>
            <rFont val="Tahoma"/>
            <family val="2"/>
          </rPr>
          <t xml:space="preserve">
data from text (page 192)</t>
        </r>
      </text>
    </comment>
    <comment ref="I61" authorId="0" shapeId="0" xr:uid="{AC15D1FC-F862-4556-8881-B843EC3D8408}">
      <text>
        <r>
          <rPr>
            <b/>
            <sz val="9"/>
            <color indexed="81"/>
            <rFont val="Tahoma"/>
            <family val="2"/>
          </rPr>
          <t>Juan Baca:</t>
        </r>
        <r>
          <rPr>
            <sz val="9"/>
            <color indexed="81"/>
            <rFont val="Tahoma"/>
            <family val="2"/>
          </rPr>
          <t xml:space="preserve">
no clear infromation about age</t>
        </r>
      </text>
    </comment>
    <comment ref="I69" authorId="0" shapeId="0" xr:uid="{568614F2-1082-4255-8B49-C797DFA3E100}">
      <text>
        <r>
          <rPr>
            <b/>
            <sz val="9"/>
            <color indexed="81"/>
            <rFont val="Tahoma"/>
            <family val="2"/>
          </rPr>
          <t>Juan Baca:</t>
        </r>
        <r>
          <rPr>
            <sz val="9"/>
            <color indexed="81"/>
            <rFont val="Tahoma"/>
            <family val="2"/>
          </rPr>
          <t xml:space="preserve">
Plants were analysed when they were 14–17 d old. (page 4116)</t>
        </r>
      </text>
    </comment>
    <comment ref="K69" authorId="0" shapeId="0" xr:uid="{E98EA36C-1C9F-4B3A-B13B-249535EC902F}">
      <text>
        <r>
          <rPr>
            <b/>
            <sz val="9"/>
            <color indexed="81"/>
            <rFont val="Tahoma"/>
            <family val="2"/>
          </rPr>
          <t>Juan Baca:</t>
        </r>
        <r>
          <rPr>
            <sz val="9"/>
            <color indexed="81"/>
            <rFont val="Tahoma"/>
            <family val="2"/>
          </rPr>
          <t xml:space="preserve">
AQP inhibition achieved by applying HgCL2; recovery by using DTT</t>
        </r>
      </text>
    </comment>
    <comment ref="V69" authorId="0" shapeId="0" xr:uid="{36BF8872-63B1-4BF0-AAC1-C6976F6CE339}">
      <text>
        <r>
          <rPr>
            <b/>
            <sz val="9"/>
            <color indexed="81"/>
            <rFont val="Tahoma"/>
            <family val="2"/>
          </rPr>
          <t>Juan Baca:</t>
        </r>
        <r>
          <rPr>
            <sz val="9"/>
            <color indexed="81"/>
            <rFont val="Tahoma"/>
            <family val="2"/>
          </rPr>
          <t xml:space="preserve">
data from table 1</t>
        </r>
      </text>
    </comment>
    <comment ref="X69" authorId="0" shapeId="0" xr:uid="{75338A04-354C-48F4-A8CE-48318F2A203E}">
      <text>
        <r>
          <rPr>
            <b/>
            <sz val="9"/>
            <color indexed="81"/>
            <rFont val="Tahoma"/>
            <family val="2"/>
          </rPr>
          <t>Juan Baca:</t>
        </r>
        <r>
          <rPr>
            <sz val="9"/>
            <color indexed="81"/>
            <rFont val="Tahoma"/>
            <family val="2"/>
          </rPr>
          <t xml:space="preserve">
The length of excised roots ranged from 6 to 11 cm in seminal and 4 to 6 cm in adventitious roots</t>
        </r>
      </text>
    </comment>
    <comment ref="I70" authorId="0" shapeId="0" xr:uid="{15584ECA-8A3D-46AE-A628-D85892241830}">
      <text>
        <r>
          <rPr>
            <b/>
            <sz val="9"/>
            <color indexed="81"/>
            <rFont val="Tahoma"/>
            <family val="2"/>
          </rPr>
          <t>Juan Baca:</t>
        </r>
        <r>
          <rPr>
            <sz val="9"/>
            <color indexed="81"/>
            <rFont val="Tahoma"/>
            <family val="2"/>
          </rPr>
          <t xml:space="preserve">
Adventitious roots appeared when plants were 11–13 d old (page 4116)</t>
        </r>
      </text>
    </comment>
    <comment ref="I73" authorId="0" shapeId="0" xr:uid="{53E7E7E6-66BF-4D7F-9D26-4704F11633BC}">
      <text>
        <r>
          <rPr>
            <b/>
            <sz val="9"/>
            <color indexed="81"/>
            <rFont val="Tahoma"/>
            <family val="2"/>
          </rPr>
          <t>Juan Baca:</t>
        </r>
        <r>
          <rPr>
            <sz val="9"/>
            <color indexed="81"/>
            <rFont val="Tahoma"/>
            <family val="2"/>
          </rPr>
          <t xml:space="preserve">
plants analyzed when they were 14-17 days old (page 719)</t>
        </r>
      </text>
    </comment>
    <comment ref="V73" authorId="0" shapeId="0" xr:uid="{583C936D-0E13-45EF-BD15-4410644D46E7}">
      <text>
        <r>
          <rPr>
            <b/>
            <sz val="9"/>
            <color indexed="81"/>
            <rFont val="Tahoma"/>
            <family val="2"/>
          </rPr>
          <t>Juan Baca:</t>
        </r>
        <r>
          <rPr>
            <sz val="9"/>
            <color indexed="81"/>
            <rFont val="Tahoma"/>
            <family val="2"/>
          </rPr>
          <t xml:space="preserve">
conductance/conductivityy data data from table 3</t>
        </r>
      </text>
    </comment>
    <comment ref="W73" authorId="0" shapeId="0" xr:uid="{1586B155-0439-4C08-A013-75139CE1C728}">
      <text>
        <r>
          <rPr>
            <b/>
            <sz val="9"/>
            <color indexed="81"/>
            <rFont val="Tahoma"/>
            <family val="2"/>
          </rPr>
          <t>Juan Baca:</t>
        </r>
        <r>
          <rPr>
            <sz val="9"/>
            <color indexed="81"/>
            <rFont val="Tahoma"/>
            <family val="2"/>
          </rPr>
          <t xml:space="preserve">
surface area reported in page 724</t>
        </r>
      </text>
    </comment>
    <comment ref="Y73" authorId="1" shapeId="0" xr:uid="{10A1502B-C784-4A1A-A89D-9DBEF5C3B9FF}">
      <text>
        <r>
          <rPr>
            <b/>
            <sz val="9"/>
            <color indexed="81"/>
            <rFont val="Tahoma"/>
            <family val="2"/>
          </rPr>
          <t>Juan:</t>
        </r>
        <r>
          <rPr>
            <sz val="9"/>
            <color indexed="81"/>
            <rFont val="Tahoma"/>
            <family val="2"/>
          </rPr>
          <t xml:space="preserve">
diameter data from text; Compared with seminal roots, adventitious roots were 1.5- to 2-fold thicker (mean diameter 968.682 um as compared with 509.682 lm (page 723)</t>
        </r>
      </text>
    </comment>
    <comment ref="V81" authorId="0" shapeId="0" xr:uid="{5117A98C-5FBA-4ED8-AEA2-DB8F815A8AE9}">
      <text>
        <r>
          <rPr>
            <b/>
            <sz val="9"/>
            <color indexed="81"/>
            <rFont val="Tahoma"/>
            <family val="2"/>
          </rPr>
          <t>Juan Baca:</t>
        </r>
        <r>
          <rPr>
            <sz val="9"/>
            <color indexed="81"/>
            <rFont val="Tahoma"/>
            <family val="2"/>
          </rPr>
          <t xml:space="preserve">
data from table 5: values selected correspond to calculated values based on Lp and Kh (either measured with hydrostatic or osmotic methods)</t>
        </r>
      </text>
    </comment>
    <comment ref="I89" authorId="0" shapeId="0" xr:uid="{4C9543A3-3031-4962-AE34-3485C162E3B7}">
      <text>
        <r>
          <rPr>
            <b/>
            <sz val="9"/>
            <color indexed="81"/>
            <rFont val="Tahoma"/>
            <family val="2"/>
          </rPr>
          <t>Juan Baca:</t>
        </r>
        <r>
          <rPr>
            <sz val="9"/>
            <color indexed="81"/>
            <rFont val="Tahoma"/>
            <family val="2"/>
          </rPr>
          <t xml:space="preserve">
no clear infromation about age</t>
        </r>
      </text>
    </comment>
    <comment ref="K89" authorId="0" shapeId="0" xr:uid="{E9730CC9-F4D1-4D31-A3B2-36B6E5CBF4AF}">
      <text>
        <r>
          <rPr>
            <b/>
            <sz val="9"/>
            <color indexed="81"/>
            <rFont val="Tahoma"/>
            <family val="2"/>
          </rPr>
          <t>Juan Baca:</t>
        </r>
        <r>
          <rPr>
            <sz val="9"/>
            <color indexed="81"/>
            <rFont val="Tahoma"/>
            <family val="2"/>
          </rPr>
          <t xml:space="preserve">
AQP inhibition thorugh exposure to OH radicals</t>
        </r>
      </text>
    </comment>
    <comment ref="S89" authorId="0" shapeId="0" xr:uid="{A289036A-AC92-41E5-9EA0-59E176282044}">
      <text>
        <r>
          <rPr>
            <b/>
            <sz val="9"/>
            <color indexed="81"/>
            <rFont val="Tahoma"/>
            <family val="2"/>
          </rPr>
          <t>Juan Baca:</t>
        </r>
        <r>
          <rPr>
            <sz val="9"/>
            <color indexed="81"/>
            <rFont val="Tahoma"/>
            <family val="2"/>
          </rPr>
          <t xml:space="preserve">
 Distal root segments
were gently removed from the loosened soil under water. Roots were transferred to a water-filled tray and trimmed to
a final length of 5 cm with the tips left intact (page 1320)</t>
        </r>
      </text>
    </comment>
    <comment ref="I99" authorId="0" shapeId="0" xr:uid="{34BFD215-FBBE-4413-8AF7-7BAF570322F0}">
      <text>
        <r>
          <rPr>
            <b/>
            <sz val="9"/>
            <color indexed="81"/>
            <rFont val="Tahoma"/>
            <family val="2"/>
          </rPr>
          <t>Juan Baca:</t>
        </r>
        <r>
          <rPr>
            <sz val="9"/>
            <color indexed="81"/>
            <rFont val="Tahoma"/>
            <family val="2"/>
          </rPr>
          <t xml:space="preserve">
no clear infromation about the age; grown in the lab</t>
        </r>
      </text>
    </comment>
    <comment ref="J99" authorId="0" shapeId="0" xr:uid="{E077BC43-463A-486E-BFA5-5E7DC2AA9117}">
      <text>
        <r>
          <rPr>
            <b/>
            <sz val="9"/>
            <color indexed="81"/>
            <rFont val="Tahoma"/>
            <family val="2"/>
          </rPr>
          <t>Juan Baca:</t>
        </r>
        <r>
          <rPr>
            <sz val="9"/>
            <color indexed="81"/>
            <rFont val="Tahoma"/>
            <family val="2"/>
          </rPr>
          <t xml:space="preserve">
either ^fine or woody and fully sunlight or grown under shade</t>
        </r>
      </text>
    </comment>
    <comment ref="Z111" authorId="0" shapeId="0" xr:uid="{44FAEEC7-08DA-4212-9174-A44B052FB9F4}">
      <text>
        <r>
          <rPr>
            <b/>
            <sz val="9"/>
            <color indexed="81"/>
            <rFont val="Tahoma"/>
            <family val="2"/>
          </rPr>
          <t>Juan Baca:</t>
        </r>
        <r>
          <rPr>
            <sz val="9"/>
            <color indexed="81"/>
            <rFont val="Tahoma"/>
            <family val="2"/>
          </rPr>
          <t xml:space="preserve">
Landsberg &amp;
Fowkes 1978</t>
        </r>
      </text>
    </comment>
    <comment ref="I123" authorId="0" shapeId="0" xr:uid="{DE85EFA6-B462-4BB6-A24B-0867D55D9330}">
      <text>
        <r>
          <rPr>
            <b/>
            <sz val="9"/>
            <color indexed="81"/>
            <rFont val="Tahoma"/>
            <family val="2"/>
          </rPr>
          <t>Juan Baca:</t>
        </r>
        <r>
          <rPr>
            <sz val="9"/>
            <color indexed="81"/>
            <rFont val="Tahoma"/>
            <family val="2"/>
          </rPr>
          <t xml:space="preserve">
no clear infromation about age</t>
        </r>
      </text>
    </comment>
    <comment ref="V123" authorId="0" shapeId="0" xr:uid="{C2390069-E103-4E0F-8720-B4A32830C560}">
      <text>
        <r>
          <rPr>
            <b/>
            <sz val="9"/>
            <color indexed="81"/>
            <rFont val="Tahoma"/>
            <family val="2"/>
          </rPr>
          <t>Juan Baca:</t>
        </r>
        <r>
          <rPr>
            <sz val="9"/>
            <color indexed="81"/>
            <rFont val="Tahoma"/>
            <family val="2"/>
          </rPr>
          <t xml:space="preserve">
data from table 1</t>
        </r>
      </text>
    </comment>
    <comment ref="V127" authorId="0" shapeId="0" xr:uid="{CFC98F41-96F3-438B-BB19-EF50A383F667}">
      <text>
        <r>
          <rPr>
            <b/>
            <sz val="9"/>
            <color indexed="81"/>
            <rFont val="Tahoma"/>
            <family val="2"/>
          </rPr>
          <t>Juan Baca:</t>
        </r>
        <r>
          <rPr>
            <sz val="9"/>
            <color indexed="81"/>
            <rFont val="Tahoma"/>
            <family val="2"/>
          </rPr>
          <t xml:space="preserve">
data from table 5</t>
        </r>
      </text>
    </comment>
    <comment ref="I129" authorId="0" shapeId="0" xr:uid="{2D0AF559-A82C-42CF-8CC1-527C023D3AC7}">
      <text>
        <r>
          <rPr>
            <b/>
            <sz val="9"/>
            <color indexed="81"/>
            <rFont val="Tahoma"/>
            <family val="2"/>
          </rPr>
          <t>Juan Baca:</t>
        </r>
        <r>
          <rPr>
            <sz val="9"/>
            <color indexed="81"/>
            <rFont val="Tahoma"/>
            <family val="2"/>
          </rPr>
          <t xml:space="preserve">
Seminal roots of
corn used were 7–10 d old, including the time for germination (page 635)</t>
        </r>
      </text>
    </comment>
    <comment ref="V129" authorId="0" shapeId="0" xr:uid="{DE325CEF-E103-4BC0-B382-ADCDB044A97A}">
      <text>
        <r>
          <rPr>
            <b/>
            <sz val="9"/>
            <color indexed="81"/>
            <rFont val="Tahoma"/>
            <family val="2"/>
          </rPr>
          <t>Juan Baca:</t>
        </r>
        <r>
          <rPr>
            <sz val="9"/>
            <color indexed="81"/>
            <rFont val="Tahoma"/>
            <family val="2"/>
          </rPr>
          <t xml:space="preserve">
all data from table 1</t>
        </r>
      </text>
    </comment>
    <comment ref="I130" authorId="0" shapeId="0" xr:uid="{ADD5CF20-85B3-4BA4-82CD-57E56FF781A2}">
      <text>
        <r>
          <rPr>
            <b/>
            <sz val="9"/>
            <color indexed="81"/>
            <rFont val="Tahoma"/>
            <family val="2"/>
          </rPr>
          <t>Juan Baca:</t>
        </r>
        <r>
          <rPr>
            <sz val="9"/>
            <color indexed="81"/>
            <rFont val="Tahoma"/>
            <family val="2"/>
          </rPr>
          <t xml:space="preserve">
Including the time for germination, seminal roots of barley used were 8–10 d old (page 635)</t>
        </r>
      </text>
    </comment>
    <comment ref="I131" authorId="0" shapeId="0" xr:uid="{99E3B59E-8038-473B-8142-1446375CEFC1}">
      <text>
        <r>
          <rPr>
            <b/>
            <sz val="9"/>
            <color indexed="81"/>
            <rFont val="Tahoma"/>
            <family val="2"/>
          </rPr>
          <t>Juan Baca:</t>
        </r>
        <r>
          <rPr>
            <sz val="9"/>
            <color indexed="81"/>
            <rFont val="Tahoma"/>
            <family val="2"/>
          </rPr>
          <t xml:space="preserve">
all experiements performed at 14 days afeter sowing (page 361)</t>
        </r>
      </text>
    </comment>
    <comment ref="V131" authorId="0" shapeId="0" xr:uid="{1CCE7BF9-0F92-4DE6-8B59-C662DA2F44F5}">
      <text>
        <r>
          <rPr>
            <b/>
            <sz val="9"/>
            <color indexed="81"/>
            <rFont val="Tahoma"/>
            <family val="2"/>
          </rPr>
          <t>Juan Baca:</t>
        </r>
        <r>
          <rPr>
            <sz val="9"/>
            <color indexed="81"/>
            <rFont val="Tahoma"/>
            <family val="2"/>
          </rPr>
          <t xml:space="preserve">
all data from table 2</t>
        </r>
      </text>
    </comment>
    <comment ref="I134" authorId="0" shapeId="0" xr:uid="{755506E2-3AC1-4976-B161-F7A09ED6D9D4}">
      <text>
        <r>
          <rPr>
            <b/>
            <sz val="9"/>
            <color indexed="81"/>
            <rFont val="Tahoma"/>
            <family val="2"/>
          </rPr>
          <t>Juan Baca:</t>
        </r>
        <r>
          <rPr>
            <sz val="9"/>
            <color indexed="81"/>
            <rFont val="Tahoma"/>
            <family val="2"/>
          </rPr>
          <t xml:space="preserve">
Total root length was measured in 5-day old seedlings (time 0 h) + duration of experiment (page 467) </t>
        </r>
      </text>
    </comment>
    <comment ref="I139" authorId="0" shapeId="0" xr:uid="{35DF26B1-B85C-4FCF-A590-701533A2F000}">
      <text>
        <r>
          <rPr>
            <b/>
            <sz val="9"/>
            <color indexed="81"/>
            <rFont val="Tahoma"/>
            <family val="2"/>
          </rPr>
          <t>Juan Baca:</t>
        </r>
        <r>
          <rPr>
            <sz val="9"/>
            <color indexed="81"/>
            <rFont val="Tahoma"/>
            <family val="2"/>
          </rPr>
          <t xml:space="preserve">
After 6 days of culture, the plants were transferred into a nutrient
solution with or without P. Nine seminal roots for each treatment were taken randomly for hydraulic conductivity measurements after 1, 4, 8 and 12 d of treatment. (page 602)</t>
        </r>
      </text>
    </comment>
    <comment ref="I147" authorId="0" shapeId="0" xr:uid="{E187B294-F7B0-4AA3-8DE0-1547ABC8E042}">
      <text>
        <r>
          <rPr>
            <b/>
            <sz val="9"/>
            <color indexed="81"/>
            <rFont val="Tahoma"/>
            <family val="2"/>
          </rPr>
          <t>Juan Baca:</t>
        </r>
        <r>
          <rPr>
            <sz val="9"/>
            <color indexed="81"/>
            <rFont val="Tahoma"/>
            <family val="2"/>
          </rPr>
          <t xml:space="preserve">
Ten to 14 d after planting</t>
        </r>
      </text>
    </comment>
    <comment ref="I159" authorId="0" shapeId="0" xr:uid="{7AF670DB-E614-4C82-982A-E0A6E4C935FD}">
      <text>
        <r>
          <rPr>
            <b/>
            <sz val="9"/>
            <color indexed="81"/>
            <rFont val="Tahoma"/>
            <family val="2"/>
          </rPr>
          <t>Juan Baca:</t>
        </r>
        <r>
          <rPr>
            <sz val="9"/>
            <color indexed="81"/>
            <rFont val="Tahoma"/>
            <family val="2"/>
          </rPr>
          <t xml:space="preserve">
The seedling was 15d old, and treated 10d before measurement (legend Fig1)</t>
        </r>
      </text>
    </comment>
    <comment ref="J159" authorId="0" shapeId="0" xr:uid="{3ED2D121-9302-475A-9E82-FFA05AD59C5A}">
      <text>
        <r>
          <rPr>
            <b/>
            <sz val="9"/>
            <color indexed="81"/>
            <rFont val="Tahoma"/>
            <family val="2"/>
          </rPr>
          <t>Juan Baca:</t>
        </r>
        <r>
          <rPr>
            <sz val="9"/>
            <color indexed="81"/>
            <rFont val="Tahoma"/>
            <family val="2"/>
          </rPr>
          <t xml:space="preserve">
drought induced by applying PEG to the nutrient solution</t>
        </r>
      </text>
    </comment>
    <comment ref="I165" authorId="0" shapeId="0" xr:uid="{4EFB1609-5F59-4973-8FC7-51FCEC94F855}">
      <text>
        <r>
          <rPr>
            <b/>
            <sz val="9"/>
            <color indexed="81"/>
            <rFont val="Tahoma"/>
            <family val="2"/>
          </rPr>
          <t>Juan Baca:</t>
        </r>
        <r>
          <rPr>
            <sz val="9"/>
            <color indexed="81"/>
            <rFont val="Tahoma"/>
            <family val="2"/>
          </rPr>
          <t xml:space="preserve">
21-27 days of treatment initiated in 15 day old plants (page 656)</t>
        </r>
      </text>
    </comment>
    <comment ref="V165" authorId="0" shapeId="0" xr:uid="{C123D3C4-744C-44AD-831E-72BECB138865}">
      <text>
        <r>
          <rPr>
            <b/>
            <sz val="9"/>
            <color indexed="81"/>
            <rFont val="Tahoma"/>
            <family val="2"/>
          </rPr>
          <t>Juan Baca:</t>
        </r>
        <r>
          <rPr>
            <sz val="9"/>
            <color indexed="81"/>
            <rFont val="Tahoma"/>
            <family val="2"/>
          </rPr>
          <t xml:space="preserve">
data from table 1</t>
        </r>
      </text>
    </comment>
    <comment ref="X165" authorId="0" shapeId="0" xr:uid="{143DC591-1F4D-4D7D-B492-57B04FF677C9}">
      <text>
        <r>
          <rPr>
            <b/>
            <sz val="9"/>
            <color indexed="81"/>
            <rFont val="Tahoma"/>
            <family val="2"/>
          </rPr>
          <t>Juan Baca:</t>
        </r>
        <r>
          <rPr>
            <sz val="9"/>
            <color indexed="81"/>
            <rFont val="Tahoma"/>
            <family val="2"/>
          </rPr>
          <t xml:space="preserve">
excised roots with tips (100–140 mm) were connected to a root
pressure probe (page 657)</t>
        </r>
      </text>
    </comment>
    <comment ref="I173" authorId="0" shapeId="0" xr:uid="{EA4F3A8B-30E0-42EC-9478-386EF31C38B4}">
      <text>
        <r>
          <rPr>
            <b/>
            <sz val="9"/>
            <color indexed="81"/>
            <rFont val="Tahoma"/>
            <family val="2"/>
          </rPr>
          <t>Juan Baca:</t>
        </r>
        <r>
          <rPr>
            <sz val="9"/>
            <color indexed="81"/>
            <rFont val="Tahoma"/>
            <family val="2"/>
          </rPr>
          <t xml:space="preserve">
L. angustifolius plants grown for about 1 month in observation boxes (page 103)</t>
        </r>
      </text>
    </comment>
    <comment ref="V173" authorId="0" shapeId="0" xr:uid="{43F57346-CD77-488F-9E34-15C50C1B18F4}">
      <text>
        <r>
          <rPr>
            <b/>
            <sz val="9"/>
            <color indexed="81"/>
            <rFont val="Tahoma"/>
            <family val="2"/>
          </rPr>
          <t>Juan Baca:</t>
        </r>
        <r>
          <rPr>
            <sz val="9"/>
            <color indexed="81"/>
            <rFont val="Tahoma"/>
            <family val="2"/>
          </rPr>
          <t xml:space="preserve">
Lr was around 10)6 m s)1 MPa)1 with no clear variation along or between roots (page 103)</t>
        </r>
      </text>
    </comment>
    <comment ref="I174" authorId="0" shapeId="0" xr:uid="{EAB8B6BD-83FF-4626-94E6-A944F949A794}">
      <text>
        <r>
          <rPr>
            <b/>
            <sz val="9"/>
            <color indexed="81"/>
            <rFont val="Tahoma"/>
            <family val="2"/>
          </rPr>
          <t>Juan Baca:</t>
        </r>
        <r>
          <rPr>
            <sz val="9"/>
            <color indexed="81"/>
            <rFont val="Tahoma"/>
            <family val="2"/>
          </rPr>
          <t xml:space="preserve">
Seedlings, as experimental materials, with six leaves and one core and no culm, were grown for approximately 35 d, including germination time, prior to the measurement of
relevant parameters of wheat roots (page 304)</t>
        </r>
      </text>
    </comment>
    <comment ref="V174" authorId="0" shapeId="0" xr:uid="{3C135F32-1674-4F48-9250-A263A0752A55}">
      <text>
        <r>
          <rPr>
            <b/>
            <sz val="9"/>
            <color indexed="81"/>
            <rFont val="Tahoma"/>
            <family val="2"/>
          </rPr>
          <t>Juan Baca:</t>
        </r>
        <r>
          <rPr>
            <sz val="9"/>
            <color indexed="81"/>
            <rFont val="Tahoma"/>
            <family val="2"/>
          </rPr>
          <t xml:space="preserve">
Data from table 1  (Lpsr)</t>
        </r>
      </text>
    </comment>
    <comment ref="I180" authorId="0" shapeId="0" xr:uid="{9A3C055C-DA4A-4B0D-AB42-41DF361F12A5}">
      <text>
        <r>
          <rPr>
            <b/>
            <sz val="9"/>
            <color indexed="81"/>
            <rFont val="Tahoma"/>
            <family val="2"/>
          </rPr>
          <t>Juan Baca:</t>
        </r>
        <r>
          <rPr>
            <sz val="9"/>
            <color indexed="81"/>
            <rFont val="Tahoma"/>
            <family val="2"/>
          </rPr>
          <t xml:space="preserve">
After 45 d in wet soil, main roots arising from the stem were 300–350 mm long (page 220)</t>
        </r>
      </text>
    </comment>
    <comment ref="J180" authorId="0" shapeId="0" xr:uid="{746EA7E9-1417-48D7-B6D8-85F0FD3D003C}">
      <text>
        <r>
          <rPr>
            <b/>
            <sz val="9"/>
            <color indexed="81"/>
            <rFont val="Tahoma"/>
            <family val="2"/>
          </rPr>
          <t>Juan Baca:</t>
        </r>
        <r>
          <rPr>
            <sz val="9"/>
            <color indexed="81"/>
            <rFont val="Tahoma"/>
            <family val="2"/>
          </rPr>
          <t xml:space="preserve">
AQP inhibition achieved by applying HgCl2</t>
        </r>
      </text>
    </comment>
    <comment ref="S180" authorId="0" shapeId="0" xr:uid="{70718D40-3EBB-435A-9FDC-A61045306F20}">
      <text>
        <r>
          <rPr>
            <b/>
            <sz val="9"/>
            <color indexed="81"/>
            <rFont val="Tahoma"/>
            <family val="2"/>
          </rPr>
          <t>Juan Baca:</t>
        </r>
        <r>
          <rPr>
            <sz val="9"/>
            <color indexed="81"/>
            <rFont val="Tahoma"/>
            <family val="2"/>
          </rPr>
          <t xml:space="preserve">
defined as diistal = 80mm to tip, mid-root = 130-210 mm to the tip and basal = 10-90 mm from the base (page 220)</t>
        </r>
      </text>
    </comment>
    <comment ref="Y180" authorId="0" shapeId="0" xr:uid="{684CAB65-E284-4C5A-8333-BD7A480335BE}">
      <text>
        <r>
          <rPr>
            <b/>
            <sz val="9"/>
            <color indexed="81"/>
            <rFont val="Tahoma"/>
            <family val="2"/>
          </rPr>
          <t>Juan Baca:</t>
        </r>
        <r>
          <rPr>
            <sz val="9"/>
            <color indexed="81"/>
            <rFont val="Tahoma"/>
            <family val="2"/>
          </rPr>
          <t xml:space="preserve">
main roots arising  from the stem were 300–350 mm long and averaged 3.6 mm in diameter (page 220)</t>
        </r>
      </text>
    </comment>
    <comment ref="I198" authorId="0" shapeId="0" xr:uid="{705E076D-E05D-4B01-8ECC-DA05BF5DC347}">
      <text>
        <r>
          <rPr>
            <b/>
            <sz val="9"/>
            <color indexed="81"/>
            <rFont val="Tahoma"/>
            <family val="2"/>
          </rPr>
          <t>Juan Baca:</t>
        </r>
        <r>
          <rPr>
            <sz val="9"/>
            <color indexed="81"/>
            <rFont val="Tahoma"/>
            <family val="2"/>
          </rPr>
          <t xml:space="preserve">
Plants used in experiments were grown for 31–40 days (page 194)</t>
        </r>
      </text>
    </comment>
    <comment ref="S198" authorId="0" shapeId="0" xr:uid="{7744D87E-D2E5-46E5-BAED-7B34BDCD7BA5}">
      <text>
        <r>
          <rPr>
            <b/>
            <sz val="9"/>
            <color indexed="81"/>
            <rFont val="Tahoma"/>
            <family val="2"/>
          </rPr>
          <t>Juan Baca:</t>
        </r>
        <r>
          <rPr>
            <sz val="9"/>
            <color indexed="81"/>
            <rFont val="Tahoma"/>
            <family val="2"/>
          </rPr>
          <t xml:space="preserve">
excised end segments
of individual roots (i.e. tips intact) were tightly connected to a root
pressure probe (page 195)</t>
        </r>
      </text>
    </comment>
    <comment ref="V198" authorId="0" shapeId="0" xr:uid="{576C184E-6CC9-4116-A616-4FEA49FB0526}">
      <text>
        <r>
          <rPr>
            <b/>
            <sz val="9"/>
            <color indexed="81"/>
            <rFont val="Tahoma"/>
            <family val="2"/>
          </rPr>
          <t>Juan Baca:</t>
        </r>
        <r>
          <rPr>
            <sz val="9"/>
            <color indexed="81"/>
            <rFont val="Tahoma"/>
            <family val="2"/>
          </rPr>
          <t xml:space="preserve">
data from table 1</t>
        </r>
      </text>
    </comment>
    <comment ref="X198" authorId="0" shapeId="0" xr:uid="{E334743B-D05E-4CA4-81CC-D4AF0589362C}">
      <text>
        <r>
          <rPr>
            <b/>
            <sz val="9"/>
            <color indexed="81"/>
            <rFont val="Tahoma"/>
            <family val="2"/>
          </rPr>
          <t>Juan Baca:</t>
        </r>
        <r>
          <rPr>
            <sz val="9"/>
            <color indexed="81"/>
            <rFont val="Tahoma"/>
            <family val="2"/>
          </rPr>
          <t xml:space="preserve">
Segments had lengths of 150–200 mm and diameters of 0.8–1.2 mm for Azucena or 0.6–1.0 mm for IR64 (page 195)</t>
        </r>
      </text>
    </comment>
    <comment ref="I202" authorId="0" shapeId="0" xr:uid="{0B9E7338-A9E5-4D92-BC13-51516AE669AB}">
      <text>
        <r>
          <rPr>
            <b/>
            <sz val="9"/>
            <color indexed="81"/>
            <rFont val="Tahoma"/>
            <family val="2"/>
          </rPr>
          <t>Juan Baca:</t>
        </r>
        <r>
          <rPr>
            <sz val="9"/>
            <color indexed="81"/>
            <rFont val="Tahoma"/>
            <family val="2"/>
          </rPr>
          <t xml:space="preserve">
The experiments were carried out with intact roots of three to five-dayold seedlings (page 370)</t>
        </r>
      </text>
    </comment>
    <comment ref="V202" authorId="0" shapeId="0" xr:uid="{1C18A8E5-F5B7-4E94-96A0-BF5D7D123666}">
      <text>
        <r>
          <rPr>
            <b/>
            <sz val="9"/>
            <color indexed="81"/>
            <rFont val="Tahoma"/>
            <family val="2"/>
          </rPr>
          <t>Juan Baca:</t>
        </r>
        <r>
          <rPr>
            <sz val="9"/>
            <color indexed="81"/>
            <rFont val="Tahoma"/>
            <family val="2"/>
          </rPr>
          <t xml:space="preserve">
data from table 1 (page 373)</t>
        </r>
      </text>
    </comment>
    <comment ref="X202" authorId="0" shapeId="0" xr:uid="{9A54800B-5886-477A-B09F-3CDDCDE676E4}">
      <text>
        <r>
          <rPr>
            <b/>
            <sz val="9"/>
            <color indexed="81"/>
            <rFont val="Tahoma"/>
            <family val="2"/>
          </rPr>
          <t>Juan Baca:</t>
        </r>
        <r>
          <rPr>
            <sz val="9"/>
            <color indexed="81"/>
            <rFont val="Tahoma"/>
            <family val="2"/>
          </rPr>
          <t xml:space="preserve">
The root length was 3–6 cm (page 370)</t>
        </r>
      </text>
    </comment>
    <comment ref="I206" authorId="0" shapeId="0" xr:uid="{69B7140F-3B47-4915-A0F9-295D56255507}">
      <text>
        <r>
          <rPr>
            <b/>
            <sz val="9"/>
            <color indexed="81"/>
            <rFont val="Tahoma"/>
            <family val="2"/>
          </rPr>
          <t>Juan Baca:</t>
        </r>
        <r>
          <rPr>
            <sz val="9"/>
            <color indexed="81"/>
            <rFont val="Tahoma"/>
            <family val="2"/>
          </rPr>
          <t xml:space="preserve">
Plants used in experiments were grown for 31–40 d including the time for
germination (page 1836)</t>
        </r>
      </text>
    </comment>
    <comment ref="S206" authorId="0" shapeId="0" xr:uid="{45DCA08D-C18C-4A8D-AFA9-37AB34FD8DEB}">
      <text>
        <r>
          <rPr>
            <b/>
            <sz val="9"/>
            <color indexed="81"/>
            <rFont val="Tahoma"/>
            <family val="2"/>
          </rPr>
          <t>Juan Baca:</t>
        </r>
        <r>
          <rPr>
            <sz val="9"/>
            <color indexed="81"/>
            <rFont val="Tahoma"/>
            <family val="2"/>
          </rPr>
          <t xml:space="preserve">
excised end segments of individual roots (root tips)
were tightly connected to a root pressure probe (page 1838)</t>
        </r>
      </text>
    </comment>
    <comment ref="V206" authorId="0" shapeId="0" xr:uid="{7F9BA07F-3ABA-46AA-BA00-7BB27980443A}">
      <text>
        <r>
          <rPr>
            <b/>
            <sz val="9"/>
            <color indexed="81"/>
            <rFont val="Tahoma"/>
            <family val="2"/>
          </rPr>
          <t>Juan Baca:</t>
        </r>
        <r>
          <rPr>
            <sz val="9"/>
            <color indexed="81"/>
            <rFont val="Tahoma"/>
            <family val="2"/>
          </rPr>
          <t xml:space="preserve">
data from table 2</t>
        </r>
      </text>
    </comment>
    <comment ref="X206" authorId="0" shapeId="0" xr:uid="{A2B720EB-302B-4795-A383-15720ED3B4AD}">
      <text>
        <r>
          <rPr>
            <b/>
            <sz val="9"/>
            <color indexed="81"/>
            <rFont val="Tahoma"/>
            <family val="2"/>
          </rPr>
          <t>Juan Baca:</t>
        </r>
        <r>
          <rPr>
            <sz val="9"/>
            <color indexed="81"/>
            <rFont val="Tahoma"/>
            <family val="2"/>
          </rPr>
          <t xml:space="preserve">
Segments had lengths of 125–235 mm and diameters of 0.7–1.2 mm for Azucena or 0.5–0.9 mm for IR64 (page 1838)</t>
        </r>
      </text>
    </comment>
    <comment ref="I214" authorId="0" shapeId="0" xr:uid="{650C2B71-FDDE-45A3-952A-399FEE3D6C34}">
      <text>
        <r>
          <rPr>
            <b/>
            <sz val="9"/>
            <color indexed="81"/>
            <rFont val="Tahoma"/>
            <family val="2"/>
          </rPr>
          <t>Juan Baca:</t>
        </r>
        <r>
          <rPr>
            <sz val="9"/>
            <color indexed="81"/>
            <rFont val="Tahoma"/>
            <family val="2"/>
          </rPr>
          <t xml:space="preserve">
New roots arising from the stem or from old woody
roots were 250 to 300 mm long and averaged 1.8 mm in diameter after 30 d in wet soil (page 359) + 45 days soil drying</t>
        </r>
      </text>
    </comment>
    <comment ref="J214" authorId="0" shapeId="0" xr:uid="{2509F725-699B-4FA7-A8BC-273B50B44936}">
      <text>
        <r>
          <rPr>
            <b/>
            <sz val="9"/>
            <color indexed="81"/>
            <rFont val="Tahoma"/>
            <family val="2"/>
          </rPr>
          <t>Juan Baca:</t>
        </r>
        <r>
          <rPr>
            <sz val="9"/>
            <color indexed="81"/>
            <rFont val="Tahoma"/>
            <family val="2"/>
          </rPr>
          <t xml:space="preserve">
AQP inhibition achieved by applying HgCl2</t>
        </r>
      </text>
    </comment>
    <comment ref="S214" authorId="0" shapeId="0" xr:uid="{5F09C2DC-E229-4F07-B513-073632E3E814}">
      <text>
        <r>
          <rPr>
            <b/>
            <sz val="9"/>
            <color indexed="81"/>
            <rFont val="Tahoma"/>
            <family val="2"/>
          </rPr>
          <t>Juan Baca:</t>
        </r>
        <r>
          <rPr>
            <sz val="9"/>
            <color indexed="81"/>
            <rFont val="Tahoma"/>
            <family val="2"/>
          </rPr>
          <t xml:space="preserve">
distal, from the tip to 80 mm back; and mid-root, from 120 to 200 mm back from the tip (page 359)</t>
        </r>
      </text>
    </comment>
    <comment ref="X214" authorId="0" shapeId="0" xr:uid="{4FD46767-1915-459A-B4B1-3A6D84224DA8}">
      <text>
        <r>
          <rPr>
            <b/>
            <sz val="9"/>
            <color indexed="81"/>
            <rFont val="Tahoma"/>
            <family val="2"/>
          </rPr>
          <t>Juan Baca:</t>
        </r>
        <r>
          <rPr>
            <sz val="9"/>
            <color indexed="81"/>
            <rFont val="Tahoma"/>
            <family val="2"/>
          </rPr>
          <t xml:space="preserve">
 was measured on individual distal and mid-root regions that were 60 to 80 mm long (page 359)</t>
        </r>
      </text>
    </comment>
    <comment ref="Y214" authorId="0" shapeId="0" xr:uid="{D3710B5C-1883-4AA8-9094-AE3EC8408A74}">
      <text>
        <r>
          <rPr>
            <b/>
            <sz val="9"/>
            <color indexed="81"/>
            <rFont val="Tahoma"/>
            <family val="2"/>
          </rPr>
          <t>Juan Baca:</t>
        </r>
        <r>
          <rPr>
            <sz val="9"/>
            <color indexed="81"/>
            <rFont val="Tahoma"/>
            <family val="2"/>
          </rPr>
          <t xml:space="preserve">
New roots arising from the stem or from old woody roots were 250 to 300 mm long and averaged 1.8 mm in
diameter (page 359)</t>
        </r>
      </text>
    </comment>
    <comment ref="I226" authorId="0" shapeId="0" xr:uid="{A87CEFC4-674F-4E96-A8E3-AEB732A2F82E}">
      <text>
        <r>
          <rPr>
            <b/>
            <sz val="9"/>
            <color indexed="81"/>
            <rFont val="Tahoma"/>
            <family val="2"/>
          </rPr>
          <t>Juan Baca:</t>
        </r>
        <r>
          <rPr>
            <sz val="9"/>
            <color indexed="81"/>
            <rFont val="Tahoma"/>
            <family val="2"/>
          </rPr>
          <t xml:space="preserve">
age data included in table 1</t>
        </r>
      </text>
    </comment>
    <comment ref="S226" authorId="0" shapeId="0" xr:uid="{B4F77BD9-98C9-419B-AC97-CF976747067A}">
      <text>
        <r>
          <rPr>
            <b/>
            <sz val="9"/>
            <color indexed="81"/>
            <rFont val="Tahoma"/>
            <family val="2"/>
          </rPr>
          <t>Juan Baca:</t>
        </r>
        <r>
          <rPr>
            <sz val="9"/>
            <color indexed="81"/>
            <rFont val="Tahoma"/>
            <family val="2"/>
          </rPr>
          <t xml:space="preserve">
The younger half (zone I) had no visible lateral roots. It ranged from the root tip to the middle of the root (up to 122– 187 mm) (page 304)</t>
        </r>
      </text>
    </comment>
    <comment ref="V226" authorId="0" shapeId="0" xr:uid="{98D8A9AF-DD22-4AAD-96EA-FD2B3C4AE47B}">
      <text>
        <r>
          <rPr>
            <b/>
            <sz val="9"/>
            <color indexed="81"/>
            <rFont val="Tahoma"/>
            <family val="2"/>
          </rPr>
          <t>Juan Baca:</t>
        </r>
        <r>
          <rPr>
            <sz val="9"/>
            <color indexed="81"/>
            <rFont val="Tahoma"/>
            <family val="2"/>
          </rPr>
          <t xml:space="preserve">
all data from table 1</t>
        </r>
      </text>
    </comment>
    <comment ref="I238" authorId="0" shapeId="0" xr:uid="{19FC1E33-9C74-42F2-BB16-657B45C71FA8}">
      <text>
        <r>
          <rPr>
            <b/>
            <sz val="9"/>
            <color indexed="81"/>
            <rFont val="Tahoma"/>
            <family val="2"/>
          </rPr>
          <t>Juan Baca:</t>
        </r>
        <r>
          <rPr>
            <sz val="9"/>
            <color indexed="81"/>
            <rFont val="Tahoma"/>
            <family val="2"/>
          </rPr>
          <t xml:space="preserve">
root age as estimated from length and growth rates
determined previously (North and Nobel, 1998) ranged from approx. 1–5–2–5 months (page 248) + 45 days of drought</t>
        </r>
      </text>
    </comment>
    <comment ref="J238" authorId="0" shapeId="0" xr:uid="{BA33A691-853A-4921-BFC4-6CB9321F910B}">
      <text>
        <r>
          <rPr>
            <b/>
            <sz val="9"/>
            <color indexed="81"/>
            <rFont val="Tahoma"/>
            <family val="2"/>
          </rPr>
          <t>Juan Baca:</t>
        </r>
        <r>
          <rPr>
            <sz val="9"/>
            <color indexed="81"/>
            <rFont val="Tahoma"/>
            <family val="2"/>
          </rPr>
          <t xml:space="preserve">
AQP inhibition achieved by applying HgCl2</t>
        </r>
      </text>
    </comment>
    <comment ref="X238" authorId="0" shapeId="0" xr:uid="{25C0E1CC-8B58-4CD9-9FA9-4B860944F4C5}">
      <text>
        <r>
          <rPr>
            <b/>
            <sz val="9"/>
            <color indexed="81"/>
            <rFont val="Tahoma"/>
            <family val="2"/>
          </rPr>
          <t>Juan Baca:</t>
        </r>
        <r>
          <rPr>
            <sz val="9"/>
            <color indexed="81"/>
            <rFont val="Tahoma"/>
            <family val="2"/>
          </rPr>
          <t xml:space="preserve">
Segments were trimmed to 70 mm under water with a razor blade (page 249)</t>
        </r>
      </text>
    </comment>
    <comment ref="I242" authorId="0" shapeId="0" xr:uid="{9561490B-65AB-472A-B5FF-9F263D5D2E14}">
      <text>
        <r>
          <rPr>
            <b/>
            <sz val="9"/>
            <color indexed="81"/>
            <rFont val="Tahoma"/>
            <family val="2"/>
          </rPr>
          <t>Juan Baca:</t>
        </r>
        <r>
          <rPr>
            <sz val="9"/>
            <color indexed="81"/>
            <rFont val="Tahoma"/>
            <family val="2"/>
          </rPr>
          <t xml:space="preserve">
Roots were 15–17 mm long after 9–10 d of culture when they were taken for experiments</t>
        </r>
      </text>
    </comment>
    <comment ref="J242" authorId="0" shapeId="0" xr:uid="{D660D59E-1B51-4FB8-A10E-E1B184C16C09}">
      <text>
        <r>
          <rPr>
            <b/>
            <sz val="9"/>
            <color indexed="81"/>
            <rFont val="Tahoma"/>
            <family val="2"/>
          </rPr>
          <t>Juan Baca:</t>
        </r>
        <r>
          <rPr>
            <sz val="9"/>
            <color indexed="81"/>
            <rFont val="Tahoma"/>
            <family val="2"/>
          </rPr>
          <t xml:space="preserve">
AQP inhibition achieved by applying HgCl2</t>
        </r>
      </text>
    </comment>
    <comment ref="I248" authorId="0" shapeId="0" xr:uid="{49A04541-38D1-4C97-919D-7D816B667731}">
      <text>
        <r>
          <rPr>
            <b/>
            <sz val="9"/>
            <color indexed="81"/>
            <rFont val="Tahoma"/>
            <family val="2"/>
          </rPr>
          <t>Juan Baca:</t>
        </r>
        <r>
          <rPr>
            <sz val="9"/>
            <color indexed="81"/>
            <rFont val="Tahoma"/>
            <family val="2"/>
          </rPr>
          <t xml:space="preserve">
Primary roots (i.e. the radicle) of 6–7 day old plants were used in all experiments. (page 746 of accompanying publication)</t>
        </r>
      </text>
    </comment>
    <comment ref="V248" authorId="0" shapeId="0" xr:uid="{FC409A74-F6B2-4C5E-BA00-1F876BC1AEB4}">
      <text>
        <r>
          <rPr>
            <b/>
            <sz val="9"/>
            <color indexed="81"/>
            <rFont val="Tahoma"/>
            <family val="2"/>
          </rPr>
          <t>Juan Baca:</t>
        </r>
        <r>
          <rPr>
            <sz val="9"/>
            <color indexed="81"/>
            <rFont val="Tahoma"/>
            <family val="2"/>
          </rPr>
          <t xml:space="preserve">
data from table 1
</t>
        </r>
      </text>
    </comment>
    <comment ref="X248" authorId="0" shapeId="0" xr:uid="{A90F7097-687E-4D51-BA8E-CF71BA7F4EA5}">
      <text>
        <r>
          <rPr>
            <b/>
            <sz val="9"/>
            <color indexed="81"/>
            <rFont val="Tahoma"/>
            <family val="2"/>
          </rPr>
          <t>Juan Baca:</t>
        </r>
        <r>
          <rPr>
            <sz val="9"/>
            <color indexed="81"/>
            <rFont val="Tahoma"/>
            <family val="2"/>
          </rPr>
          <t xml:space="preserve">
Data are from four experiments with primary roots between 95–151 mm long. (legend table 1)</t>
        </r>
      </text>
    </comment>
    <comment ref="V256" authorId="0" shapeId="0" xr:uid="{01418E0A-5283-42F6-A579-6E985010AA55}">
      <text>
        <r>
          <rPr>
            <b/>
            <sz val="9"/>
            <color indexed="81"/>
            <rFont val="Tahoma"/>
            <family val="2"/>
          </rPr>
          <t>Juan Baca:</t>
        </r>
        <r>
          <rPr>
            <sz val="9"/>
            <color indexed="81"/>
            <rFont val="Tahoma"/>
            <family val="2"/>
          </rPr>
          <t xml:space="preserve">
data from table 2</t>
        </r>
      </text>
    </comment>
    <comment ref="V257" authorId="0" shapeId="0" xr:uid="{EFC16BAF-D726-4334-AA3F-4151AE5774D1}">
      <text>
        <r>
          <rPr>
            <b/>
            <sz val="9"/>
            <color indexed="81"/>
            <rFont val="Tahoma"/>
            <family val="2"/>
          </rPr>
          <t>Juan Baca:</t>
        </r>
        <r>
          <rPr>
            <sz val="9"/>
            <color indexed="81"/>
            <rFont val="Tahoma"/>
            <family val="2"/>
          </rPr>
          <t xml:space="preserve">
data from table 2</t>
        </r>
      </text>
    </comment>
    <comment ref="I258" authorId="0" shapeId="0" xr:uid="{808F3677-C072-4B2B-A311-184D3C9DB830}">
      <text>
        <r>
          <rPr>
            <b/>
            <sz val="9"/>
            <color indexed="81"/>
            <rFont val="Tahoma"/>
            <family val="2"/>
          </rPr>
          <t>Juan Baca:</t>
        </r>
        <r>
          <rPr>
            <sz val="9"/>
            <color indexed="81"/>
            <rFont val="Tahoma"/>
            <family val="2"/>
          </rPr>
          <t xml:space="preserve">
14 d of growth of cladodes + 7 or 14 day of soil drying + 4 days of rewetting</t>
        </r>
      </text>
    </comment>
    <comment ref="S258" authorId="0" shapeId="0" xr:uid="{F8CB5B0F-5E9A-4D5C-963C-6401446F6BFD}">
      <text>
        <r>
          <rPr>
            <b/>
            <sz val="9"/>
            <color indexed="81"/>
            <rFont val="Tahoma"/>
            <family val="2"/>
          </rPr>
          <t>Juan Baca:</t>
        </r>
        <r>
          <rPr>
            <sz val="9"/>
            <color indexed="81"/>
            <rFont val="Tahoma"/>
            <family val="2"/>
          </rPr>
          <t xml:space="preserve">
and then cut with a razor blade to produce apical segments 50 mm long that included the root tip. (page 77)</t>
        </r>
      </text>
    </comment>
    <comment ref="X258" authorId="0" shapeId="0" xr:uid="{080419D9-E035-46C8-9BFD-EEB2292E572E}">
      <text>
        <r>
          <rPr>
            <b/>
            <sz val="9"/>
            <color indexed="81"/>
            <rFont val="Tahoma"/>
            <family val="2"/>
          </rPr>
          <t>Juan Baca:</t>
        </r>
        <r>
          <rPr>
            <sz val="9"/>
            <color indexed="81"/>
            <rFont val="Tahoma"/>
            <family val="2"/>
          </rPr>
          <t xml:space="preserve">
with a razor blade to produce apical segments
50 mm long that included the root tip (page 77)</t>
        </r>
      </text>
    </comment>
    <comment ref="I261" authorId="0" shapeId="0" xr:uid="{66AB2B7A-F7CA-4644-9F51-EA51CF75F3CA}">
      <text>
        <r>
          <rPr>
            <b/>
            <sz val="9"/>
            <color indexed="81"/>
            <rFont val="Tahoma"/>
            <family val="2"/>
          </rPr>
          <t>Juan Baca:</t>
        </r>
        <r>
          <rPr>
            <sz val="9"/>
            <color indexed="81"/>
            <rFont val="Tahoma"/>
            <family val="2"/>
          </rPr>
          <t xml:space="preserve">
Germinated seeds were
cultured under aeration in darkness for 4-5 days (page 436) + 1 day germination</t>
        </r>
      </text>
    </comment>
    <comment ref="J261" authorId="0" shapeId="0" xr:uid="{81B0CD36-F9BB-478D-999B-B2B36FA2F59C}">
      <text>
        <r>
          <rPr>
            <b/>
            <sz val="9"/>
            <color indexed="81"/>
            <rFont val="Tahoma"/>
            <family val="2"/>
          </rPr>
          <t>Juan Baca:</t>
        </r>
        <r>
          <rPr>
            <sz val="9"/>
            <color indexed="81"/>
            <rFont val="Tahoma"/>
            <family val="2"/>
          </rPr>
          <t xml:space="preserve">
AQP inhibition achieved by applying HgCL2; with infiltration is meant pressurizing water though the roots (so sort of hydrostatic pressure)</t>
        </r>
      </text>
    </comment>
    <comment ref="S261" authorId="0" shapeId="0" xr:uid="{FA2D1834-31E2-4BF0-B4FC-692CFC7C5916}">
      <text>
        <r>
          <rPr>
            <b/>
            <sz val="9"/>
            <color indexed="81"/>
            <rFont val="Tahoma"/>
            <family val="2"/>
          </rPr>
          <t>Juan Baca:</t>
        </r>
        <r>
          <rPr>
            <sz val="9"/>
            <color indexed="81"/>
            <rFont val="Tahoma"/>
            <family val="2"/>
          </rPr>
          <t xml:space="preserve">
the main resistance to transroot
osmosis under the present experimental condition is
assumed to be offered by the apical part in A (page 436)</t>
        </r>
      </text>
    </comment>
    <comment ref="V261" authorId="0" shapeId="0" xr:uid="{DBDEF6E9-F0B0-4467-8E6C-FEB93C8CE6FE}">
      <text>
        <r>
          <rPr>
            <b/>
            <sz val="9"/>
            <color indexed="81"/>
            <rFont val="Tahoma"/>
            <family val="2"/>
          </rPr>
          <t>Juan Baca:</t>
        </r>
        <r>
          <rPr>
            <sz val="9"/>
            <color indexed="81"/>
            <rFont val="Tahoma"/>
            <family val="2"/>
          </rPr>
          <t xml:space="preserve">
data from table 3</t>
        </r>
      </text>
    </comment>
    <comment ref="I265" authorId="0" shapeId="0" xr:uid="{A1E5740F-BED5-45A6-AD8D-AC8F3A264AB6}">
      <text>
        <r>
          <rPr>
            <b/>
            <sz val="9"/>
            <color indexed="81"/>
            <rFont val="Tahoma"/>
            <family val="2"/>
          </rPr>
          <t>Juan Baca:</t>
        </r>
        <r>
          <rPr>
            <sz val="9"/>
            <color indexed="81"/>
            <rFont val="Tahoma"/>
            <family val="2"/>
          </rPr>
          <t xml:space="preserve">
These roots were allowed to grow for a further 7 d, and the plants were then
transferred to treatment solutions and exposed for 24 h to pH 6.0 or 4.5 or to pH 4.5 plus 50 p~ Al (page 596) </t>
        </r>
      </text>
    </comment>
    <comment ref="V265" authorId="0" shapeId="0" xr:uid="{C3477500-92F5-47BD-A050-BE015A2017E2}">
      <text>
        <r>
          <rPr>
            <b/>
            <sz val="9"/>
            <color indexed="81"/>
            <rFont val="Tahoma"/>
            <family val="2"/>
          </rPr>
          <t>Juan Baca:</t>
        </r>
        <r>
          <rPr>
            <sz val="9"/>
            <color indexed="81"/>
            <rFont val="Tahoma"/>
            <family val="2"/>
          </rPr>
          <t xml:space="preserve">
data from table 1 (exosmotic experiiments)</t>
        </r>
      </text>
    </comment>
    <comment ref="I271" authorId="0" shapeId="0" xr:uid="{EABBC004-8D01-4599-8C23-2F5DB5E8540B}">
      <text>
        <r>
          <rPr>
            <b/>
            <sz val="9"/>
            <color indexed="81"/>
            <rFont val="Tahoma"/>
            <family val="2"/>
          </rPr>
          <t>Juan Baca:</t>
        </r>
        <r>
          <rPr>
            <sz val="9"/>
            <color indexed="81"/>
            <rFont val="Tahoma"/>
            <family val="2"/>
          </rPr>
          <t xml:space="preserve">
Little further elongation occurred in wet or drying soil due to the natural death of most main root tips about 40 d after
initiation</t>
        </r>
      </text>
    </comment>
    <comment ref="R271" authorId="0" shapeId="0" xr:uid="{55763FD1-7DAC-4B8C-854F-722F65260541}">
      <text>
        <r>
          <rPr>
            <b/>
            <sz val="9"/>
            <color indexed="81"/>
            <rFont val="Tahoma"/>
            <family val="2"/>
          </rPr>
          <t>Juan Baca:</t>
        </r>
        <r>
          <rPr>
            <sz val="9"/>
            <color indexed="81"/>
            <rFont val="Tahoma"/>
            <family val="2"/>
          </rPr>
          <t xml:space="preserve">
Two regions of main roots and of first-order lateral roots were examined (page 134)</t>
        </r>
      </text>
    </comment>
    <comment ref="I279" authorId="0" shapeId="0" xr:uid="{2CAB8182-162E-4FDE-9CA1-488293064510}">
      <text>
        <r>
          <rPr>
            <b/>
            <sz val="9"/>
            <color indexed="81"/>
            <rFont val="Tahoma"/>
            <family val="2"/>
          </rPr>
          <t>Juan Baca:</t>
        </r>
        <r>
          <rPr>
            <sz val="9"/>
            <color indexed="81"/>
            <rFont val="Tahoma"/>
            <family val="2"/>
          </rPr>
          <t xml:space="preserve">
 except that, in the present study, we
used plants which were 10-14 d old and had already developed
laterals (page 350)</t>
        </r>
      </text>
    </comment>
    <comment ref="I282" authorId="0" shapeId="0" xr:uid="{B3D53378-0C8B-4330-B560-5C265389362A}">
      <text>
        <r>
          <rPr>
            <b/>
            <sz val="9"/>
            <color indexed="81"/>
            <rFont val="Tahoma"/>
            <family val="2"/>
          </rPr>
          <t>Juan Baca:</t>
        </r>
        <r>
          <rPr>
            <sz val="9"/>
            <color indexed="81"/>
            <rFont val="Tahoma"/>
            <family val="2"/>
          </rPr>
          <t xml:space="preserve">
 except that, in the present study, we
used plants which were 10-14 d old and had already developed
laterals (page 350)</t>
        </r>
      </text>
    </comment>
    <comment ref="I285" authorId="0" shapeId="0" xr:uid="{69D42E61-8A6A-4443-89F6-D781DF2C106E}">
      <text>
        <r>
          <rPr>
            <b/>
            <sz val="9"/>
            <color indexed="81"/>
            <rFont val="Tahoma"/>
            <family val="2"/>
          </rPr>
          <t>Juan Baca:</t>
        </r>
        <r>
          <rPr>
            <sz val="9"/>
            <color indexed="81"/>
            <rFont val="Tahoma"/>
            <family val="2"/>
          </rPr>
          <t xml:space="preserve">
Plants were 7 to 14 d old when used in experiments (page 336)</t>
        </r>
      </text>
    </comment>
    <comment ref="V285" authorId="0" shapeId="0" xr:uid="{652DB9E7-EDA5-48A2-A99C-5E173E7EBFA2}">
      <text>
        <r>
          <rPr>
            <b/>
            <sz val="9"/>
            <color indexed="81"/>
            <rFont val="Tahoma"/>
            <family val="2"/>
          </rPr>
          <t>Juan Baca:</t>
        </r>
        <r>
          <rPr>
            <sz val="9"/>
            <color indexed="81"/>
            <rFont val="Tahoma"/>
            <family val="2"/>
          </rPr>
          <t xml:space="preserve">
data from table 3</t>
        </r>
      </text>
    </comment>
    <comment ref="X285" authorId="0" shapeId="0" xr:uid="{109C3649-F0A5-463D-AACE-611C9E892528}">
      <text>
        <r>
          <rPr>
            <b/>
            <sz val="9"/>
            <color indexed="81"/>
            <rFont val="Tahoma"/>
            <family val="2"/>
          </rPr>
          <t>Juan Baca:</t>
        </r>
        <r>
          <rPr>
            <sz val="9"/>
            <color indexed="81"/>
            <rFont val="Tahoma"/>
            <family val="2"/>
          </rPr>
          <t xml:space="preserve">
Roots were excised under water near the kernel to obtain an unbranched segment of primary root 89 to 174 mm long (diameter: 0.78-1.28 mm). </t>
        </r>
      </text>
    </comment>
    <comment ref="I297" authorId="0" shapeId="0" xr:uid="{D61A9845-CDC4-4938-AB5E-A1A2E98EABE2}">
      <text>
        <r>
          <rPr>
            <b/>
            <sz val="9"/>
            <color indexed="81"/>
            <rFont val="Tahoma"/>
            <family val="2"/>
          </rPr>
          <t>Juan Baca:</t>
        </r>
        <r>
          <rPr>
            <sz val="9"/>
            <color indexed="81"/>
            <rFont val="Tahoma"/>
            <family val="2"/>
          </rPr>
          <t xml:space="preserve">
described in Steudle et al (1993) (page 336)</t>
        </r>
      </text>
    </comment>
    <comment ref="V297" authorId="0" shapeId="0" xr:uid="{9BD23955-ADCF-44BF-A7E6-82F532D47D92}">
      <text>
        <r>
          <rPr>
            <b/>
            <sz val="9"/>
            <color indexed="81"/>
            <rFont val="Tahoma"/>
            <family val="2"/>
          </rPr>
          <t>Juan Baca:</t>
        </r>
        <r>
          <rPr>
            <sz val="9"/>
            <color indexed="81"/>
            <rFont val="Tahoma"/>
            <family val="2"/>
          </rPr>
          <t xml:space="preserve">
data from text (page 129)</t>
        </r>
      </text>
    </comment>
    <comment ref="X297" authorId="0" shapeId="0" xr:uid="{51EC654C-9BA3-4C2E-AA25-4CAC1C7586DF}">
      <text>
        <r>
          <rPr>
            <b/>
            <sz val="9"/>
            <color indexed="81"/>
            <rFont val="Tahoma"/>
            <family val="2"/>
          </rPr>
          <t>Juan Baca:</t>
        </r>
        <r>
          <rPr>
            <sz val="9"/>
            <color indexed="81"/>
            <rFont val="Tahoma"/>
            <family val="2"/>
          </rPr>
          <t xml:space="preserve">
morpholgical data from table 1</t>
        </r>
      </text>
    </comment>
    <comment ref="I299" authorId="0" shapeId="0" xr:uid="{0C6467E7-3C3B-4CB7-8F73-1A8E48D550EB}">
      <text>
        <r>
          <rPr>
            <b/>
            <sz val="9"/>
            <color indexed="81"/>
            <rFont val="Tahoma"/>
            <family val="2"/>
          </rPr>
          <t>Juan Baca:</t>
        </r>
        <r>
          <rPr>
            <sz val="9"/>
            <color indexed="81"/>
            <rFont val="Tahoma"/>
            <family val="2"/>
          </rPr>
          <t xml:space="preserve">
age from table 5</t>
        </r>
      </text>
    </comment>
    <comment ref="R299" authorId="0" shapeId="0" xr:uid="{FCFA9BBF-9E92-4AD8-A8EE-F2139713AD3F}">
      <text>
        <r>
          <rPr>
            <b/>
            <sz val="9"/>
            <color indexed="81"/>
            <rFont val="Tahoma"/>
            <family val="2"/>
          </rPr>
          <t>Juan Baca:</t>
        </r>
        <r>
          <rPr>
            <sz val="9"/>
            <color indexed="81"/>
            <rFont val="Tahoma"/>
            <family val="2"/>
          </rPr>
          <t xml:space="preserve">
for lateral root: age = 14 -&gt; distal; age = 42 -&gt; basal</t>
        </r>
      </text>
    </comment>
    <comment ref="S299" authorId="0" shapeId="0" xr:uid="{6D4A4777-2CF7-4D07-82CF-D2DE983BD130}">
      <text>
        <r>
          <rPr>
            <b/>
            <sz val="9"/>
            <color indexed="81"/>
            <rFont val="Tahoma"/>
            <family val="2"/>
          </rPr>
          <t>Juan Baca:</t>
        </r>
        <r>
          <rPr>
            <sz val="9"/>
            <color indexed="81"/>
            <rFont val="Tahoma"/>
            <family val="2"/>
          </rPr>
          <t xml:space="preserve">
for lateral root: age = 14 -&gt; distal; age = 42 -&gt; basal
for main roots: distal &lt;15, mid-roots &lt; 57 and distal &gt; 56</t>
        </r>
      </text>
    </comment>
    <comment ref="V299" authorId="0" shapeId="0" xr:uid="{C2304B44-522C-4706-82D5-E90217D822DB}">
      <text>
        <r>
          <rPr>
            <b/>
            <sz val="9"/>
            <color indexed="81"/>
            <rFont val="Tahoma"/>
            <family val="2"/>
          </rPr>
          <t>Juan Baca:</t>
        </r>
        <r>
          <rPr>
            <sz val="9"/>
            <color indexed="81"/>
            <rFont val="Tahoma"/>
            <family val="2"/>
          </rPr>
          <t xml:space="preserve">
data for lateral roots from table 5</t>
        </r>
      </text>
    </comment>
    <comment ref="Y299" authorId="0" shapeId="0" xr:uid="{7463A5AD-7A74-42C2-9733-33CD151BAE6A}">
      <text>
        <r>
          <rPr>
            <b/>
            <sz val="9"/>
            <color indexed="81"/>
            <rFont val="Tahoma"/>
            <family val="2"/>
          </rPr>
          <t>Juan Baca:</t>
        </r>
        <r>
          <rPr>
            <sz val="9"/>
            <color indexed="81"/>
            <rFont val="Tahoma"/>
            <family val="2"/>
          </rPr>
          <t xml:space="preserve">
data from table 3 -&gt; these are actually average diameters of different root classes in 6 year old plants</t>
        </r>
      </text>
    </comment>
    <comment ref="I317" authorId="0" shapeId="0" xr:uid="{66F653A8-05D2-497C-8397-4D2F0F741A65}">
      <text>
        <r>
          <rPr>
            <b/>
            <sz val="9"/>
            <color indexed="81"/>
            <rFont val="Tahoma"/>
            <family val="2"/>
          </rPr>
          <t>Juan Baca:</t>
        </r>
        <r>
          <rPr>
            <sz val="9"/>
            <color indexed="81"/>
            <rFont val="Tahoma"/>
            <family val="2"/>
          </rPr>
          <t xml:space="preserve">
age from table 5</t>
        </r>
      </text>
    </comment>
    <comment ref="Y317" authorId="0" shapeId="0" xr:uid="{A05EFF61-A220-45BA-B9A5-9625FB2CEF3C}">
      <text>
        <r>
          <rPr>
            <b/>
            <sz val="9"/>
            <color indexed="81"/>
            <rFont val="Tahoma"/>
            <family val="2"/>
          </rPr>
          <t>Juan Baca:</t>
        </r>
        <r>
          <rPr>
            <sz val="9"/>
            <color indexed="81"/>
            <rFont val="Tahoma"/>
            <family val="2"/>
          </rPr>
          <t xml:space="preserve">
data from table 3 -&gt; these are actually average diameters of different root classes in 6 year old plants</t>
        </r>
      </text>
    </comment>
    <comment ref="I335" authorId="0" shapeId="0" xr:uid="{37CBCD4B-DE53-456D-B354-B5BF4755CD0F}">
      <text>
        <r>
          <rPr>
            <b/>
            <sz val="9"/>
            <color indexed="81"/>
            <rFont val="Tahoma"/>
            <family val="2"/>
          </rPr>
          <t>Juan Baca:</t>
        </r>
        <r>
          <rPr>
            <sz val="9"/>
            <color indexed="81"/>
            <rFont val="Tahoma"/>
            <family val="2"/>
          </rPr>
          <t xml:space="preserve">
After 6 to 22 d in hydroculture, roots were 140 to 510 mm in length (page 1306) + 3d growth in vermiculite</t>
        </r>
      </text>
    </comment>
    <comment ref="S335" authorId="0" shapeId="0" xr:uid="{F0EAE3FB-D436-4C8C-9EBC-48B2DB056E66}">
      <text>
        <r>
          <rPr>
            <b/>
            <sz val="9"/>
            <color indexed="81"/>
            <rFont val="Tahoma"/>
            <family val="2"/>
          </rPr>
          <t>Juan Baca:</t>
        </r>
        <r>
          <rPr>
            <sz val="9"/>
            <color indexed="81"/>
            <rFont val="Tahoma"/>
            <family val="2"/>
          </rPr>
          <t xml:space="preserve">
arbitrarily defined as distance to tip &lt;15 cm, &lt;25cm and &gt; 25cm </t>
        </r>
      </text>
    </comment>
    <comment ref="I338" authorId="0" shapeId="0" xr:uid="{8154B732-DB3B-45A0-90CD-F7721BD7A10A}">
      <text>
        <r>
          <rPr>
            <b/>
            <sz val="9"/>
            <color indexed="81"/>
            <rFont val="Tahoma"/>
            <family val="2"/>
          </rPr>
          <t>Juan Baca:</t>
        </r>
        <r>
          <rPr>
            <sz val="9"/>
            <color indexed="81"/>
            <rFont val="Tahoma"/>
            <family val="2"/>
          </rPr>
          <t xml:space="preserve">
The seedlings were transferred to hydroculture for 3-14 d h (page 475) + 3d germinated in the dark</t>
        </r>
      </text>
    </comment>
    <comment ref="S338" authorId="0" shapeId="0" xr:uid="{F30BF7A2-019F-4D0B-AAA8-875CF63BC336}">
      <text>
        <r>
          <rPr>
            <b/>
            <sz val="9"/>
            <color indexed="81"/>
            <rFont val="Tahoma"/>
            <family val="2"/>
          </rPr>
          <t>Juan Baca:</t>
        </r>
        <r>
          <rPr>
            <sz val="9"/>
            <color indexed="81"/>
            <rFont val="Tahoma"/>
            <family val="2"/>
          </rPr>
          <t xml:space="preserve">
end segments of the primary roots were excised at a length of 47-166 mm (page 475)</t>
        </r>
      </text>
    </comment>
    <comment ref="V338" authorId="0" shapeId="0" xr:uid="{4251BC06-DA2D-4EAC-A34E-99EFF22D2201}">
      <text>
        <r>
          <rPr>
            <b/>
            <sz val="9"/>
            <color indexed="81"/>
            <rFont val="Tahoma"/>
            <family val="2"/>
          </rPr>
          <t>Juan Baca:</t>
        </r>
        <r>
          <rPr>
            <sz val="9"/>
            <color indexed="81"/>
            <rFont val="Tahoma"/>
            <family val="2"/>
          </rPr>
          <t xml:space="preserve">
data from table 1</t>
        </r>
      </text>
    </comment>
    <comment ref="Y338" authorId="0" shapeId="0" xr:uid="{3CA1135B-0843-4BB4-8654-7CFB508686AE}">
      <text>
        <r>
          <rPr>
            <b/>
            <sz val="9"/>
            <color indexed="81"/>
            <rFont val="Tahoma"/>
            <family val="2"/>
          </rPr>
          <t>Juan Baca:</t>
        </r>
        <r>
          <rPr>
            <sz val="9"/>
            <color indexed="81"/>
            <rFont val="Tahoma"/>
            <family val="2"/>
          </rPr>
          <t xml:space="preserve">
root diameter: 0.9-1.1 mm) (page 475)</t>
        </r>
      </text>
    </comment>
    <comment ref="S356" authorId="0" shapeId="0" xr:uid="{5B899B94-DBCF-4059-99D3-E0BAE35092CC}">
      <text>
        <r>
          <rPr>
            <b/>
            <sz val="9"/>
            <color indexed="81"/>
            <rFont val="Tahoma"/>
            <family val="2"/>
          </rPr>
          <t>Juan Baca:</t>
        </r>
        <r>
          <rPr>
            <sz val="9"/>
            <color indexed="81"/>
            <rFont val="Tahoma"/>
            <family val="2"/>
          </rPr>
          <t xml:space="preserve">
arbitrarily defined as: distal &lt;12, mid-root &lt; 18 and basal &gt; 18 </t>
        </r>
      </text>
    </comment>
    <comment ref="Y356" authorId="0" shapeId="0" xr:uid="{09D8B083-07EA-43FC-A675-602DAAB12C8D}">
      <text>
        <r>
          <rPr>
            <b/>
            <sz val="9"/>
            <color indexed="81"/>
            <rFont val="Tahoma"/>
            <family val="2"/>
          </rPr>
          <t>Juan Baca:</t>
        </r>
        <r>
          <rPr>
            <sz val="9"/>
            <color indexed="81"/>
            <rFont val="Tahoma"/>
            <family val="2"/>
          </rPr>
          <t xml:space="preserve">
Lateral roots averaging 11 mm in diameter were carefully excavated, excised from the main root, and submerged in
distilled water (page 1442)</t>
        </r>
      </text>
    </comment>
    <comment ref="I361" authorId="0" shapeId="0" xr:uid="{E5EB005D-15D0-4DDC-84B6-DB0483268FCB}">
      <text>
        <r>
          <rPr>
            <b/>
            <sz val="9"/>
            <color indexed="81"/>
            <rFont val="Tahoma"/>
            <family val="2"/>
          </rPr>
          <t>Juan Baca:</t>
        </r>
        <r>
          <rPr>
            <sz val="9"/>
            <color indexed="81"/>
            <rFont val="Tahoma"/>
            <family val="2"/>
          </rPr>
          <t xml:space="preserve">
30-d-old lateral
roots on plants that were well-watered or droughted for different lengths of time to induce root abscission (page 1442) + 18 days of drought treatment</t>
        </r>
      </text>
    </comment>
    <comment ref="S361" authorId="0" shapeId="0" xr:uid="{D408DB4F-913F-409D-BCE1-71BCA293F6A8}">
      <text>
        <r>
          <rPr>
            <b/>
            <sz val="9"/>
            <color indexed="81"/>
            <rFont val="Tahoma"/>
            <family val="2"/>
          </rPr>
          <t>Juan Baca:</t>
        </r>
        <r>
          <rPr>
            <sz val="9"/>
            <color indexed="81"/>
            <rFont val="Tahoma"/>
            <family val="2"/>
          </rPr>
          <t xml:space="preserve">
arbitrarily defined as distance to tip &lt;10 cm, &lt;20cm and &gt; 20cm </t>
        </r>
      </text>
    </comment>
    <comment ref="S364" authorId="0" shapeId="0" xr:uid="{4F42C27B-DFF2-4143-8FE1-772D904B7033}">
      <text>
        <r>
          <rPr>
            <b/>
            <sz val="9"/>
            <color indexed="81"/>
            <rFont val="Tahoma"/>
            <family val="2"/>
          </rPr>
          <t>Juan Baca:</t>
        </r>
        <r>
          <rPr>
            <sz val="9"/>
            <color indexed="81"/>
            <rFont val="Tahoma"/>
            <family val="2"/>
          </rPr>
          <t xml:space="preserve">
arbitrarily defined as distance to tip &lt;5 cm, &lt;10cm and &gt; 10cm </t>
        </r>
      </text>
    </comment>
    <comment ref="S367" authorId="0" shapeId="0" xr:uid="{2AB3ACA7-54D1-45B6-9523-3F4AE7E7FE8D}">
      <text>
        <r>
          <rPr>
            <b/>
            <sz val="9"/>
            <color indexed="81"/>
            <rFont val="Tahoma"/>
            <family val="2"/>
          </rPr>
          <t>Juan Baca:</t>
        </r>
        <r>
          <rPr>
            <sz val="9"/>
            <color indexed="81"/>
            <rFont val="Tahoma"/>
            <family val="2"/>
          </rPr>
          <t xml:space="preserve">
arbitrarily defined as distance to tip &lt;10 cm, &lt;20cm and &gt; 20cm </t>
        </r>
      </text>
    </comment>
    <comment ref="S370" authorId="0" shapeId="0" xr:uid="{16BCEB5B-722B-4028-B1AD-CC048E3757C3}">
      <text>
        <r>
          <rPr>
            <b/>
            <sz val="9"/>
            <color indexed="81"/>
            <rFont val="Tahoma"/>
            <family val="2"/>
          </rPr>
          <t>Juan Baca:</t>
        </r>
        <r>
          <rPr>
            <sz val="9"/>
            <color indexed="81"/>
            <rFont val="Tahoma"/>
            <family val="2"/>
          </rPr>
          <t xml:space="preserve">
arbitrarily defined as distance to tip &lt;5 cm, &lt;10cm and &gt; 10cm </t>
        </r>
      </text>
    </comment>
    <comment ref="I373" authorId="0" shapeId="0" xr:uid="{FE204279-E515-4CD5-A173-AC2F294544D9}">
      <text>
        <r>
          <rPr>
            <b/>
            <sz val="9"/>
            <color indexed="81"/>
            <rFont val="Tahoma"/>
            <family val="2"/>
          </rPr>
          <t>Juan Baca:</t>
        </r>
        <r>
          <rPr>
            <sz val="9"/>
            <color indexed="81"/>
            <rFont val="Tahoma"/>
            <family val="2"/>
          </rPr>
          <t xml:space="preserve">
Plants were irrigated daily
with full-strength nutrient solution for 18 d from the date ofimbibition and then exposed to water deficit by withholding
irrigation for 15 d (page 204)</t>
        </r>
      </text>
    </comment>
    <comment ref="V373" authorId="0" shapeId="0" xr:uid="{317EE60C-6F3D-4EBE-AB43-762E6B57A015}">
      <text>
        <r>
          <rPr>
            <b/>
            <sz val="9"/>
            <color indexed="81"/>
            <rFont val="Tahoma"/>
            <family val="2"/>
          </rPr>
          <t>Juan Baca:</t>
        </r>
        <r>
          <rPr>
            <sz val="9"/>
            <color indexed="81"/>
            <rFont val="Tahoma"/>
            <family val="2"/>
          </rPr>
          <t xml:space="preserve">
kr data from text (page 205)</t>
        </r>
      </text>
    </comment>
    <comment ref="J375" authorId="0" shapeId="0" xr:uid="{02E278F2-93F1-4465-959C-50B649BFBA1B}">
      <text>
        <r>
          <rPr>
            <b/>
            <sz val="9"/>
            <color indexed="81"/>
            <rFont val="Tahoma"/>
            <family val="2"/>
          </rPr>
          <t>Juan Baca:</t>
        </r>
        <r>
          <rPr>
            <sz val="9"/>
            <color indexed="81"/>
            <rFont val="Tahoma"/>
            <family val="2"/>
          </rPr>
          <t xml:space="preserve">
root length and number of root segments measured varied depending on the roots</t>
        </r>
      </text>
    </comment>
    <comment ref="V375" authorId="0" shapeId="0" xr:uid="{7867F85A-87E6-42FA-B5F2-AA4BDB9ABB17}">
      <text>
        <r>
          <rPr>
            <b/>
            <sz val="9"/>
            <color indexed="81"/>
            <rFont val="Tahoma"/>
            <family val="2"/>
          </rPr>
          <t>Juan Baca:</t>
        </r>
        <r>
          <rPr>
            <sz val="9"/>
            <color indexed="81"/>
            <rFont val="Tahoma"/>
            <family val="2"/>
          </rPr>
          <t xml:space="preserve">
all data from table 1</t>
        </r>
      </text>
    </comment>
    <comment ref="J381" authorId="0" shapeId="0" xr:uid="{B335003E-1A8C-4D05-9185-DA1E01F8EC84}">
      <text>
        <r>
          <rPr>
            <b/>
            <sz val="9"/>
            <color indexed="81"/>
            <rFont val="Tahoma"/>
            <family val="2"/>
          </rPr>
          <t>Juan Baca:</t>
        </r>
        <r>
          <rPr>
            <sz val="9"/>
            <color indexed="81"/>
            <rFont val="Tahoma"/>
            <family val="2"/>
          </rPr>
          <t xml:space="preserve">
root length and number of root segments measured varied depending on the roots</t>
        </r>
      </text>
    </comment>
    <comment ref="I387" authorId="0" shapeId="0" xr:uid="{485B034B-A9CF-455F-BBE2-C00678DAFFDA}">
      <text>
        <r>
          <rPr>
            <b/>
            <sz val="9"/>
            <color indexed="81"/>
            <rFont val="Tahoma"/>
            <family val="2"/>
          </rPr>
          <t>Juan Baca:</t>
        </r>
        <r>
          <rPr>
            <sz val="9"/>
            <color indexed="81"/>
            <rFont val="Tahoma"/>
            <family val="2"/>
          </rPr>
          <t xml:space="preserve">
germinated 3 d in the dark and then 8-11 days in nutrient solution (page 306)</t>
        </r>
      </text>
    </comment>
    <comment ref="S387" authorId="0" shapeId="0" xr:uid="{82E10CA7-34E2-4BF6-A3BD-9F51B478922A}">
      <text>
        <r>
          <rPr>
            <b/>
            <sz val="9"/>
            <color indexed="81"/>
            <rFont val="Tahoma"/>
            <family val="2"/>
          </rPr>
          <t>Juan Baca:</t>
        </r>
        <r>
          <rPr>
            <sz val="9"/>
            <color indexed="81"/>
            <rFont val="Tahoma"/>
            <family val="2"/>
          </rPr>
          <t xml:space="preserve">
from which end segments of a length of 75 mm
were cut for the experiments (page 306)</t>
        </r>
      </text>
    </comment>
    <comment ref="V387" authorId="0" shapeId="0" xr:uid="{788EFE1D-168C-476A-AB9C-1F524D4CF86D}">
      <text>
        <r>
          <rPr>
            <b/>
            <sz val="9"/>
            <color indexed="81"/>
            <rFont val="Tahoma"/>
            <family val="2"/>
          </rPr>
          <t>Juan Baca:</t>
        </r>
        <r>
          <rPr>
            <sz val="9"/>
            <color indexed="81"/>
            <rFont val="Tahoma"/>
            <family val="2"/>
          </rPr>
          <t xml:space="preserve">
data from table 3</t>
        </r>
      </text>
    </comment>
    <comment ref="X387" authorId="0" shapeId="0" xr:uid="{4898FF2E-C193-48E1-8C72-C7F031D10A22}">
      <text>
        <r>
          <rPr>
            <b/>
            <sz val="9"/>
            <color indexed="81"/>
            <rFont val="Tahoma"/>
            <family val="2"/>
          </rPr>
          <t>Juan Baca:</t>
        </r>
        <r>
          <rPr>
            <sz val="9"/>
            <color indexed="81"/>
            <rFont val="Tahoma"/>
            <family val="2"/>
          </rPr>
          <t xml:space="preserve">
Main roots were 150 to 250 mm long with a diameter of 0.8
to 1.2 mm (page 306)</t>
        </r>
      </text>
    </comment>
    <comment ref="Y387" authorId="0" shapeId="0" xr:uid="{9239E9ED-4CC6-4538-A19B-51826A83693F}">
      <text>
        <r>
          <rPr>
            <b/>
            <sz val="9"/>
            <color indexed="81"/>
            <rFont val="Tahoma"/>
            <family val="2"/>
          </rPr>
          <t>Juan Baca:</t>
        </r>
        <r>
          <rPr>
            <sz val="9"/>
            <color indexed="81"/>
            <rFont val="Tahoma"/>
            <family val="2"/>
          </rPr>
          <t xml:space="preserve">
Main roots were 150 to 250 mm long with a diameter of 0.8
to 1.2 mm (page 306)</t>
        </r>
      </text>
    </comment>
    <comment ref="I388" authorId="0" shapeId="0" xr:uid="{1DBD3B93-6229-401C-A05E-4A8C091BF265}">
      <text>
        <r>
          <rPr>
            <b/>
            <sz val="9"/>
            <color indexed="81"/>
            <rFont val="Tahoma"/>
            <family val="2"/>
          </rPr>
          <t>Juan Baca:</t>
        </r>
        <r>
          <rPr>
            <sz val="9"/>
            <color indexed="81"/>
            <rFont val="Tahoma"/>
            <family val="2"/>
          </rPr>
          <t xml:space="preserve">
old root NODES were 6-12 month old (old nodes) or 4-6 weeks (young nodes. Lateral roots were the same age as young nodes (page 907) </t>
        </r>
      </text>
    </comment>
    <comment ref="K388" authorId="0" shapeId="0" xr:uid="{1DA7276A-D232-4856-91F8-C66A2F8BF204}">
      <text>
        <r>
          <rPr>
            <b/>
            <sz val="9"/>
            <color indexed="81"/>
            <rFont val="Tahoma"/>
            <family val="2"/>
          </rPr>
          <t>Juan Baca:</t>
        </r>
        <r>
          <rPr>
            <sz val="9"/>
            <color indexed="81"/>
            <rFont val="Tahoma"/>
            <family val="2"/>
          </rPr>
          <t xml:space="preserve">
in this case, control refers to the start of the experiment (0day dorught), and dorught measurements were performed before and after embolism removal  (see legend table 1)</t>
        </r>
      </text>
    </comment>
    <comment ref="V388" authorId="0" shapeId="0" xr:uid="{C5EDAF5F-0AE2-46F6-BA0F-14426DFBCC6E}">
      <text>
        <r>
          <rPr>
            <b/>
            <sz val="9"/>
            <color indexed="81"/>
            <rFont val="Tahoma"/>
            <family val="2"/>
          </rPr>
          <t>Juan Baca:</t>
        </r>
        <r>
          <rPr>
            <sz val="9"/>
            <color indexed="81"/>
            <rFont val="Tahoma"/>
            <family val="2"/>
          </rPr>
          <t xml:space="preserve">
data from table 1</t>
        </r>
      </text>
    </comment>
    <comment ref="X388" authorId="0" shapeId="0" xr:uid="{29EE37BF-0402-45CF-81D9-B6BE282EE496}">
      <text>
        <r>
          <rPr>
            <b/>
            <sz val="9"/>
            <color indexed="81"/>
            <rFont val="Tahoma"/>
            <family val="2"/>
          </rPr>
          <t>Juan Baca:</t>
        </r>
        <r>
          <rPr>
            <sz val="9"/>
            <color indexed="81"/>
            <rFont val="Tahoma"/>
            <family val="2"/>
          </rPr>
          <t xml:space="preserve">
Nodal roots were generally 20-40 em long…
Lateral roots averaged 10 em in length. (page 907)</t>
        </r>
      </text>
    </comment>
    <comment ref="Y388" authorId="0" shapeId="0" xr:uid="{A05044E9-C025-4EC1-8B50-1F7784C7477C}">
      <text>
        <r>
          <rPr>
            <b/>
            <sz val="9"/>
            <color indexed="81"/>
            <rFont val="Tahoma"/>
            <family val="2"/>
          </rPr>
          <t>Juan Baca:</t>
        </r>
        <r>
          <rPr>
            <sz val="9"/>
            <color indexed="81"/>
            <rFont val="Tahoma"/>
            <family val="2"/>
          </rPr>
          <t xml:space="preserve">
young and older, 3 mm
diameter) and lateral roots (l mm diameter) (legend table 1)</t>
        </r>
      </text>
    </comment>
    <comment ref="I396" authorId="0" shapeId="0" xr:uid="{A5DC5D0F-CB73-4798-99E9-2F92C9EB039C}">
      <text>
        <r>
          <rPr>
            <b/>
            <sz val="9"/>
            <color indexed="81"/>
            <rFont val="Tahoma"/>
            <family val="2"/>
          </rPr>
          <t>Juan Baca:</t>
        </r>
        <r>
          <rPr>
            <sz val="9"/>
            <color indexed="81"/>
            <rFont val="Tahoma"/>
            <family val="2"/>
          </rPr>
          <t xml:space="preserve">
old root NODES were 6-12 month old (old nodes) or 4-6 weeks (young nodes. Lateral roots were the same age as young nodes (page 907) + days of drought treatment (0, 7 or 30)</t>
        </r>
      </text>
    </comment>
    <comment ref="K396" authorId="0" shapeId="0" xr:uid="{33BC4297-02D5-44EE-9942-E7F8E111A52A}">
      <text>
        <r>
          <rPr>
            <b/>
            <sz val="9"/>
            <color indexed="81"/>
            <rFont val="Tahoma"/>
            <family val="2"/>
          </rPr>
          <t>Juan Baca:</t>
        </r>
        <r>
          <rPr>
            <sz val="9"/>
            <color indexed="81"/>
            <rFont val="Tahoma"/>
            <family val="2"/>
          </rPr>
          <t xml:space="preserve">
in this case, control refers to the start of the experiment (0day dorught), and dorught measurements were performed before and after embolism removal  (see legend table 1)</t>
        </r>
      </text>
    </comment>
    <comment ref="I402" authorId="0" shapeId="0" xr:uid="{BEBCA1A2-9373-43A5-8751-63119FB0A2C3}">
      <text>
        <r>
          <rPr>
            <b/>
            <sz val="9"/>
            <color indexed="81"/>
            <rFont val="Tahoma"/>
            <family val="2"/>
          </rPr>
          <t>Juan Baca:</t>
        </r>
        <r>
          <rPr>
            <sz val="9"/>
            <color indexed="81"/>
            <rFont val="Tahoma"/>
            <family val="2"/>
          </rPr>
          <t xml:space="preserve">
data from Fig 2</t>
        </r>
      </text>
    </comment>
    <comment ref="R402" authorId="0" shapeId="0" xr:uid="{8B024839-811F-4B86-9725-71B9B58A799F}">
      <text>
        <r>
          <rPr>
            <b/>
            <sz val="9"/>
            <color indexed="81"/>
            <rFont val="Tahoma"/>
            <family val="2"/>
          </rPr>
          <t>Juan Baca:</t>
        </r>
        <r>
          <rPr>
            <sz val="9"/>
            <color indexed="81"/>
            <rFont val="Tahoma"/>
            <family val="2"/>
          </rPr>
          <t xml:space="preserve">
 Roots were cut close to the base of the
plant, transferred to a beaker of water (page 144)</t>
        </r>
      </text>
    </comment>
    <comment ref="I417" authorId="0" shapeId="0" xr:uid="{40124BED-E0E8-41A3-BC14-1DD2E9FD5E6A}">
      <text>
        <r>
          <rPr>
            <b/>
            <sz val="9"/>
            <color indexed="81"/>
            <rFont val="Tahoma"/>
            <family val="2"/>
          </rPr>
          <t>Juan Baca:</t>
        </r>
        <r>
          <rPr>
            <sz val="9"/>
            <color indexed="81"/>
            <rFont val="Tahoma"/>
            <family val="2"/>
          </rPr>
          <t xml:space="preserve">
The plants used for
the root pressure probe experiments ranged in age from 2 to 13 d. (page 1137)</t>
        </r>
      </text>
    </comment>
    <comment ref="S417" authorId="0" shapeId="0" xr:uid="{D9A293B3-3ECE-4951-AE12-1FAEE40046C4}">
      <text>
        <r>
          <rPr>
            <b/>
            <sz val="9"/>
            <color indexed="81"/>
            <rFont val="Tahoma"/>
            <family val="2"/>
          </rPr>
          <t>Juan Baca:</t>
        </r>
        <r>
          <rPr>
            <sz val="9"/>
            <color indexed="81"/>
            <rFont val="Tahoma"/>
            <family val="2"/>
          </rPr>
          <t xml:space="preserve">
End segments of the main root systems were excised at a length of 50 to 150 mm and were used for the pressure probe experiments. (page 1137)</t>
        </r>
      </text>
    </comment>
    <comment ref="V417" authorId="0" shapeId="0" xr:uid="{2D747B36-CB2A-4E6A-B398-9FE9977328D7}">
      <text>
        <r>
          <rPr>
            <b/>
            <sz val="9"/>
            <color indexed="81"/>
            <rFont val="Tahoma"/>
            <family val="2"/>
          </rPr>
          <t>Juan Baca:</t>
        </r>
        <r>
          <rPr>
            <sz val="9"/>
            <color indexed="81"/>
            <rFont val="Tahoma"/>
            <family val="2"/>
          </rPr>
          <t xml:space="preserve">
data from table 1 (Lpr_ex)</t>
        </r>
      </text>
    </comment>
    <comment ref="Y417" authorId="0" shapeId="0" xr:uid="{DC167024-8C68-4B8E-82AE-E15B09ED429B}">
      <text>
        <r>
          <rPr>
            <b/>
            <sz val="9"/>
            <color indexed="81"/>
            <rFont val="Tahoma"/>
            <family val="2"/>
          </rPr>
          <t>Juan Baca:</t>
        </r>
        <r>
          <rPr>
            <sz val="9"/>
            <color indexed="81"/>
            <rFont val="Tahoma"/>
            <family val="2"/>
          </rPr>
          <t xml:space="preserve">
data from text (page 1137)</t>
        </r>
      </text>
    </comment>
    <comment ref="V429" authorId="0" shapeId="0" xr:uid="{5224B56C-16CC-47AB-A8B6-64467817B1F5}">
      <text>
        <r>
          <rPr>
            <b/>
            <sz val="9"/>
            <color indexed="81"/>
            <rFont val="Tahoma"/>
            <family val="2"/>
          </rPr>
          <t>Juan Baca:</t>
        </r>
        <r>
          <rPr>
            <sz val="9"/>
            <color indexed="81"/>
            <rFont val="Tahoma"/>
            <family val="2"/>
          </rPr>
          <t xml:space="preserve">
data from table 2</t>
        </r>
      </text>
    </comment>
    <comment ref="I441" authorId="0" shapeId="0" xr:uid="{9F2F0FB6-DBD3-4CCF-9B0E-04343F098BFC}">
      <text>
        <r>
          <rPr>
            <b/>
            <sz val="9"/>
            <color indexed="81"/>
            <rFont val="Tahoma"/>
            <family val="2"/>
          </rPr>
          <t>Juan Baca:</t>
        </r>
        <r>
          <rPr>
            <sz val="9"/>
            <color indexed="81"/>
            <rFont val="Tahoma"/>
            <family val="2"/>
          </rPr>
          <t xml:space="preserve">
2 days germinated in dark + 4 days in hogland solution (page 240) </t>
        </r>
      </text>
    </comment>
    <comment ref="S441" authorId="0" shapeId="0" xr:uid="{F5D8CA1C-BEAE-4FB4-AF31-83E63B8ADD04}">
      <text>
        <r>
          <rPr>
            <b/>
            <sz val="9"/>
            <color indexed="81"/>
            <rFont val="Tahoma"/>
            <family val="2"/>
          </rPr>
          <t>Juan Baca:</t>
        </r>
        <r>
          <rPr>
            <sz val="9"/>
            <color indexed="81"/>
            <rFont val="Tahoma"/>
            <family val="2"/>
          </rPr>
          <t xml:space="preserve">
in apical 4-cm segments of maize seedling roots (legend table III)</t>
        </r>
      </text>
    </comment>
    <comment ref="V441" authorId="0" shapeId="0" xr:uid="{B5AA3B4B-4D1B-4A88-810C-7216629BCA3B}">
      <text>
        <r>
          <rPr>
            <b/>
            <sz val="9"/>
            <color indexed="81"/>
            <rFont val="Tahoma"/>
            <family val="2"/>
          </rPr>
          <t>Juan Baca:</t>
        </r>
        <r>
          <rPr>
            <sz val="9"/>
            <color indexed="81"/>
            <rFont val="Tahoma"/>
            <family val="2"/>
          </rPr>
          <t xml:space="preserve">
data from table 4</t>
        </r>
      </text>
    </comment>
    <comment ref="Y441" authorId="0" shapeId="0" xr:uid="{0D87A01F-3000-4158-BC60-4CE8DC908739}">
      <text>
        <r>
          <rPr>
            <b/>
            <sz val="9"/>
            <color indexed="81"/>
            <rFont val="Tahoma"/>
            <family val="2"/>
          </rPr>
          <t>Juan Baca:</t>
        </r>
        <r>
          <rPr>
            <sz val="9"/>
            <color indexed="81"/>
            <rFont val="Tahoma"/>
            <family val="2"/>
          </rPr>
          <t xml:space="preserve">
morphologic data from table 1</t>
        </r>
      </text>
    </comment>
    <comment ref="V445" authorId="0" shapeId="0" xr:uid="{644B8E88-F829-4478-8490-8517490A1F3F}">
      <text>
        <r>
          <rPr>
            <b/>
            <sz val="9"/>
            <color indexed="81"/>
            <rFont val="Tahoma"/>
            <family val="2"/>
          </rPr>
          <t>Juan Baca:</t>
        </r>
        <r>
          <rPr>
            <sz val="9"/>
            <color indexed="81"/>
            <rFont val="Tahoma"/>
            <family val="2"/>
          </rPr>
          <t xml:space="preserve">
data from table 3</t>
        </r>
      </text>
    </comment>
    <comment ref="Y446" authorId="0" shapeId="0" xr:uid="{D0419A78-E730-400B-A2D0-BF3BA01B4AC8}">
      <text>
        <r>
          <rPr>
            <b/>
            <sz val="9"/>
            <color indexed="81"/>
            <rFont val="Tahoma"/>
            <family val="2"/>
          </rPr>
          <t>Juan Baca:</t>
        </r>
        <r>
          <rPr>
            <sz val="9"/>
            <color indexed="81"/>
            <rFont val="Tahoma"/>
            <family val="2"/>
          </rPr>
          <t xml:space="preserve">
morphologic data from table 1</t>
        </r>
      </text>
    </comment>
    <comment ref="I447" authorId="0" shapeId="0" xr:uid="{B3FE6769-EE51-44AF-87D1-11110950076E}">
      <text>
        <r>
          <rPr>
            <b/>
            <sz val="9"/>
            <color indexed="81"/>
            <rFont val="Tahoma"/>
            <family val="2"/>
          </rPr>
          <t>Juan Baca:</t>
        </r>
        <r>
          <rPr>
            <sz val="9"/>
            <color indexed="81"/>
            <rFont val="Tahoma"/>
            <family val="2"/>
          </rPr>
          <t xml:space="preserve">
data from table 1</t>
        </r>
      </text>
    </comment>
    <comment ref="V447" authorId="0" shapeId="0" xr:uid="{713F0BD5-DB44-4E2E-A28F-F6EADE964C1A}">
      <text>
        <r>
          <rPr>
            <b/>
            <sz val="9"/>
            <color indexed="81"/>
            <rFont val="Tahoma"/>
            <family val="2"/>
          </rPr>
          <t>Juan Baca:</t>
        </r>
        <r>
          <rPr>
            <sz val="9"/>
            <color indexed="81"/>
            <rFont val="Tahoma"/>
            <family val="2"/>
          </rPr>
          <t xml:space="preserve">
data from table 1</t>
        </r>
      </text>
    </comment>
    <comment ref="I453" authorId="0" shapeId="0" xr:uid="{3F1CC35E-D1D4-4E01-BA2F-6694EB8C81FA}">
      <text>
        <r>
          <rPr>
            <b/>
            <sz val="9"/>
            <color indexed="81"/>
            <rFont val="Tahoma"/>
            <family val="2"/>
          </rPr>
          <t>Juan Baca:</t>
        </r>
        <r>
          <rPr>
            <sz val="9"/>
            <color indexed="81"/>
            <rFont val="Tahoma"/>
            <family val="2"/>
          </rPr>
          <t xml:space="preserve">
Experiments were carried out on primary roots of 3 to 16 d old plants (page 719)</t>
        </r>
      </text>
    </comment>
    <comment ref="I459" authorId="0" shapeId="0" xr:uid="{17A1BA7E-2470-40A2-90C8-B1CD4998838C}">
      <text>
        <r>
          <rPr>
            <b/>
            <sz val="9"/>
            <color indexed="81"/>
            <rFont val="Tahoma"/>
            <family val="2"/>
          </rPr>
          <t>Juan Baca:</t>
        </r>
        <r>
          <rPr>
            <sz val="9"/>
            <color indexed="81"/>
            <rFont val="Tahoma"/>
            <family val="2"/>
          </rPr>
          <t xml:space="preserve">
no clear infromation about age</t>
        </r>
      </text>
    </comment>
    <comment ref="S459" authorId="0" shapeId="0" xr:uid="{D68968B8-ED02-4177-99E7-FC22075B8B6A}">
      <text>
        <r>
          <rPr>
            <b/>
            <sz val="9"/>
            <color indexed="81"/>
            <rFont val="Tahoma"/>
            <family val="2"/>
          </rPr>
          <t>Juan Baca:</t>
        </r>
        <r>
          <rPr>
            <sz val="9"/>
            <color indexed="81"/>
            <rFont val="Tahoma"/>
            <family val="2"/>
          </rPr>
          <t xml:space="preserve">
apical segments (legend Table 4)</t>
        </r>
      </text>
    </comment>
    <comment ref="V459" authorId="0" shapeId="0" xr:uid="{AA6BFE8E-E47B-4245-8261-230AF10DF742}">
      <text>
        <r>
          <rPr>
            <b/>
            <sz val="9"/>
            <color indexed="81"/>
            <rFont val="Tahoma"/>
            <family val="2"/>
          </rPr>
          <t>Juan Baca:</t>
        </r>
        <r>
          <rPr>
            <sz val="9"/>
            <color indexed="81"/>
            <rFont val="Tahoma"/>
            <family val="2"/>
          </rPr>
          <t xml:space="preserve">
data from table 4 (values for apical segments)</t>
        </r>
      </text>
    </comment>
    <comment ref="Y459" authorId="0" shapeId="0" xr:uid="{B05038AD-6CEE-4B28-9006-A4C92D2D59A1}">
      <text>
        <r>
          <rPr>
            <b/>
            <sz val="9"/>
            <color indexed="81"/>
            <rFont val="Tahoma"/>
            <family val="2"/>
          </rPr>
          <t>Juan Baca:</t>
        </r>
        <r>
          <rPr>
            <sz val="9"/>
            <color indexed="81"/>
            <rFont val="Tahoma"/>
            <family val="2"/>
          </rPr>
          <t xml:space="preserve">
data from table 3</t>
        </r>
      </text>
    </comment>
    <comment ref="I461" authorId="0" shapeId="0" xr:uid="{A0C5FB2A-530D-4AF5-B69B-6D5E3F93CD83}">
      <text>
        <r>
          <rPr>
            <b/>
            <sz val="9"/>
            <color indexed="81"/>
            <rFont val="Tahoma"/>
            <family val="2"/>
          </rPr>
          <t>Juan Baca:</t>
        </r>
        <r>
          <rPr>
            <sz val="9"/>
            <color indexed="81"/>
            <rFont val="Tahoma"/>
            <family val="2"/>
          </rPr>
          <t xml:space="preserve">
Whole root systems (shoot removed but
caryopsis still attached) and single roots were excised when seedlings were d~10 d old and before root branching had occurred (page 2)</t>
        </r>
      </text>
    </comment>
    <comment ref="I467" authorId="0" shapeId="0" xr:uid="{6E7A48B2-12C8-423B-8811-B4DC0705DCE0}">
      <text>
        <r>
          <rPr>
            <b/>
            <sz val="9"/>
            <color indexed="81"/>
            <rFont val="Tahoma"/>
            <family val="2"/>
          </rPr>
          <t>Juan Baca:</t>
        </r>
        <r>
          <rPr>
            <sz val="9"/>
            <color indexed="81"/>
            <rFont val="Tahoma"/>
            <family val="2"/>
          </rPr>
          <t xml:space="preserve">
he plants used for the experiments ranged in
age between 5 and 13 d. The root systems were 89 to 340 mm long (page 1221)</t>
        </r>
      </text>
    </comment>
    <comment ref="S467" authorId="0" shapeId="0" xr:uid="{E8E175DB-B22B-4938-8696-654E7CB8D05D}">
      <text>
        <r>
          <rPr>
            <b/>
            <sz val="9"/>
            <color indexed="81"/>
            <rFont val="Tahoma"/>
            <family val="2"/>
          </rPr>
          <t>Juan Baca:</t>
        </r>
        <r>
          <rPr>
            <sz val="9"/>
            <color indexed="81"/>
            <rFont val="Tahoma"/>
            <family val="2"/>
          </rPr>
          <t xml:space="preserve">
end segments of the
main root were used which were excised at a length of 45 to 128
mm. Main roots of this length should already contain different developmental states of the endodermis (primary, secondary, and tertiary endodermis). (page 1221).</t>
        </r>
      </text>
    </comment>
    <comment ref="V467" authorId="0" shapeId="0" xr:uid="{4F8EE8CA-13A1-4C51-9E75-6B09942E8B27}">
      <text>
        <r>
          <rPr>
            <b/>
            <sz val="9"/>
            <color indexed="81"/>
            <rFont val="Tahoma"/>
            <family val="2"/>
          </rPr>
          <t>Juan Baca:</t>
        </r>
        <r>
          <rPr>
            <sz val="9"/>
            <color indexed="81"/>
            <rFont val="Tahoma"/>
            <family val="2"/>
          </rPr>
          <t xml:space="preserve">
data from table 1</t>
        </r>
      </text>
    </comment>
    <comment ref="Y467" authorId="0" shapeId="0" xr:uid="{FE401070-3087-41A0-B321-6CFDC9F65736}">
      <text>
        <r>
          <rPr>
            <b/>
            <sz val="9"/>
            <color indexed="81"/>
            <rFont val="Tahoma"/>
            <family val="2"/>
          </rPr>
          <t>Juan Baca:</t>
        </r>
        <r>
          <rPr>
            <sz val="9"/>
            <color indexed="81"/>
            <rFont val="Tahoma"/>
            <family val="2"/>
          </rPr>
          <t xml:space="preserve">
The segments varied in diameter from 0.7 to 1.2 mm (page 1221)</t>
        </r>
      </text>
    </comment>
    <comment ref="I473" authorId="0" shapeId="0" xr:uid="{BB96E2E8-4ACF-4FA9-9F3D-EE4184DDA3C2}">
      <text>
        <r>
          <rPr>
            <b/>
            <sz val="9"/>
            <color indexed="81"/>
            <rFont val="Tahoma"/>
            <family val="2"/>
          </rPr>
          <t>Juan Baca:</t>
        </r>
        <r>
          <rPr>
            <sz val="9"/>
            <color indexed="81"/>
            <rFont val="Tahoma"/>
            <family val="2"/>
          </rPr>
          <t xml:space="preserve">
Plants used for the experiments were 6-13 d old (page 238)</t>
        </r>
      </text>
    </comment>
    <comment ref="V473" authorId="0" shapeId="0" xr:uid="{6384A1F7-74B9-43BC-B20C-8A31BD137BBB}">
      <text>
        <r>
          <rPr>
            <b/>
            <sz val="9"/>
            <color indexed="81"/>
            <rFont val="Tahoma"/>
            <family val="2"/>
          </rPr>
          <t>Juan Baca:</t>
        </r>
        <r>
          <rPr>
            <sz val="9"/>
            <color indexed="81"/>
            <rFont val="Tahoma"/>
            <family val="2"/>
          </rPr>
          <t xml:space="preserve">
data from table 2</t>
        </r>
      </text>
    </comment>
    <comment ref="Y473" authorId="0" shapeId="0" xr:uid="{C29B44C3-FFCE-4BA8-81AC-CC20A1156329}">
      <text>
        <r>
          <rPr>
            <b/>
            <sz val="9"/>
            <color indexed="81"/>
            <rFont val="Tahoma"/>
            <family val="2"/>
          </rPr>
          <t>Juan Baca:</t>
        </r>
        <r>
          <rPr>
            <sz val="9"/>
            <color indexed="81"/>
            <rFont val="Tahoma"/>
            <family val="2"/>
          </rPr>
          <t xml:space="preserve">
Mean diameters were 345-445 gm and the lengths were between
78 and 134 mm resulting in root volumes (V~)and outer surface areas (A~) of V~= 10-20 ~1 and A~-0.9 1.8 cm2 (page 239)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Juan Baca</author>
  </authors>
  <commentList>
    <comment ref="A6" authorId="0" shapeId="0" xr:uid="{DC147FE1-EFF0-471A-A48A-4BDF14348425}">
      <text>
        <r>
          <rPr>
            <b/>
            <sz val="9"/>
            <color indexed="81"/>
            <rFont val="Tahoma"/>
            <family val="2"/>
          </rPr>
          <t>Juan Baca:</t>
        </r>
        <r>
          <rPr>
            <sz val="9"/>
            <color indexed="81"/>
            <rFont val="Tahoma"/>
            <family val="2"/>
          </rPr>
          <t xml:space="preserve">
age as proxy for variation along the root</t>
        </r>
      </text>
    </comment>
  </commentList>
</comments>
</file>

<file path=xl/sharedStrings.xml><?xml version="1.0" encoding="utf-8"?>
<sst xmlns="http://schemas.openxmlformats.org/spreadsheetml/2006/main" count="7154" uniqueCount="288">
  <si>
    <t>Reference</t>
  </si>
  <si>
    <t>Species</t>
  </si>
  <si>
    <t>Genus</t>
  </si>
  <si>
    <t>Family</t>
  </si>
  <si>
    <t>Photo_pathway</t>
  </si>
  <si>
    <t>Age_days</t>
  </si>
  <si>
    <t xml:space="preserve">Root_section </t>
  </si>
  <si>
    <t>Conductance</t>
  </si>
  <si>
    <t>Conductivity</t>
  </si>
  <si>
    <t>root_diameter_mm</t>
  </si>
  <si>
    <t>Barley</t>
  </si>
  <si>
    <t>Hordeum</t>
  </si>
  <si>
    <t>Poaceae</t>
  </si>
  <si>
    <t>C3</t>
  </si>
  <si>
    <t>C3 grass</t>
  </si>
  <si>
    <t>C4</t>
  </si>
  <si>
    <t>C4 grass</t>
  </si>
  <si>
    <t>Control</t>
  </si>
  <si>
    <t>Vitaceae</t>
  </si>
  <si>
    <t>HPFM</t>
  </si>
  <si>
    <t>Maize</t>
  </si>
  <si>
    <t>Zea</t>
  </si>
  <si>
    <t>Pressure probe</t>
  </si>
  <si>
    <t>Cuneo_etal_2021_New Phytol</t>
  </si>
  <si>
    <t>fine root</t>
  </si>
  <si>
    <t>Microcapillary</t>
  </si>
  <si>
    <t>seminal root</t>
  </si>
  <si>
    <t>distal</t>
  </si>
  <si>
    <t>Individual_root_length_cm</t>
  </si>
  <si>
    <t>Ding_etal_2020_Plant Physiol</t>
  </si>
  <si>
    <t>primary root</t>
  </si>
  <si>
    <t>Kreszies_etal_2020_Plant Cell Env</t>
  </si>
  <si>
    <t>whole</t>
  </si>
  <si>
    <t>Ranathunge_etal_2017_Ann Bot</t>
  </si>
  <si>
    <t>Quercus fusiformis</t>
  </si>
  <si>
    <t>Quercus</t>
  </si>
  <si>
    <t>Fagaceae</t>
  </si>
  <si>
    <t>BET Temperate</t>
  </si>
  <si>
    <t>Johnson_etal_2014_Trees</t>
  </si>
  <si>
    <t>shallow root</t>
  </si>
  <si>
    <t>deep root</t>
  </si>
  <si>
    <t>Fricke_etal_2014_Funct Plant Biol</t>
  </si>
  <si>
    <t>Root exudation</t>
  </si>
  <si>
    <t>Wheat</t>
  </si>
  <si>
    <t>Triticum</t>
  </si>
  <si>
    <t>adventitious root</t>
  </si>
  <si>
    <t>Salt stress</t>
  </si>
  <si>
    <t>Suku_etal_2013_Ann Bot</t>
  </si>
  <si>
    <t>Grapevine</t>
  </si>
  <si>
    <t>Gambetta_etal_2013_Plant Physiol</t>
  </si>
  <si>
    <t>Hachez_etal_2012_Plant Cell Env</t>
  </si>
  <si>
    <t>AQP</t>
  </si>
  <si>
    <t>Vacuum</t>
  </si>
  <si>
    <t>Pressure chamber</t>
  </si>
  <si>
    <t>Gambetta_etal_2012_J Exp Biol</t>
  </si>
  <si>
    <t>Knipfer_etal_2011_J Exp Biol</t>
  </si>
  <si>
    <t>Almeida-Rodriguez_etal_2011_Plant Cell Env</t>
  </si>
  <si>
    <t>white root</t>
  </si>
  <si>
    <t>Populus trichocarpa x deltoides</t>
  </si>
  <si>
    <t>Populus</t>
  </si>
  <si>
    <t>Salicaceae</t>
  </si>
  <si>
    <t>BDT Temperate</t>
  </si>
  <si>
    <t>Cerastes crassifolius</t>
  </si>
  <si>
    <t>Ceanothus</t>
  </si>
  <si>
    <t>Rhamnaceae</t>
  </si>
  <si>
    <t>Shrub</t>
  </si>
  <si>
    <t>BES Temperate</t>
  </si>
  <si>
    <t>Ceanothus spinosus</t>
  </si>
  <si>
    <t>Rhamnus californica</t>
  </si>
  <si>
    <t>Rhamnus</t>
  </si>
  <si>
    <t>Sun</t>
  </si>
  <si>
    <t>distal, mid-root</t>
  </si>
  <si>
    <t>basal</t>
  </si>
  <si>
    <t>Shade</t>
  </si>
  <si>
    <t>Calculated</t>
  </si>
  <si>
    <t>Pratt_et_al_2010_Funct Ecol</t>
  </si>
  <si>
    <t>Meyer_etal_2010_J Exp Biol</t>
  </si>
  <si>
    <t>Iris</t>
  </si>
  <si>
    <t>Iridaceae</t>
  </si>
  <si>
    <t>Iris germanica</t>
  </si>
  <si>
    <t>0 exodermal layers</t>
  </si>
  <si>
    <t>2 exodermal layers</t>
  </si>
  <si>
    <t>Mu_etal_2006_Bot Stud</t>
  </si>
  <si>
    <t xml:space="preserve">Drought </t>
  </si>
  <si>
    <t>Low P</t>
  </si>
  <si>
    <t>Low N</t>
  </si>
  <si>
    <t>Vacuum perfusion</t>
  </si>
  <si>
    <t>Joshi_etal_2009_New Phytol</t>
  </si>
  <si>
    <t>Katsuhara&amp;Shibasaka_2007_Soil Sci Plant Nutr</t>
  </si>
  <si>
    <t>Double-chamber volumeter</t>
  </si>
  <si>
    <t>Fan_etal_2007_J Integr Plant Biol</t>
  </si>
  <si>
    <t>Bramley_etal_2007_Plant Cell Env</t>
  </si>
  <si>
    <t>Narrow-leafed lupin</t>
  </si>
  <si>
    <t>Yellow lupin</t>
  </si>
  <si>
    <t>Lupinus</t>
  </si>
  <si>
    <t>Fabaceae</t>
  </si>
  <si>
    <t>C3 crop dicot</t>
  </si>
  <si>
    <t>Pressure probe relaxation</t>
  </si>
  <si>
    <t>Pressure probe clamp</t>
  </si>
  <si>
    <t>tap root</t>
  </si>
  <si>
    <t>Doussan_etal_2006_Plant Soil</t>
  </si>
  <si>
    <t>Zhao_etal_2005_J Integr Plant Biol</t>
  </si>
  <si>
    <t>Triticum boeoticum</t>
  </si>
  <si>
    <t>Triticum monococcum</t>
  </si>
  <si>
    <t>Triticum dicoccides</t>
  </si>
  <si>
    <t>Triticum dicoccon</t>
  </si>
  <si>
    <t>Triticum vulgare</t>
  </si>
  <si>
    <t>Triticum aestivum</t>
  </si>
  <si>
    <t>North_etal_2004_Plant Cell Env</t>
  </si>
  <si>
    <t>Agave deserti</t>
  </si>
  <si>
    <t>Agave</t>
  </si>
  <si>
    <t>Asparagaceae</t>
  </si>
  <si>
    <t>CAM</t>
  </si>
  <si>
    <t>Succulent</t>
  </si>
  <si>
    <t>mid-root</t>
  </si>
  <si>
    <t xml:space="preserve">Vacuum </t>
  </si>
  <si>
    <t>main root</t>
  </si>
  <si>
    <t>Drought</t>
  </si>
  <si>
    <t>Ranathunge_etal_2003_Planta</t>
  </si>
  <si>
    <t>Rice</t>
  </si>
  <si>
    <t>Oryza</t>
  </si>
  <si>
    <t>Miyamoto_etal_2001_J Exp Biol</t>
  </si>
  <si>
    <t>Martre_etal_2001_Plant Physiol</t>
  </si>
  <si>
    <t xml:space="preserve">Opuntia acanthocarpa </t>
  </si>
  <si>
    <t>Opuntia</t>
  </si>
  <si>
    <t>Cactaceae</t>
  </si>
  <si>
    <t>Zimmermann_etal_2000_Planta</t>
  </si>
  <si>
    <t>Drought_AQP</t>
  </si>
  <si>
    <t>North&amp;Nobel_2000_Ann Bot</t>
  </si>
  <si>
    <t>Barrowclough_etal_2000_J Exp Biol</t>
  </si>
  <si>
    <t>Onion</t>
  </si>
  <si>
    <t>Allium</t>
  </si>
  <si>
    <t>Amaryllidaceae</t>
  </si>
  <si>
    <t>Mini-potometer</t>
  </si>
  <si>
    <t>Gibbs_etal_1998_Aust J Plant Physiol</t>
  </si>
  <si>
    <t>Hypoxia</t>
  </si>
  <si>
    <t>Dubrovsky_etal_1998_New Phytol</t>
  </si>
  <si>
    <t>Drought rapid</t>
  </si>
  <si>
    <t>Drought gradual</t>
  </si>
  <si>
    <t>Tazawa_eatl_1997_J Plant Res</t>
  </si>
  <si>
    <t>Double-chamber osmometer</t>
  </si>
  <si>
    <t>North&amp;Nobel_1996_Ann Bot</t>
  </si>
  <si>
    <t>Opuntia ficus-indica</t>
  </si>
  <si>
    <t>main root + lateral root</t>
  </si>
  <si>
    <t>Frensch_etal_1996_Planta</t>
  </si>
  <si>
    <t>Steudle_etal_1993_Plant Physiol</t>
  </si>
  <si>
    <t>Wounding epidermis</t>
  </si>
  <si>
    <t>Wounded</t>
  </si>
  <si>
    <t>Peterson_etal_1993_Planta</t>
  </si>
  <si>
    <t>Melchior&amp;Steudle_1993_Plant Physiol</t>
  </si>
  <si>
    <t>Birner&amp;Steudle_1993_Planta</t>
  </si>
  <si>
    <t>Huang&amp;Nobel_1992_J Exp Biol</t>
  </si>
  <si>
    <t>lateral root</t>
  </si>
  <si>
    <t>Cruz_etal_1992_Plant Physiol</t>
  </si>
  <si>
    <t>Sorghum bicolor</t>
  </si>
  <si>
    <t>Sorghum</t>
  </si>
  <si>
    <t>Alm_etal_1992_Ann Bot</t>
  </si>
  <si>
    <t>Zhu_etal_1991_Plant Physiol</t>
  </si>
  <si>
    <t>Surface_measured_cm2</t>
  </si>
  <si>
    <t>North&amp;Nobel_1991_Am J Bot</t>
  </si>
  <si>
    <t>nodal root</t>
  </si>
  <si>
    <t>Lopez&amp;Nobel_1991_J Exp Biol</t>
  </si>
  <si>
    <t>Ferocactus acanthodes</t>
  </si>
  <si>
    <t>Ferocactus</t>
  </si>
  <si>
    <t>Azaizeh&amp;Steudle_1991_Plant Physiol</t>
  </si>
  <si>
    <t>Steudle&amp;Brinckmann_1989_Bot Acta</t>
  </si>
  <si>
    <t>Phaseolus</t>
  </si>
  <si>
    <t>Phaseolus coccineus</t>
  </si>
  <si>
    <t>Frensch&amp;Steudle_1989_Plant Physiol</t>
  </si>
  <si>
    <t>Steudle_etal_1987_Plant Physiol</t>
  </si>
  <si>
    <t>Nobel_etal_1993_J Exp Biol</t>
  </si>
  <si>
    <t>Agave mapisaga</t>
  </si>
  <si>
    <t>Agave salmiana</t>
  </si>
  <si>
    <t>Steudle&amp;Jeschke_1983_Planta</t>
  </si>
  <si>
    <t>Evlagon_etal_1990_Isr J Bot</t>
  </si>
  <si>
    <t>Gunse_etal_1997_Plant Physiol</t>
  </si>
  <si>
    <t>Knipfer&amp;Fricke_2011_J Exp Biol</t>
  </si>
  <si>
    <t>Bramley_etal_2009_Plant Physiol</t>
  </si>
  <si>
    <t>roots</t>
  </si>
  <si>
    <t>Root-zone O2</t>
  </si>
  <si>
    <t>Stagnant</t>
  </si>
  <si>
    <t>Gartwaite_etal_2006_J Exp Bot</t>
  </si>
  <si>
    <t>Hordeum marinum</t>
  </si>
  <si>
    <t>IR64</t>
  </si>
  <si>
    <t>Azucena</t>
  </si>
  <si>
    <t>101-14</t>
  </si>
  <si>
    <t>110R</t>
  </si>
  <si>
    <t>Hydroponics</t>
  </si>
  <si>
    <t>Aeroponics</t>
  </si>
  <si>
    <t>Morex</t>
  </si>
  <si>
    <t>Pakistan</t>
  </si>
  <si>
    <t>Osmotic stress</t>
  </si>
  <si>
    <t>420A</t>
  </si>
  <si>
    <t>1103P</t>
  </si>
  <si>
    <t>Phosphorus</t>
  </si>
  <si>
    <t>Drought_Nutrient limitation</t>
  </si>
  <si>
    <t>Value_type</t>
  </si>
  <si>
    <t>treatment average</t>
  </si>
  <si>
    <t>treatment min</t>
  </si>
  <si>
    <t>treatment max</t>
  </si>
  <si>
    <t>Adour 250</t>
  </si>
  <si>
    <t>BR 201 F</t>
  </si>
  <si>
    <t>ph4.5</t>
  </si>
  <si>
    <t>Puncturing</t>
  </si>
  <si>
    <t>Punctured</t>
  </si>
  <si>
    <t>Salt stress_Calcium</t>
  </si>
  <si>
    <t>Initial water flow</t>
  </si>
  <si>
    <t>Relaxations</t>
  </si>
  <si>
    <t>Constant water flow</t>
  </si>
  <si>
    <t>Crop woody</t>
  </si>
  <si>
    <t>Grünhofer_et_al_2021_Plant Methods</t>
  </si>
  <si>
    <t>P. alba x P. tremula</t>
  </si>
  <si>
    <t>BDT Boreal</t>
  </si>
  <si>
    <t>Vitis</t>
  </si>
  <si>
    <t>Infiltrated</t>
  </si>
  <si>
    <t>Hydrostatic</t>
  </si>
  <si>
    <t>Osmotic</t>
  </si>
  <si>
    <t>Driving_force</t>
  </si>
  <si>
    <t>PFT</t>
  </si>
  <si>
    <t>BDT</t>
  </si>
  <si>
    <t>BET</t>
  </si>
  <si>
    <t>Crop legume</t>
  </si>
  <si>
    <t>Crop monocot</t>
  </si>
  <si>
    <t>Drought mild</t>
  </si>
  <si>
    <t>Drought severe</t>
  </si>
  <si>
    <t>Osmotic stress_Genotype</t>
  </si>
  <si>
    <t>AQP_Season</t>
  </si>
  <si>
    <t>Jan</t>
  </si>
  <si>
    <t>Apr</t>
  </si>
  <si>
    <t>Jun</t>
  </si>
  <si>
    <t>Sep</t>
  </si>
  <si>
    <t>AQP_Light intensity</t>
  </si>
  <si>
    <t>Low light</t>
  </si>
  <si>
    <t>Intermidiate light</t>
  </si>
  <si>
    <t>High light</t>
  </si>
  <si>
    <t>Shade to light</t>
  </si>
  <si>
    <t xml:space="preserve">AQP_Infiltration </t>
  </si>
  <si>
    <t>Al+</t>
  </si>
  <si>
    <t>ph_Al exposure_Genotype</t>
  </si>
  <si>
    <t>Drought_Age</t>
  </si>
  <si>
    <t>Young</t>
  </si>
  <si>
    <t>Old</t>
  </si>
  <si>
    <t>Calcium+</t>
  </si>
  <si>
    <t>AQPinhibition</t>
  </si>
  <si>
    <t>AQPenhancement</t>
  </si>
  <si>
    <t>Growth_form</t>
  </si>
  <si>
    <t>Tree</t>
  </si>
  <si>
    <t>Graminoid</t>
  </si>
  <si>
    <t>Crop</t>
  </si>
  <si>
    <t>Other</t>
  </si>
  <si>
    <t>Meunier_etal_2018_J Plant Physiol</t>
  </si>
  <si>
    <t>Back-flow technique</t>
  </si>
  <si>
    <t>Jones_etal_1988_Planta</t>
  </si>
  <si>
    <t>Drought_Rootstock</t>
  </si>
  <si>
    <t>AQP_Rootstock</t>
  </si>
  <si>
    <t>Ktitorova_etal_2002_Russ J Plant Physiol</t>
  </si>
  <si>
    <t>Salt stress_Genotype</t>
  </si>
  <si>
    <t>Mironovskaya 808</t>
  </si>
  <si>
    <t>Belorusskaya 80</t>
  </si>
  <si>
    <t>Initial flow</t>
  </si>
  <si>
    <t>divided in 2 segments</t>
  </si>
  <si>
    <t>divided in 3 segments</t>
  </si>
  <si>
    <t>divided in 5 segments</t>
  </si>
  <si>
    <t>Root temperature</t>
  </si>
  <si>
    <t>Reduced temperature</t>
  </si>
  <si>
    <t>Tissera&amp;Ayres_1988_Physiol Mol Plant Pathol</t>
  </si>
  <si>
    <t>Vicia faba</t>
  </si>
  <si>
    <t>Vicia</t>
  </si>
  <si>
    <t>Rust infection</t>
  </si>
  <si>
    <t>Infested</t>
  </si>
  <si>
    <t>Measurement_method</t>
  </si>
  <si>
    <t>Root_type</t>
  </si>
  <si>
    <t>Experimental_treatment</t>
  </si>
  <si>
    <t>Treatment_level1</t>
  </si>
  <si>
    <t>Treatment_type1</t>
  </si>
  <si>
    <t>Shading</t>
  </si>
  <si>
    <t>Root epidermis</t>
  </si>
  <si>
    <t xml:space="preserve">Evolution genotype </t>
  </si>
  <si>
    <t>Genotype</t>
  </si>
  <si>
    <t>Culture_Genotype</t>
  </si>
  <si>
    <t>Culture</t>
  </si>
  <si>
    <t>Root length</t>
  </si>
  <si>
    <t>Method</t>
  </si>
  <si>
    <t>Treatment_type2</t>
  </si>
  <si>
    <t>Treatment_type3</t>
  </si>
  <si>
    <t>Treatment_level2</t>
  </si>
  <si>
    <t>Treatment_level3</t>
  </si>
  <si>
    <t>PFT_CLM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</si>
</sst>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E+00"/>
  </numFmts>
  <fonts count="4" x14ac:knownFonts="1">
    <font>
      <sz val="11"/>
      <color theme="1"/>
      <name val="Calibri"/>
      <family val="2"/>
      <scheme val="minor"/>
    </font>
    <font>
      <b/>
      <sz val="9"/>
      <color indexed="81"/>
      <name val="Tahoma"/>
      <family val="2"/>
    </font>
    <font>
      <sz val="9"/>
      <color indexed="81"/>
      <name val="Tahoma"/>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1" fontId="0" fillId="0" borderId="0" xfId="0" applyNumberFormat="1"/>
    <xf numFmtId="2" fontId="0" fillId="0" borderId="0" xfId="0" applyNumberFormat="1"/>
    <xf numFmtId="164" fontId="0" fillId="0" borderId="0" xfId="0" applyNumberFormat="1"/>
    <xf numFmtId="0" fontId="0" fillId="0" borderId="0" xfId="0" applyAlignment="1">
      <alignment vertical="center" wrapText="1"/>
    </xf>
    <xf numFmtId="1"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externalLink" Target="externalLinks/externalLink37.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42" Type="http://schemas.openxmlformats.org/officeDocument/2006/relationships/externalLink" Target="externalLinks/externalLink40.xml"/><Relationship Id="rId47" Type="http://schemas.openxmlformats.org/officeDocument/2006/relationships/sharedStrings" Target="sharedStrings.xml"/><Relationship Id="rId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14.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45" Type="http://schemas.openxmlformats.org/officeDocument/2006/relationships/theme" Target="theme/theme1.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calcChain" Target="calcChain.xml"/><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styles" Target="styles.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Cuneo_etal_2021_Fig5.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C:\Users\j.baca\sciebo\literature%20review\Individual%20roots\Digitalization\Gambetta_etal_2013_Fig3a.xlsx" TargetMode="External"/><Relationship Id="rId1" Type="http://schemas.openxmlformats.org/officeDocument/2006/relationships/externalLinkPath" Target="/Users/j.baca/sciebo/literature%20review/Individual%20roots/Digitalization/Gambetta_etal_2013_Fig3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Gambetta_etal_2012_Fig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Almeida-Rodriguez_etal_2011_Fig1b.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Almeida-Rodriguez_etal_2011_Fig2a.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file:///C:\Users\j.baca\sciebo\literature%20review\Individual%20roots\Digitalization\Pratt_etal_2010_Fig3ae.xlsx" TargetMode="External"/><Relationship Id="rId1" Type="http://schemas.openxmlformats.org/officeDocument/2006/relationships/externalLinkPath" Target="/Users/j.baca/sciebo/literature%20review/Individual%20roots/Digitalization/Pratt_etal_2010_Fig3ae.xlsx"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C:\Users\j.baca\sciebo\literature%20review\Individual%20roots\Digitalization\Pratt_etal_2010_Fig3bf.xlsx" TargetMode="External"/><Relationship Id="rId1" Type="http://schemas.openxmlformats.org/officeDocument/2006/relationships/externalLinkPath" Target="/Users/j.baca/sciebo/literature%20review/Individual%20roots/Digitalization/Pratt_etal_2010_Fig3bf.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Katsuhara&amp;Shibasaka_2007_Fig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Fan_etal_2007_Fig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Bramley_etal_2007_Fig4.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Mu_etal_2006_Fig1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Kresizies_etal_2020_Fig1.xlsx" TargetMode="External"/></Relationships>
</file>

<file path=xl/externalLinks/_rels/externalLink20.xml.rels><?xml version="1.0" encoding="UTF-8" standalone="yes"?>
<Relationships xmlns="http://schemas.openxmlformats.org/package/2006/relationships"><Relationship Id="rId2" Type="http://schemas.openxmlformats.org/officeDocument/2006/relationships/externalLinkPath" Target="file:///C:\Users\j.baca\sciebo\literature%20review\Individual%20roots\Digitalization\North_etal_2004_Fig2.xlsx" TargetMode="External"/><Relationship Id="rId1" Type="http://schemas.openxmlformats.org/officeDocument/2006/relationships/externalLinkPath" Target="/Users/j.baca/sciebo/literature%20review/Individual%20roots/Digitalization/North_etal_2004_Fig2.xlsx" TargetMode="External"/></Relationships>
</file>

<file path=xl/externalLinks/_rels/externalLink21.xml.rels><?xml version="1.0" encoding="UTF-8" standalone="yes"?>
<Relationships xmlns="http://schemas.openxmlformats.org/package/2006/relationships"><Relationship Id="rId2" Type="http://schemas.openxmlformats.org/officeDocument/2006/relationships/externalLinkPath" Target="file:///C:\Users\j.baca\sciebo\literature%20review\Individual%20roots\Digitalization\North_etal_2004_Fig5.xlsx" TargetMode="External"/><Relationship Id="rId1" Type="http://schemas.openxmlformats.org/officeDocument/2006/relationships/externalLinkPath" Target="/Users/j.baca/sciebo/literature%20review/Individual%20roots/Digitalization/North_etal_2004_Fig5.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Martre_etal_2001_Fig3.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Martre_etal_2001_Fig5.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North&amp;Nobel_2000_Fig4.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Barrowclough_etal_2000_Fig3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Dubrovsky_etal_1998_Fig4.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North&amp;Nobel_1996_Fig2a.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North&amp;Nobel_1996_Fig3.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Frensch_etal_1996_Fig2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Ding_etal_2020_Fig3.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Nobel_etal_1993_Fig4a.xlsx" TargetMode="External"/></Relationships>
</file>

<file path=xl/externalLinks/_rels/externalLink31.xml.rels><?xml version="1.0" encoding="UTF-8" standalone="yes"?>
<Relationships xmlns="http://schemas.openxmlformats.org/package/2006/relationships"><Relationship Id="rId2" Type="http://schemas.openxmlformats.org/officeDocument/2006/relationships/externalLinkPath" Target="file:///C:\Users\j.baca\sciebo\literature%20review\Individual%20roots\Digitalization\Nobel_etal_1993_Fig4c.xlsx" TargetMode="External"/><Relationship Id="rId1" Type="http://schemas.openxmlformats.org/officeDocument/2006/relationships/externalLinkPath" Target="/Users/j.baca/sciebo/literature%20review/Individual%20roots/Digitalization/Nobel_etal_1993_Fig4c.xlsx" TargetMode="External"/></Relationships>
</file>

<file path=xl/externalLinks/_rels/externalLink32.xml.rels><?xml version="1.0" encoding="UTF-8" standalone="yes"?>
<Relationships xmlns="http://schemas.openxmlformats.org/package/2006/relationships"><Relationship Id="rId2" Type="http://schemas.openxmlformats.org/officeDocument/2006/relationships/externalLinkPath" Target="file:///C:\Users\j.baca\sciebo\literature%20review\Individual%20roots\Digitalization\Melchior&amp;Steudle_1993_Fig4d.xlsx" TargetMode="External"/><Relationship Id="rId1" Type="http://schemas.openxmlformats.org/officeDocument/2006/relationships/externalLinkPath" Target="/Users/j.baca/sciebo/literature%20review/Individual%20roots/Digitalization/Melchior&amp;Steudle_1993_Fig4d.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Huang&amp;Nobel_1992_Fig2.xlsx" TargetMode="External"/></Relationships>
</file>

<file path=xl/externalLinks/_rels/externalLink34.xml.rels><?xml version="1.0" encoding="UTF-8" standalone="yes"?>
<Relationships xmlns="http://schemas.openxmlformats.org/package/2006/relationships"><Relationship Id="rId2" Type="http://schemas.openxmlformats.org/officeDocument/2006/relationships/externalLinkPath" Target="file:///C:\Users\j.baca\sciebo\literature%20review\Individual%20roots\Digitalization\Huang&amp;Nobel_1992_Fig3.xlsx" TargetMode="External"/><Relationship Id="rId1" Type="http://schemas.openxmlformats.org/officeDocument/2006/relationships/externalLinkPath" Target="/Users/j.baca/sciebo/literature%20review/Individual%20roots/Digitalization/Huang&amp;Nobel_1992_Fig3.xlsx" TargetMode="External"/></Relationships>
</file>

<file path=xl/externalLinks/_rels/externalLink35.xml.rels><?xml version="1.0" encoding="UTF-8" standalone="yes"?>
<Relationships xmlns="http://schemas.openxmlformats.org/package/2006/relationships"><Relationship Id="rId2" Type="http://schemas.openxmlformats.org/officeDocument/2006/relationships/externalLinkPath" Target="file:///C:\Users\j.baca\sciebo\literature%20review\Individual%20roots\Digitalization\Huang&amp;Nobel_1992_Fig6.xlsx" TargetMode="External"/><Relationship Id="rId1" Type="http://schemas.openxmlformats.org/officeDocument/2006/relationships/externalLinkPath" Target="/Users/j.baca/sciebo/literature%20review/Individual%20roots/Digitalization/Huang&amp;Nobel_1992_Fig6.xlsx" TargetMode="External"/></Relationships>
</file>

<file path=xl/externalLinks/_rels/externalLink36.xml.rels><?xml version="1.0" encoding="UTF-8" standalone="yes"?>
<Relationships xmlns="http://schemas.openxmlformats.org/package/2006/relationships"><Relationship Id="rId2" Type="http://schemas.openxmlformats.org/officeDocument/2006/relationships/externalLinkPath" Target="file:///C:\Users\j.baca\sciebo\literature%20review\Individual%20roots\Digitalization\North&amp;Nobel_1991_Fig1.xlsx" TargetMode="External"/><Relationship Id="rId1" Type="http://schemas.openxmlformats.org/officeDocument/2006/relationships/externalLinkPath" Target="/Users/j.baca/sciebo/literature%20review/Individual%20roots/Digitalization/North&amp;Nobel_1991_Fig1.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Lopez&amp;Nobel_1991_Fig2a.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Lopez&amp;Nobel_1991_Fig2b.xlsx" TargetMode="External"/></Relationships>
</file>

<file path=xl/externalLinks/_rels/externalLink39.xml.rels><?xml version="1.0" encoding="UTF-8" standalone="yes"?>
<Relationships xmlns="http://schemas.openxmlformats.org/package/2006/relationships"><Relationship Id="rId2" Type="http://schemas.openxmlformats.org/officeDocument/2006/relationships/externalLinkPath" Target="file:///C:\Users\j.baca\sciebo\literature%20review\Individual%20roots\Digitalization\Frensch&amp;Steudle_1989_Fig3a.xlsx" TargetMode="External"/><Relationship Id="rId1" Type="http://schemas.openxmlformats.org/officeDocument/2006/relationships/externalLinkPath" Target="/Users/j.baca/sciebo/literature%20review/Individual%20roots/Digitalization/Frensch&amp;Steudle_1989_Fig3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Johnson_etal_2014_Fig3a.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Frensch&amp;Steudle_1989_Fig3b.xlsx" TargetMode="External"/></Relationships>
</file>

<file path=xl/externalLinks/_rels/externalLink41.xml.rels><?xml version="1.0" encoding="UTF-8" standalone="yes"?>
<Relationships xmlns="http://schemas.openxmlformats.org/package/2006/relationships"><Relationship Id="rId2" Type="http://schemas.openxmlformats.org/officeDocument/2006/relationships/externalLinkPath" Target="file:///C:\Users\j.baca\sciebo\literature%20review\Individual%20roots\Digitalization\Jones_etal_1988_Fig1b.xlsx" TargetMode="External"/><Relationship Id="rId1" Type="http://schemas.openxmlformats.org/officeDocument/2006/relationships/externalLinkPath" Target="/Users/j.baca/sciebo/literature%20review/Individual%20roots/Digitalization/Jones_etal_1988_Fig1b.xlsx" TargetMode="External"/></Relationships>
</file>

<file path=xl/externalLinks/_rels/externalLink42.xml.rels><?xml version="1.0" encoding="UTF-8" standalone="yes"?>
<Relationships xmlns="http://schemas.openxmlformats.org/package/2006/relationships"><Relationship Id="rId2" Type="http://schemas.openxmlformats.org/officeDocument/2006/relationships/externalLinkPath" Target="file:///C:\Users\j.baca\sciebo\literature%20review\Individual%20roots\Digitalization\Jones_etal_1988_Fig1a.xlsx" TargetMode="External"/><Relationship Id="rId1" Type="http://schemas.openxmlformats.org/officeDocument/2006/relationships/externalLinkPath" Target="/Users/j.baca/sciebo/literature%20review/Individual%20roots/Digitalization/Jones_etal_1988_Fig1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Johnson_etal_2014_Fig3b.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Johnson_etal_2014_Fig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Fricke_etal_2014_Fig2c.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Fricke_etal_2014_Fig2b.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j.baca/sciebo/literature%20review/Individual%20roots/Digitalization/Suku_etal_2013_Fig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neo_etal_2021_Fig5"/>
    </sheetNames>
    <sheetDataSet>
      <sheetData sheetId="0">
        <row r="2">
          <cell r="B2">
            <v>8.3999999999999892E-9</v>
          </cell>
        </row>
        <row r="3">
          <cell r="B3">
            <v>9.8736842105263099E-9</v>
          </cell>
        </row>
        <row r="4">
          <cell r="B4">
            <v>2.5707602339181299E-9</v>
          </cell>
        </row>
        <row r="6">
          <cell r="B6">
            <v>6.0584795321637396E-9</v>
          </cell>
        </row>
        <row r="7">
          <cell r="B7">
            <v>3.29122807017543E-9</v>
          </cell>
        </row>
        <row r="8">
          <cell r="B8">
            <v>2.4888888888888899E-9</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ambetta_etal_2013_Fig3a"/>
    </sheetNames>
    <sheetDataSet>
      <sheetData sheetId="0">
        <row r="2">
          <cell r="B2">
            <v>5.6071428571428502E-7</v>
          </cell>
        </row>
        <row r="3">
          <cell r="B3">
            <v>4.1071428571428499E-8</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mbetta_etal_2012_Fig4"/>
    </sheetNames>
    <sheetDataSet>
      <sheetData sheetId="0">
        <row r="2">
          <cell r="B2">
            <v>5.6098310291858599E-8</v>
          </cell>
        </row>
        <row r="3">
          <cell r="B3">
            <v>4.3195084485406998E-8</v>
          </cell>
        </row>
        <row r="4">
          <cell r="B4">
            <v>8.4976958525345597E-8</v>
          </cell>
        </row>
        <row r="5">
          <cell r="B5">
            <v>7.3763440860214995E-8</v>
          </cell>
        </row>
        <row r="6">
          <cell r="B6">
            <v>5.3640552995391602E-8</v>
          </cell>
        </row>
        <row r="7">
          <cell r="B7">
            <v>3.3056835637480801E-8</v>
          </cell>
        </row>
        <row r="8">
          <cell r="B8">
            <v>5.0107526881720398E-8</v>
          </cell>
        </row>
        <row r="9">
          <cell r="B9">
            <v>5.8863287250384003E-8</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meida-Rodriguez_etal_2011_Fig"/>
    </sheetNames>
    <sheetDataSet>
      <sheetData sheetId="0">
        <row r="2">
          <cell r="B2">
            <v>2.0531249999999899E-5</v>
          </cell>
        </row>
        <row r="3">
          <cell r="B3">
            <v>1.05937499999999E-5</v>
          </cell>
        </row>
        <row r="5">
          <cell r="B5">
            <v>1.8562500000000001E-5</v>
          </cell>
        </row>
        <row r="6">
          <cell r="B6">
            <v>8.1562499999999696E-6</v>
          </cell>
        </row>
        <row r="8">
          <cell r="B8">
            <v>2.1749999999999898E-5</v>
          </cell>
        </row>
        <row r="9">
          <cell r="B9">
            <v>1.1249999999999901E-5</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meida-Rodriguez_etal_2011_Fig"/>
    </sheetNames>
    <sheetDataSet>
      <sheetData sheetId="0">
        <row r="2">
          <cell r="B2">
            <v>2.7619047619047599E-6</v>
          </cell>
        </row>
        <row r="3">
          <cell r="B3">
            <v>9.7619047619047594E-7</v>
          </cell>
        </row>
        <row r="4">
          <cell r="B4">
            <v>9.0238095238095194E-6</v>
          </cell>
        </row>
        <row r="5">
          <cell r="B5">
            <v>2.5952380952380899E-6</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att_etal_2010_Fig3ae"/>
    </sheetNames>
    <sheetDataSet>
      <sheetData sheetId="0">
        <row r="2">
          <cell r="B2">
            <v>1.4178217821782101E-7</v>
          </cell>
        </row>
        <row r="3">
          <cell r="B3">
            <v>3.8019801980197702E-8</v>
          </cell>
        </row>
        <row r="4">
          <cell r="B4">
            <v>5.7029702970297099E-8</v>
          </cell>
        </row>
        <row r="5">
          <cell r="B5">
            <v>2.3920792079207899E-7</v>
          </cell>
        </row>
        <row r="6">
          <cell r="B6">
            <v>1.27524752475247E-7</v>
          </cell>
        </row>
        <row r="7">
          <cell r="B7">
            <v>8.7920792079207702E-8</v>
          </cell>
        </row>
        <row r="8">
          <cell r="B8">
            <v>2.6930693069306899E-7</v>
          </cell>
        </row>
        <row r="9">
          <cell r="B9">
            <v>5.2277227722772097E-8</v>
          </cell>
        </row>
        <row r="10">
          <cell r="B10">
            <v>1.1009900990099E-7</v>
          </cell>
        </row>
        <row r="11">
          <cell r="B11">
            <v>2.4237623762376198E-7</v>
          </cell>
        </row>
        <row r="12">
          <cell r="B12">
            <v>1.5049504950495E-7</v>
          </cell>
        </row>
        <row r="13">
          <cell r="B13">
            <v>1.02970297029702E-7</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att_etal_2010_Fig3bf"/>
    </sheetNames>
    <sheetDataSet>
      <sheetData sheetId="0">
        <row r="2">
          <cell r="B2">
            <v>1.7425742574257499E-7</v>
          </cell>
        </row>
        <row r="3">
          <cell r="B3">
            <v>1.5920792079208E-7</v>
          </cell>
        </row>
        <row r="4">
          <cell r="B4">
            <v>1.2118811881188099E-7</v>
          </cell>
        </row>
        <row r="5">
          <cell r="B5">
            <v>3.3821782178217998E-7</v>
          </cell>
        </row>
        <row r="6">
          <cell r="B6">
            <v>2.3049504950495101E-7</v>
          </cell>
        </row>
        <row r="7">
          <cell r="B7">
            <v>2.28118811881189E-7</v>
          </cell>
        </row>
        <row r="8">
          <cell r="B8">
            <v>2.6138613861386199E-7</v>
          </cell>
        </row>
        <row r="9">
          <cell r="B9">
            <v>2.33663366336635E-7</v>
          </cell>
        </row>
        <row r="10">
          <cell r="B10">
            <v>1.21188118811882E-7</v>
          </cell>
        </row>
        <row r="11">
          <cell r="B11">
            <v>3.4059405940594198E-7</v>
          </cell>
        </row>
        <row r="12">
          <cell r="B12">
            <v>2.33663366336634E-7</v>
          </cell>
        </row>
        <row r="13">
          <cell r="B13">
            <v>2.3762376237623901E-7</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tsuhara&amp;Shibasaka_2007_Fig2"/>
    </sheetNames>
    <sheetDataSet>
      <sheetData sheetId="0">
        <row r="2">
          <cell r="B2">
            <v>1.06447638603696E-7</v>
          </cell>
        </row>
        <row r="3">
          <cell r="B3">
            <v>1.40616016427104E-7</v>
          </cell>
        </row>
        <row r="4">
          <cell r="B4">
            <v>9.0020533880903501E-8</v>
          </cell>
        </row>
        <row r="5">
          <cell r="B5">
            <v>5.7823408624229902E-8</v>
          </cell>
        </row>
        <row r="6">
          <cell r="B6">
            <v>6.5051334702258697E-8</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n_etal_2007_Fig1"/>
    </sheetNames>
    <sheetDataSet>
      <sheetData sheetId="0">
        <row r="2">
          <cell r="C2">
            <v>1.0654827968923417E-7</v>
          </cell>
        </row>
        <row r="3">
          <cell r="C3">
            <v>1.798002219755825E-7</v>
          </cell>
        </row>
        <row r="4">
          <cell r="C4">
            <v>2.5823159452460219E-7</v>
          </cell>
        </row>
        <row r="5">
          <cell r="C5">
            <v>2.2937476877543442E-7</v>
          </cell>
        </row>
        <row r="6">
          <cell r="C6">
            <v>9.5449500554938887E-8</v>
          </cell>
        </row>
        <row r="7">
          <cell r="C7">
            <v>1.5094339622641499E-7</v>
          </cell>
        </row>
        <row r="8">
          <cell r="C8">
            <v>1.4280429152793166E-7</v>
          </cell>
        </row>
        <row r="9">
          <cell r="C9">
            <v>1.3688494265630778E-7</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amley_etal_2007_Fig4"/>
    </sheetNames>
    <sheetDataSet>
      <sheetData sheetId="0">
        <row r="2">
          <cell r="B2">
            <v>1.77503974562798E-7</v>
          </cell>
        </row>
        <row r="3">
          <cell r="B3">
            <v>4.8410174880763001E-8</v>
          </cell>
        </row>
        <row r="4">
          <cell r="B4">
            <v>2.05882352941176E-8</v>
          </cell>
        </row>
        <row r="5">
          <cell r="B5">
            <v>1.5969793322734399E-7</v>
          </cell>
        </row>
        <row r="6">
          <cell r="B6">
            <v>6.0651828298887094E-8</v>
          </cell>
        </row>
        <row r="7">
          <cell r="B7">
            <v>2.61526232114466E-8</v>
          </cell>
        </row>
        <row r="8">
          <cell r="B8">
            <v>1.9197138314785299E-7</v>
          </cell>
        </row>
        <row r="9">
          <cell r="B9">
            <v>8.0127186009538901E-8</v>
          </cell>
        </row>
        <row r="10">
          <cell r="B10">
            <v>8.1240063593004704E-8</v>
          </cell>
        </row>
        <row r="11">
          <cell r="B11">
            <v>3.2774244833068302E-7</v>
          </cell>
        </row>
        <row r="12">
          <cell r="B12">
            <v>1.5023847376788499E-7</v>
          </cell>
        </row>
        <row r="13">
          <cell r="B13">
            <v>3.1717011128775801E-8</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_etal_2006_Fig1a"/>
    </sheetNames>
    <sheetDataSet>
      <sheetData sheetId="0">
        <row r="2">
          <cell r="B2">
            <v>9.6649484536082404E-8</v>
          </cell>
        </row>
        <row r="3">
          <cell r="B3">
            <v>2.08762886597938E-8</v>
          </cell>
        </row>
        <row r="4">
          <cell r="B4">
            <v>4.21391752577319E-8</v>
          </cell>
        </row>
        <row r="5">
          <cell r="B5">
            <v>1.99097938144329E-7</v>
          </cell>
        </row>
        <row r="6">
          <cell r="B6">
            <v>3.6340206185566899E-8</v>
          </cell>
        </row>
        <row r="7">
          <cell r="B7">
            <v>7.5773195876288597E-8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resizies_etal_2020_Fig1"/>
    </sheetNames>
    <sheetDataSet>
      <sheetData sheetId="0">
        <row r="2">
          <cell r="B2">
            <v>21.2470588235294</v>
          </cell>
        </row>
        <row r="3">
          <cell r="B3">
            <v>16.058823529411701</v>
          </cell>
        </row>
        <row r="4">
          <cell r="B4">
            <v>26.847058823529402</v>
          </cell>
        </row>
        <row r="5">
          <cell r="B5">
            <v>21.905882352941099</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rth_etal_2004_Fig2"/>
    </sheetNames>
    <sheetDataSet>
      <sheetData sheetId="0">
        <row r="2">
          <cell r="B2">
            <v>1.60553633217993E-7</v>
          </cell>
        </row>
        <row r="3">
          <cell r="B3">
            <v>8.0968858131487998E-8</v>
          </cell>
        </row>
        <row r="4">
          <cell r="B4">
            <v>6.5051903114186895E-8</v>
          </cell>
        </row>
        <row r="5">
          <cell r="B5">
            <v>7.9584775086505197E-8</v>
          </cell>
        </row>
        <row r="8">
          <cell r="B8">
            <v>1.32179930795847E-7</v>
          </cell>
        </row>
        <row r="9">
          <cell r="B9">
            <v>1.51557093425605E-7</v>
          </cell>
        </row>
        <row r="10">
          <cell r="B10">
            <v>6.3667820069204094E-8</v>
          </cell>
        </row>
        <row r="11">
          <cell r="B11">
            <v>5.2595155709342503E-8</v>
          </cell>
        </row>
        <row r="14">
          <cell r="B14">
            <v>2.36301369863013E-7</v>
          </cell>
        </row>
        <row r="15">
          <cell r="B15">
            <v>1.52054794520547E-7</v>
          </cell>
        </row>
        <row r="16">
          <cell r="B16">
            <v>1.7191780821917799E-7</v>
          </cell>
        </row>
        <row r="17">
          <cell r="B17">
            <v>1.7260273972602699E-7</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rth_etal_2004_Fig5"/>
    </sheetNames>
    <sheetDataSet>
      <sheetData sheetId="0">
        <row r="2">
          <cell r="B2">
            <v>2.10280373831775E-7</v>
          </cell>
        </row>
        <row r="3">
          <cell r="B3">
            <v>9.1121495327102798E-8</v>
          </cell>
        </row>
        <row r="4">
          <cell r="B4">
            <v>1.3888888888888901E-7</v>
          </cell>
        </row>
        <row r="5">
          <cell r="B5">
            <v>1.59722222222222E-7</v>
          </cell>
        </row>
        <row r="6">
          <cell r="B6">
            <v>2.57142857142856E-7</v>
          </cell>
        </row>
        <row r="7">
          <cell r="B7">
            <v>1.63507109004739E-7</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tre_etal_2001_Fig3"/>
    </sheetNames>
    <sheetDataSet>
      <sheetData sheetId="0">
        <row r="2">
          <cell r="B2">
            <v>3.8828828828828801E-7</v>
          </cell>
        </row>
        <row r="3">
          <cell r="B3">
            <v>2.6576576576576503E-7</v>
          </cell>
        </row>
        <row r="4">
          <cell r="B4">
            <v>1.5855855855855801E-7</v>
          </cell>
        </row>
        <row r="5">
          <cell r="B5">
            <v>1.6396396396396301E-7</v>
          </cell>
        </row>
        <row r="6">
          <cell r="B6">
            <v>5.6706443914081203E-7</v>
          </cell>
        </row>
        <row r="7">
          <cell r="B7">
            <v>5.9713603818615702E-7</v>
          </cell>
        </row>
        <row r="8">
          <cell r="B8">
            <v>1.56085918854415E-7</v>
          </cell>
        </row>
        <row r="9">
          <cell r="B9">
            <v>1.60381861575178E-7</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tre_etal_2001_Fig5"/>
    </sheetNames>
    <sheetDataSet>
      <sheetData sheetId="0">
        <row r="2">
          <cell r="B2">
            <v>3.47328244274809E-7</v>
          </cell>
        </row>
        <row r="3">
          <cell r="B3">
            <v>6.6793893129770905E-8</v>
          </cell>
        </row>
        <row r="4">
          <cell r="B4">
            <v>8.0818965517241303E-7</v>
          </cell>
        </row>
        <row r="5">
          <cell r="B5">
            <v>1.6163793103448101E-7</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th&amp;Nobel_2000_Fig4"/>
    </sheetNames>
    <sheetDataSet>
      <sheetData sheetId="0">
        <row r="2">
          <cell r="B2">
            <v>1.4791666666666601E-7</v>
          </cell>
        </row>
        <row r="3">
          <cell r="B3">
            <v>7.0535714285714204E-8</v>
          </cell>
        </row>
        <row r="4">
          <cell r="B4">
            <v>5.4166666666666602E-8</v>
          </cell>
        </row>
        <row r="5">
          <cell r="B5">
            <v>4.8809523809523802E-8</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rrowclough_etal_2000_Fig3a"/>
    </sheetNames>
    <sheetDataSet>
      <sheetData sheetId="0">
        <row r="2">
          <cell r="B2">
            <v>1.4870317002881801E-7</v>
          </cell>
        </row>
        <row r="3">
          <cell r="B3">
            <v>2.3948126801152702E-7</v>
          </cell>
        </row>
        <row r="4">
          <cell r="B4">
            <v>2.7925072046109502E-7</v>
          </cell>
        </row>
        <row r="5">
          <cell r="B5">
            <v>8.6455331412103802E-8</v>
          </cell>
        </row>
        <row r="6">
          <cell r="B6">
            <v>8.6455331412103696E-8</v>
          </cell>
        </row>
        <row r="7">
          <cell r="B7">
            <v>7.3487031700288097E-8</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ubrovsky_etal_1998_Fig4"/>
    </sheetNames>
    <sheetDataSet>
      <sheetData sheetId="0">
        <row r="2">
          <cell r="B2">
            <v>2.42530755711775E-7</v>
          </cell>
        </row>
        <row r="3">
          <cell r="B3">
            <v>1.14938488576449E-7</v>
          </cell>
        </row>
        <row r="5">
          <cell r="B5">
            <v>1.3339191564147599E-7</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th&amp;Nobel_1996_Fig2a"/>
    </sheetNames>
    <sheetDataSet>
      <sheetData sheetId="0">
        <row r="2">
          <cell r="B2">
            <v>1.8146341463414599E-7</v>
          </cell>
        </row>
        <row r="3">
          <cell r="B3">
            <v>1.45853658536585E-7</v>
          </cell>
        </row>
        <row r="5">
          <cell r="B5">
            <v>2.3853658536585298E-7</v>
          </cell>
        </row>
        <row r="6">
          <cell r="B6">
            <v>4.2926829268292703E-8</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th&amp;Nobel_1996_Fig3"/>
    </sheetNames>
    <sheetDataSet>
      <sheetData sheetId="0">
        <row r="2">
          <cell r="A2">
            <v>1.8421052631578901E-7</v>
          </cell>
        </row>
        <row r="3">
          <cell r="A3">
            <v>1.7204301075268699E-7</v>
          </cell>
        </row>
        <row r="5">
          <cell r="A5">
            <v>2.4736842105263099E-7</v>
          </cell>
        </row>
        <row r="6">
          <cell r="A6">
            <v>3.7634408602150298E-8</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ensch_etal_1996_Fig2a"/>
    </sheetNames>
    <sheetDataSet>
      <sheetData sheetId="0">
        <row r="2">
          <cell r="B2">
            <v>2.3500771936526101E-7</v>
          </cell>
        </row>
        <row r="3">
          <cell r="B3">
            <v>2.0639991086918401E-7</v>
          </cell>
        </row>
        <row r="4">
          <cell r="B4">
            <v>2.6422989383883199E-7</v>
          </cell>
        </row>
        <row r="5">
          <cell r="B5">
            <v>4.70557567466065E-8</v>
          </cell>
        </row>
        <row r="6">
          <cell r="B6">
            <v>2.1905478208773601E-8</v>
          </cell>
        </row>
        <row r="7">
          <cell r="B7">
            <v>1.08525448432496E-8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ng_etal_2020_Fig3"/>
    </sheetNames>
    <sheetDataSet>
      <sheetData sheetId="0">
        <row r="2">
          <cell r="B2">
            <v>2.6666666666666601E-6</v>
          </cell>
        </row>
        <row r="3">
          <cell r="B3">
            <v>2.95069033530571E-6</v>
          </cell>
        </row>
        <row r="4">
          <cell r="B4">
            <v>1.98412698412699E-6</v>
          </cell>
        </row>
        <row r="5">
          <cell r="B5">
            <v>2.55555555555556E-6</v>
          </cell>
        </row>
        <row r="6">
          <cell r="B6">
            <v>1.18121442125237E-6</v>
          </cell>
        </row>
        <row r="7">
          <cell r="B7">
            <v>5.0284629981024705E-7</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bel_etal_1993_Fig4a"/>
    </sheetNames>
    <sheetDataSet>
      <sheetData sheetId="0">
        <row r="2">
          <cell r="A2">
            <v>1</v>
          </cell>
          <cell r="B2">
            <v>6.73684210526316E-8</v>
          </cell>
        </row>
        <row r="3">
          <cell r="A3">
            <v>2</v>
          </cell>
          <cell r="B3">
            <v>2.1333333333333299E-7</v>
          </cell>
        </row>
        <row r="4">
          <cell r="A4">
            <v>4</v>
          </cell>
          <cell r="B4">
            <v>2.5543859649122798E-7</v>
          </cell>
        </row>
        <row r="5">
          <cell r="A5">
            <v>6</v>
          </cell>
          <cell r="B5">
            <v>1.9368421052631501E-7</v>
          </cell>
        </row>
        <row r="6">
          <cell r="A6">
            <v>8</v>
          </cell>
          <cell r="B6">
            <v>1.09473684210526E-7</v>
          </cell>
        </row>
        <row r="7">
          <cell r="A7">
            <v>12</v>
          </cell>
          <cell r="B7">
            <v>8.42105263157895E-8</v>
          </cell>
        </row>
        <row r="8">
          <cell r="A8">
            <v>16</v>
          </cell>
          <cell r="B8">
            <v>2.66666666666667E-8</v>
          </cell>
        </row>
        <row r="9">
          <cell r="A9">
            <v>1</v>
          </cell>
          <cell r="B9">
            <v>7.8596491228070297E-8</v>
          </cell>
        </row>
        <row r="10">
          <cell r="A10">
            <v>2</v>
          </cell>
          <cell r="B10">
            <v>2.25964912280701E-7</v>
          </cell>
        </row>
        <row r="11">
          <cell r="A11">
            <v>4</v>
          </cell>
          <cell r="B11">
            <v>2.8210526315789398E-7</v>
          </cell>
        </row>
        <row r="12">
          <cell r="A12">
            <v>6</v>
          </cell>
          <cell r="B12">
            <v>1.7964912280701701E-7</v>
          </cell>
        </row>
        <row r="13">
          <cell r="A13">
            <v>8</v>
          </cell>
          <cell r="B13">
            <v>8.42105263157895E-8</v>
          </cell>
        </row>
        <row r="14">
          <cell r="A14">
            <v>12</v>
          </cell>
          <cell r="B14">
            <v>7.2982456140350803E-8</v>
          </cell>
        </row>
        <row r="15">
          <cell r="A15">
            <v>16</v>
          </cell>
          <cell r="B15">
            <v>3.36842105263158E-8</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bel_etal_1993_Fig4c"/>
    </sheetNames>
    <sheetDataSet>
      <sheetData sheetId="0">
        <row r="2">
          <cell r="B2">
            <v>1</v>
          </cell>
          <cell r="C2">
            <v>2.8062827225130702E-7</v>
          </cell>
        </row>
        <row r="3">
          <cell r="B3">
            <v>2</v>
          </cell>
          <cell r="C3">
            <v>2.9319371727748501E-7</v>
          </cell>
        </row>
        <row r="4">
          <cell r="B4">
            <v>4</v>
          </cell>
          <cell r="C4">
            <v>4.0418848167539E-7</v>
          </cell>
        </row>
        <row r="5">
          <cell r="B5">
            <v>6</v>
          </cell>
          <cell r="C5">
            <v>3.22513089005233E-7</v>
          </cell>
        </row>
        <row r="6">
          <cell r="B6">
            <v>8</v>
          </cell>
          <cell r="C6">
            <v>2.8272251308900298E-7</v>
          </cell>
        </row>
        <row r="7">
          <cell r="B7">
            <v>12</v>
          </cell>
          <cell r="C7">
            <v>1.3193717277486599E-7</v>
          </cell>
        </row>
        <row r="8">
          <cell r="B8">
            <v>16</v>
          </cell>
          <cell r="C8">
            <v>5.0261780104710398E-8</v>
          </cell>
        </row>
        <row r="9">
          <cell r="B9">
            <v>1</v>
          </cell>
          <cell r="C9">
            <v>3.4345549738219599E-7</v>
          </cell>
        </row>
        <row r="10">
          <cell r="B10">
            <v>2</v>
          </cell>
          <cell r="C10">
            <v>3.4973821989528598E-7</v>
          </cell>
        </row>
        <row r="11">
          <cell r="B11">
            <v>4</v>
          </cell>
          <cell r="C11">
            <v>4.5863874345549501E-7</v>
          </cell>
        </row>
        <row r="12">
          <cell r="B12">
            <v>6</v>
          </cell>
          <cell r="C12">
            <v>3.0994764397905502E-7</v>
          </cell>
        </row>
        <row r="13">
          <cell r="B13">
            <v>8</v>
          </cell>
          <cell r="C13">
            <v>2.3036649214659501E-7</v>
          </cell>
        </row>
        <row r="14">
          <cell r="B14">
            <v>12</v>
          </cell>
          <cell r="C14">
            <v>1.08900523560207E-7</v>
          </cell>
        </row>
        <row r="15">
          <cell r="B15">
            <v>16</v>
          </cell>
          <cell r="C15">
            <v>7.5392670157066404E-8</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lchior&amp;Steudle_1993_Fig4d"/>
    </sheetNames>
    <sheetDataSet>
      <sheetData sheetId="0">
        <row r="11">
          <cell r="D11">
            <v>1.3913646322902187E-7</v>
          </cell>
        </row>
        <row r="20">
          <cell r="D20">
            <v>1.0864726138773189E-7</v>
          </cell>
        </row>
        <row r="27">
          <cell r="D27">
            <v>5.5217037056505958E-8</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uang&amp;Nobel_1992_Fig2"/>
    </sheetNames>
    <sheetDataSet>
      <sheetData sheetId="0">
        <row r="2">
          <cell r="A2">
            <v>6</v>
          </cell>
          <cell r="B2">
            <v>4.7055837563451702E-7</v>
          </cell>
        </row>
        <row r="3">
          <cell r="A3">
            <v>12</v>
          </cell>
          <cell r="B3">
            <v>3.8756345177664899E-7</v>
          </cell>
        </row>
        <row r="4">
          <cell r="A4">
            <v>18</v>
          </cell>
          <cell r="B4">
            <v>2.4670050761421302E-7</v>
          </cell>
        </row>
        <row r="5">
          <cell r="A5">
            <v>24</v>
          </cell>
          <cell r="B5">
            <v>2.0482233502538E-7</v>
          </cell>
        </row>
        <row r="6">
          <cell r="A6">
            <v>30</v>
          </cell>
          <cell r="B6">
            <v>1.6370558375634499E-7</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uang&amp;Nobel_1992_Fig3"/>
    </sheetNames>
    <sheetDataSet>
      <sheetData sheetId="0">
        <row r="2">
          <cell r="D2">
            <v>5.6241263762565803E-7</v>
          </cell>
        </row>
        <row r="5">
          <cell r="D5">
            <v>3.6889385316383837E-7</v>
          </cell>
        </row>
        <row r="6">
          <cell r="D6">
            <v>1.7014839636189499E-7</v>
          </cell>
        </row>
        <row r="7">
          <cell r="D7">
            <v>6.4096590606882595E-7</v>
          </cell>
        </row>
        <row r="10">
          <cell r="D10">
            <v>4.2609506586529029E-7</v>
          </cell>
        </row>
        <row r="11">
          <cell r="D11">
            <v>1.7256103398755301E-7</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uang&amp;Nobel_1992_Fig6"/>
    </sheetNames>
    <sheetDataSet>
      <sheetData sheetId="0">
        <row r="3">
          <cell r="C3">
            <v>3.167002526948785E-7</v>
          </cell>
        </row>
        <row r="5">
          <cell r="C5">
            <v>2.5720500271886796E-7</v>
          </cell>
        </row>
        <row r="7">
          <cell r="C7">
            <v>1.95369583396163E-7</v>
          </cell>
        </row>
        <row r="9">
          <cell r="C9">
            <v>3.7342179938859699E-7</v>
          </cell>
        </row>
        <row r="11">
          <cell r="C11">
            <v>2.8521620720066101E-7</v>
          </cell>
        </row>
        <row r="13">
          <cell r="C13">
            <v>2.0972532569308248E-7</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rth&amp;Nobel_1991_Fig1"/>
    </sheetNames>
    <sheetDataSet>
      <sheetData sheetId="0">
        <row r="2">
          <cell r="B2">
            <v>2.1402616279069699E-7</v>
          </cell>
        </row>
        <row r="3">
          <cell r="B3">
            <v>3.7063953488372101E-8</v>
          </cell>
        </row>
        <row r="4">
          <cell r="B4">
            <v>1.9949127906976701E-7</v>
          </cell>
        </row>
        <row r="5">
          <cell r="B5">
            <v>1.9985465116279101E-8</v>
          </cell>
        </row>
        <row r="6">
          <cell r="B6">
            <v>3.1249999999999999E-8</v>
          </cell>
        </row>
        <row r="7">
          <cell r="B7">
            <v>3.6337209302329599E-10</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pez&amp;Nobel_1991_Fig2a"/>
    </sheetNames>
    <sheetDataSet>
      <sheetData sheetId="0">
        <row r="2">
          <cell r="B2">
            <v>1.1902439024390201E-7</v>
          </cell>
        </row>
        <row r="3">
          <cell r="B3">
            <v>1.9902439024390201E-7</v>
          </cell>
        </row>
        <row r="4">
          <cell r="B4">
            <v>2.6048780487804801E-7</v>
          </cell>
        </row>
        <row r="5">
          <cell r="B5">
            <v>3.8926829268292602E-7</v>
          </cell>
        </row>
        <row r="6">
          <cell r="B6">
            <v>3.4926829268292598E-7</v>
          </cell>
        </row>
        <row r="7">
          <cell r="B7">
            <v>3.2000000000000001E-7</v>
          </cell>
        </row>
        <row r="8">
          <cell r="B8">
            <v>2.4780487804877999E-7</v>
          </cell>
        </row>
        <row r="9">
          <cell r="B9">
            <v>1.9999999999999999E-7</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pez&amp;Nobel_1991_Fig2b"/>
    </sheetNames>
    <sheetDataSet>
      <sheetData sheetId="0">
        <row r="2">
          <cell r="B2">
            <v>9.8780487804878005E-8</v>
          </cell>
        </row>
        <row r="3">
          <cell r="B3">
            <v>2.8902439024390199E-7</v>
          </cell>
        </row>
        <row r="4">
          <cell r="B4">
            <v>3.28048780487804E-7</v>
          </cell>
        </row>
        <row r="5">
          <cell r="B5">
            <v>5.1585365853658503E-7</v>
          </cell>
        </row>
        <row r="6">
          <cell r="B6">
            <v>4.7195121951219502E-7</v>
          </cell>
        </row>
        <row r="7">
          <cell r="B7">
            <v>2.58536585365853E-7</v>
          </cell>
        </row>
        <row r="8">
          <cell r="B8">
            <v>1.08536585365853E-7</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rensch&amp;Steudle_1989_Fig3a"/>
    </sheetNames>
    <sheetDataSet>
      <sheetData sheetId="0">
        <row r="9">
          <cell r="C9">
            <v>2.19662454679605E-7</v>
          </cell>
        </row>
        <row r="10">
          <cell r="C10">
            <v>2.4773016896811153E-7</v>
          </cell>
        </row>
        <row r="11">
          <cell r="C11">
            <v>2.70582544196546E-7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hnson_etal_2014_Fig3a"/>
    </sheetNames>
    <sheetDataSet>
      <sheetData sheetId="0">
        <row r="2">
          <cell r="B2">
            <v>1.5675675675675601E-8</v>
          </cell>
        </row>
        <row r="3">
          <cell r="B3">
            <v>2.3333333333333301E-8</v>
          </cell>
        </row>
        <row r="4">
          <cell r="B4">
            <v>4.0990990990990898E-8</v>
          </cell>
        </row>
        <row r="5">
          <cell r="B5">
            <v>3.81081081081081E-8</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ensch&amp;Steudle_1989_Fig3b"/>
    </sheetNames>
    <sheetDataSet>
      <sheetData sheetId="0">
        <row r="9">
          <cell r="C9">
            <v>3.7625142664574398E-10</v>
          </cell>
        </row>
        <row r="10">
          <cell r="C10">
            <v>1.1597000405971759E-8</v>
          </cell>
        </row>
        <row r="11">
          <cell r="C11">
            <v>5.1362609248492897E-8</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Jones_etal_1988_Fig1b"/>
      <sheetName val="Jones_etal_1988_Fig1a"/>
    </sheetNames>
    <sheetDataSet>
      <sheetData sheetId="0">
        <row r="7">
          <cell r="E7">
            <v>8.9999999999999995E-9</v>
          </cell>
        </row>
        <row r="8">
          <cell r="E8">
            <v>2.0097734308812946E-8</v>
          </cell>
        </row>
        <row r="9">
          <cell r="E9">
            <v>4.8E-8</v>
          </cell>
        </row>
      </sheetData>
      <sheetData sheetId="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Jones_etal_1988_Fig1a"/>
    </sheetNames>
    <sheetDataSet>
      <sheetData sheetId="0">
        <row r="14">
          <cell r="E14">
            <v>1.6000000000000001E-8</v>
          </cell>
        </row>
        <row r="15">
          <cell r="E15">
            <v>3.6353630591615678E-8</v>
          </cell>
        </row>
        <row r="16">
          <cell r="E16">
            <v>5.5000000000000003E-8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hnson_etal_2014_Fig3b"/>
    </sheetNames>
    <sheetDataSet>
      <sheetData sheetId="0">
        <row r="2">
          <cell r="B2">
            <v>2.4503937007874E-9</v>
          </cell>
        </row>
        <row r="3">
          <cell r="B3">
            <v>1.9023622047244002E-9</v>
          </cell>
        </row>
        <row r="4">
          <cell r="B4">
            <v>1.31653543307086E-9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hnson_etal_2014_Fig4"/>
    </sheetNames>
    <sheetDataSet>
      <sheetData sheetId="0">
        <row r="2">
          <cell r="B2">
            <v>30.340236686390501</v>
          </cell>
        </row>
        <row r="3">
          <cell r="B3">
            <v>12.011834319526599</v>
          </cell>
        </row>
        <row r="4">
          <cell r="B4">
            <v>22.1597633136094</v>
          </cell>
        </row>
        <row r="5">
          <cell r="B5">
            <v>29.097633136094601</v>
          </cell>
        </row>
        <row r="6">
          <cell r="B6">
            <v>57.884615384615302</v>
          </cell>
        </row>
        <row r="7">
          <cell r="B7">
            <v>50.118343195266199</v>
          </cell>
        </row>
        <row r="8">
          <cell r="B8">
            <v>16.0502958579881</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icke_etal_2014_Fig2c"/>
    </sheetNames>
    <sheetDataSet>
      <sheetData sheetId="0">
        <row r="2">
          <cell r="B2">
            <v>6.5089722675366997E-8</v>
          </cell>
        </row>
        <row r="3">
          <cell r="B3">
            <v>2.3491027732463301E-8</v>
          </cell>
        </row>
        <row r="4">
          <cell r="B4">
            <v>3.0016313213703103E-8</v>
          </cell>
        </row>
        <row r="5">
          <cell r="B5">
            <v>3.1810766721044E-8</v>
          </cell>
        </row>
        <row r="6">
          <cell r="B6">
            <v>2.67536704730832E-8</v>
          </cell>
        </row>
        <row r="7">
          <cell r="B7">
            <v>1.46818923327895E-8</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icke_etal_2014_Fig2b"/>
    </sheetNames>
    <sheetDataSet>
      <sheetData sheetId="0">
        <row r="2">
          <cell r="B2">
            <v>0.42258064516129001</v>
          </cell>
        </row>
        <row r="3">
          <cell r="B3">
            <v>0.44838709677419297</v>
          </cell>
        </row>
        <row r="4">
          <cell r="B4">
            <v>0.41935483870967699</v>
          </cell>
        </row>
        <row r="5">
          <cell r="B5">
            <v>0.44677419354838699</v>
          </cell>
        </row>
        <row r="6">
          <cell r="B6">
            <v>0.793548387096773</v>
          </cell>
        </row>
        <row r="7">
          <cell r="B7">
            <v>0.62419354838709595</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ku_etal_2013_Fig5"/>
    </sheetNames>
    <sheetDataSet>
      <sheetData sheetId="0">
        <row r="2">
          <cell r="B2">
            <v>2.0674955595026601E-7</v>
          </cell>
        </row>
        <row r="3">
          <cell r="B3">
            <v>2.0035523978685601E-7</v>
          </cell>
        </row>
        <row r="4">
          <cell r="B4">
            <v>2.2877442273534599E-7</v>
          </cell>
        </row>
        <row r="5">
          <cell r="B5">
            <v>2.9982238010657098E-7</v>
          </cell>
        </row>
        <row r="6">
          <cell r="B6">
            <v>2.47246891651864E-7</v>
          </cell>
        </row>
        <row r="7">
          <cell r="B7">
            <v>2.4866785079928898E-7</v>
          </cell>
        </row>
        <row r="8">
          <cell r="B8">
            <v>2.2999999999999999E-7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3B082-C322-4A78-B56F-A3AAFBFAC7A5}">
  <dimension ref="A1:Z484"/>
  <sheetViews>
    <sheetView tabSelected="1" zoomScale="85" zoomScaleNormal="85" workbookViewId="0">
      <pane ySplit="1" topLeftCell="A2" activePane="bottomLeft" state="frozen"/>
      <selection pane="bottomLeft" activeCell="B21" sqref="B21"/>
    </sheetView>
  </sheetViews>
  <sheetFormatPr defaultRowHeight="15" x14ac:dyDescent="0.25"/>
  <cols>
    <col min="1" max="1" width="47.5703125" bestFit="1" customWidth="1"/>
    <col min="2" max="2" width="29.85546875" customWidth="1"/>
    <col min="3" max="3" width="12.85546875" customWidth="1"/>
    <col min="4" max="4" width="17.85546875" customWidth="1"/>
    <col min="5" max="5" width="15.42578125" customWidth="1"/>
    <col min="6" max="6" width="16.140625" customWidth="1"/>
    <col min="7" max="8" width="17.5703125" customWidth="1"/>
    <col min="9" max="9" width="16.5703125" customWidth="1"/>
    <col min="10" max="10" width="27.42578125" bestFit="1" customWidth="1"/>
    <col min="11" max="11" width="21.42578125" bestFit="1" customWidth="1"/>
    <col min="12" max="12" width="21.42578125" customWidth="1"/>
    <col min="13" max="13" width="31.42578125" bestFit="1" customWidth="1"/>
    <col min="14" max="14" width="31.42578125" customWidth="1"/>
    <col min="15" max="16" width="15.42578125" customWidth="1"/>
    <col min="17" max="17" width="36.42578125" customWidth="1"/>
    <col min="18" max="18" width="23" bestFit="1" customWidth="1"/>
    <col min="19" max="19" width="23.85546875" customWidth="1"/>
    <col min="20" max="21" width="21.85546875" customWidth="1"/>
    <col min="22" max="22" width="12.140625" customWidth="1"/>
    <col min="23" max="23" width="25.85546875" customWidth="1"/>
    <col min="24" max="24" width="29" customWidth="1"/>
    <col min="25" max="25" width="19" style="2" customWidth="1"/>
    <col min="26" max="26" width="26.85546875" bestFit="1" customWidth="1"/>
  </cols>
  <sheetData>
    <row r="1" spans="1:26" x14ac:dyDescent="0.25">
      <c r="A1" t="s">
        <v>0</v>
      </c>
      <c r="B1" t="s">
        <v>1</v>
      </c>
      <c r="C1" t="s">
        <v>2</v>
      </c>
      <c r="D1" t="s">
        <v>3</v>
      </c>
      <c r="E1" t="s">
        <v>4</v>
      </c>
      <c r="F1" t="s">
        <v>287</v>
      </c>
      <c r="G1" t="s">
        <v>218</v>
      </c>
      <c r="H1" t="s">
        <v>245</v>
      </c>
      <c r="I1" t="s">
        <v>5</v>
      </c>
      <c r="J1" t="s">
        <v>272</v>
      </c>
      <c r="K1" t="s">
        <v>273</v>
      </c>
      <c r="L1" t="s">
        <v>274</v>
      </c>
      <c r="M1" t="s">
        <v>285</v>
      </c>
      <c r="N1" t="s">
        <v>283</v>
      </c>
      <c r="O1" t="s">
        <v>286</v>
      </c>
      <c r="P1" t="s">
        <v>284</v>
      </c>
      <c r="Q1" t="s">
        <v>196</v>
      </c>
      <c r="R1" t="s">
        <v>271</v>
      </c>
      <c r="S1" t="s">
        <v>6</v>
      </c>
      <c r="T1" t="s">
        <v>217</v>
      </c>
      <c r="U1" t="s">
        <v>7</v>
      </c>
      <c r="V1" t="s">
        <v>8</v>
      </c>
      <c r="W1" t="s">
        <v>158</v>
      </c>
      <c r="X1" t="s">
        <v>28</v>
      </c>
      <c r="Y1" s="2" t="s">
        <v>9</v>
      </c>
      <c r="Z1" t="s">
        <v>270</v>
      </c>
    </row>
    <row r="2" spans="1:26" x14ac:dyDescent="0.25">
      <c r="A2" t="s">
        <v>210</v>
      </c>
      <c r="B2" t="s">
        <v>211</v>
      </c>
      <c r="C2" t="s">
        <v>59</v>
      </c>
      <c r="D2" t="s">
        <v>60</v>
      </c>
      <c r="E2" t="s">
        <v>13</v>
      </c>
      <c r="F2" t="s">
        <v>212</v>
      </c>
      <c r="G2" t="s">
        <v>219</v>
      </c>
      <c r="H2" t="s">
        <v>246</v>
      </c>
      <c r="I2">
        <f>5*7</f>
        <v>35</v>
      </c>
      <c r="Q2" t="s">
        <v>197</v>
      </c>
      <c r="R2" t="s">
        <v>45</v>
      </c>
      <c r="S2" t="s">
        <v>32</v>
      </c>
      <c r="T2" t="s">
        <v>215</v>
      </c>
      <c r="V2" s="1">
        <v>5.5000000000000003E-8</v>
      </c>
      <c r="X2">
        <v>13</v>
      </c>
      <c r="Z2" t="s">
        <v>22</v>
      </c>
    </row>
    <row r="3" spans="1:26" x14ac:dyDescent="0.25">
      <c r="A3" t="s">
        <v>210</v>
      </c>
      <c r="B3" t="s">
        <v>211</v>
      </c>
      <c r="C3" t="s">
        <v>59</v>
      </c>
      <c r="D3" t="s">
        <v>60</v>
      </c>
      <c r="E3" t="s">
        <v>13</v>
      </c>
      <c r="F3" t="s">
        <v>212</v>
      </c>
      <c r="G3" t="s">
        <v>219</v>
      </c>
      <c r="H3" t="s">
        <v>246</v>
      </c>
      <c r="I3">
        <f>5*7</f>
        <v>35</v>
      </c>
      <c r="Q3" t="s">
        <v>197</v>
      </c>
      <c r="R3" t="s">
        <v>45</v>
      </c>
      <c r="S3" t="s">
        <v>32</v>
      </c>
      <c r="T3" t="s">
        <v>216</v>
      </c>
      <c r="V3" s="1">
        <v>2.7999999999999999E-8</v>
      </c>
      <c r="X3">
        <v>13</v>
      </c>
      <c r="Z3" t="s">
        <v>22</v>
      </c>
    </row>
    <row r="4" spans="1:26" x14ac:dyDescent="0.25">
      <c r="A4" t="s">
        <v>23</v>
      </c>
      <c r="B4" t="s">
        <v>48</v>
      </c>
      <c r="C4" t="s">
        <v>213</v>
      </c>
      <c r="D4" t="s">
        <v>18</v>
      </c>
      <c r="E4" t="s">
        <v>13</v>
      </c>
      <c r="G4" t="s">
        <v>209</v>
      </c>
      <c r="H4" t="s">
        <v>248</v>
      </c>
      <c r="J4" t="s">
        <v>253</v>
      </c>
      <c r="K4" t="s">
        <v>17</v>
      </c>
      <c r="L4" t="str">
        <f t="shared" ref="L4:L23" si="0">+IF(K4="Control","Control","Stress")</f>
        <v>Control</v>
      </c>
      <c r="M4" t="s">
        <v>185</v>
      </c>
      <c r="N4" t="s">
        <v>249</v>
      </c>
      <c r="Q4" t="s">
        <v>197</v>
      </c>
      <c r="R4" t="s">
        <v>24</v>
      </c>
      <c r="S4" t="s">
        <v>27</v>
      </c>
      <c r="T4" t="s">
        <v>216</v>
      </c>
      <c r="V4" s="1">
        <f>[1]Cuneo_etal_2021_Fig5!B2</f>
        <v>8.3999999999999892E-9</v>
      </c>
      <c r="Y4"/>
      <c r="Z4" t="s">
        <v>25</v>
      </c>
    </row>
    <row r="5" spans="1:26" x14ac:dyDescent="0.25">
      <c r="A5" t="s">
        <v>23</v>
      </c>
      <c r="B5" t="s">
        <v>48</v>
      </c>
      <c r="C5" t="s">
        <v>213</v>
      </c>
      <c r="D5" t="s">
        <v>18</v>
      </c>
      <c r="E5" t="s">
        <v>13</v>
      </c>
      <c r="G5" t="s">
        <v>209</v>
      </c>
      <c r="H5" t="s">
        <v>248</v>
      </c>
      <c r="J5" t="s">
        <v>253</v>
      </c>
      <c r="K5" t="s">
        <v>223</v>
      </c>
      <c r="L5" t="str">
        <f t="shared" si="0"/>
        <v>Stress</v>
      </c>
      <c r="M5" t="s">
        <v>185</v>
      </c>
      <c r="N5" t="s">
        <v>249</v>
      </c>
      <c r="Q5" t="s">
        <v>197</v>
      </c>
      <c r="R5" t="s">
        <v>24</v>
      </c>
      <c r="S5" t="s">
        <v>27</v>
      </c>
      <c r="T5" t="s">
        <v>216</v>
      </c>
      <c r="V5" s="1">
        <f>[1]Cuneo_etal_2021_Fig5!B3</f>
        <v>9.8736842105263099E-9</v>
      </c>
      <c r="Y5"/>
      <c r="Z5" t="s">
        <v>25</v>
      </c>
    </row>
    <row r="6" spans="1:26" x14ac:dyDescent="0.25">
      <c r="A6" t="s">
        <v>23</v>
      </c>
      <c r="B6" t="s">
        <v>48</v>
      </c>
      <c r="C6" t="s">
        <v>213</v>
      </c>
      <c r="D6" t="s">
        <v>18</v>
      </c>
      <c r="E6" t="s">
        <v>13</v>
      </c>
      <c r="G6" t="s">
        <v>209</v>
      </c>
      <c r="H6" t="s">
        <v>248</v>
      </c>
      <c r="J6" t="s">
        <v>253</v>
      </c>
      <c r="K6" t="s">
        <v>224</v>
      </c>
      <c r="L6" t="str">
        <f t="shared" si="0"/>
        <v>Stress</v>
      </c>
      <c r="M6" t="s">
        <v>185</v>
      </c>
      <c r="N6" t="s">
        <v>249</v>
      </c>
      <c r="Q6" t="s">
        <v>197</v>
      </c>
      <c r="R6" t="s">
        <v>24</v>
      </c>
      <c r="S6" t="s">
        <v>27</v>
      </c>
      <c r="T6" t="s">
        <v>216</v>
      </c>
      <c r="V6" s="1">
        <f>[1]Cuneo_etal_2021_Fig5!B4</f>
        <v>2.5707602339181299E-9</v>
      </c>
      <c r="Y6"/>
      <c r="Z6" t="s">
        <v>25</v>
      </c>
    </row>
    <row r="7" spans="1:26" x14ac:dyDescent="0.25">
      <c r="A7" t="s">
        <v>23</v>
      </c>
      <c r="B7" t="s">
        <v>48</v>
      </c>
      <c r="C7" t="s">
        <v>213</v>
      </c>
      <c r="D7" t="s">
        <v>18</v>
      </c>
      <c r="E7" t="s">
        <v>13</v>
      </c>
      <c r="G7" t="s">
        <v>209</v>
      </c>
      <c r="H7" t="s">
        <v>248</v>
      </c>
      <c r="J7" t="s">
        <v>253</v>
      </c>
      <c r="K7" t="s">
        <v>17</v>
      </c>
      <c r="L7" t="str">
        <f t="shared" si="0"/>
        <v>Control</v>
      </c>
      <c r="M7" t="s">
        <v>186</v>
      </c>
      <c r="N7" t="s">
        <v>249</v>
      </c>
      <c r="Q7" t="s">
        <v>197</v>
      </c>
      <c r="R7" t="s">
        <v>24</v>
      </c>
      <c r="S7" t="s">
        <v>27</v>
      </c>
      <c r="T7" t="s">
        <v>216</v>
      </c>
      <c r="V7" s="1">
        <f>[1]Cuneo_etal_2021_Fig5!B6</f>
        <v>6.0584795321637396E-9</v>
      </c>
      <c r="Y7"/>
      <c r="Z7" t="s">
        <v>25</v>
      </c>
    </row>
    <row r="8" spans="1:26" x14ac:dyDescent="0.25">
      <c r="A8" t="s">
        <v>23</v>
      </c>
      <c r="B8" t="s">
        <v>48</v>
      </c>
      <c r="C8" t="s">
        <v>213</v>
      </c>
      <c r="D8" t="s">
        <v>18</v>
      </c>
      <c r="E8" t="s">
        <v>13</v>
      </c>
      <c r="G8" t="s">
        <v>209</v>
      </c>
      <c r="H8" t="s">
        <v>248</v>
      </c>
      <c r="J8" t="s">
        <v>253</v>
      </c>
      <c r="K8" t="s">
        <v>223</v>
      </c>
      <c r="L8" t="str">
        <f t="shared" si="0"/>
        <v>Stress</v>
      </c>
      <c r="M8" t="s">
        <v>186</v>
      </c>
      <c r="N8" t="s">
        <v>249</v>
      </c>
      <c r="Q8" t="s">
        <v>197</v>
      </c>
      <c r="R8" t="s">
        <v>24</v>
      </c>
      <c r="S8" t="s">
        <v>27</v>
      </c>
      <c r="T8" t="s">
        <v>216</v>
      </c>
      <c r="V8" s="1">
        <f>[1]Cuneo_etal_2021_Fig5!B7</f>
        <v>3.29122807017543E-9</v>
      </c>
      <c r="Y8"/>
      <c r="Z8" t="s">
        <v>25</v>
      </c>
    </row>
    <row r="9" spans="1:26" x14ac:dyDescent="0.25">
      <c r="A9" t="s">
        <v>23</v>
      </c>
      <c r="B9" t="s">
        <v>48</v>
      </c>
      <c r="C9" t="s">
        <v>213</v>
      </c>
      <c r="D9" t="s">
        <v>18</v>
      </c>
      <c r="E9" t="s">
        <v>13</v>
      </c>
      <c r="G9" t="s">
        <v>209</v>
      </c>
      <c r="H9" t="s">
        <v>248</v>
      </c>
      <c r="J9" t="s">
        <v>253</v>
      </c>
      <c r="K9" t="s">
        <v>224</v>
      </c>
      <c r="L9" t="str">
        <f t="shared" si="0"/>
        <v>Stress</v>
      </c>
      <c r="M9" t="s">
        <v>186</v>
      </c>
      <c r="N9" t="s">
        <v>249</v>
      </c>
      <c r="Q9" t="s">
        <v>197</v>
      </c>
      <c r="R9" t="s">
        <v>24</v>
      </c>
      <c r="S9" t="s">
        <v>27</v>
      </c>
      <c r="T9" t="s">
        <v>216</v>
      </c>
      <c r="V9" s="1">
        <f>[1]Cuneo_etal_2021_Fig5!B8</f>
        <v>2.4888888888888899E-9</v>
      </c>
      <c r="Y9"/>
      <c r="Z9" t="s">
        <v>25</v>
      </c>
    </row>
    <row r="10" spans="1:26" x14ac:dyDescent="0.25">
      <c r="A10" t="s">
        <v>31</v>
      </c>
      <c r="B10" t="s">
        <v>10</v>
      </c>
      <c r="C10" t="s">
        <v>11</v>
      </c>
      <c r="D10" t="s">
        <v>12</v>
      </c>
      <c r="E10" t="s">
        <v>13</v>
      </c>
      <c r="F10" t="s">
        <v>14</v>
      </c>
      <c r="G10" t="s">
        <v>14</v>
      </c>
      <c r="H10" t="s">
        <v>247</v>
      </c>
      <c r="I10">
        <v>12</v>
      </c>
      <c r="J10" t="s">
        <v>225</v>
      </c>
      <c r="K10" t="s">
        <v>17</v>
      </c>
      <c r="L10" t="str">
        <f t="shared" si="0"/>
        <v>Control</v>
      </c>
      <c r="M10" t="s">
        <v>189</v>
      </c>
      <c r="N10" t="s">
        <v>249</v>
      </c>
      <c r="Q10" t="s">
        <v>197</v>
      </c>
      <c r="R10" t="s">
        <v>26</v>
      </c>
      <c r="S10" t="s">
        <v>27</v>
      </c>
      <c r="T10" t="s">
        <v>215</v>
      </c>
      <c r="V10" s="1">
        <v>9.7500000000000006E-8</v>
      </c>
      <c r="X10" s="3">
        <f>[2]Kresizies_etal_2020_Fig1!B2</f>
        <v>21.2470588235294</v>
      </c>
      <c r="Y10"/>
      <c r="Z10" t="s">
        <v>22</v>
      </c>
    </row>
    <row r="11" spans="1:26" x14ac:dyDescent="0.25">
      <c r="A11" t="s">
        <v>31</v>
      </c>
      <c r="B11" t="s">
        <v>10</v>
      </c>
      <c r="C11" t="s">
        <v>11</v>
      </c>
      <c r="D11" t="s">
        <v>12</v>
      </c>
      <c r="E11" t="s">
        <v>13</v>
      </c>
      <c r="F11" t="s">
        <v>14</v>
      </c>
      <c r="G11" t="s">
        <v>14</v>
      </c>
      <c r="H11" t="s">
        <v>247</v>
      </c>
      <c r="I11">
        <v>12</v>
      </c>
      <c r="J11" t="s">
        <v>225</v>
      </c>
      <c r="K11" t="s">
        <v>191</v>
      </c>
      <c r="L11" t="str">
        <f t="shared" si="0"/>
        <v>Stress</v>
      </c>
      <c r="M11" t="s">
        <v>189</v>
      </c>
      <c r="N11" t="s">
        <v>249</v>
      </c>
      <c r="Q11" t="s">
        <v>197</v>
      </c>
      <c r="R11" t="s">
        <v>26</v>
      </c>
      <c r="S11" t="s">
        <v>27</v>
      </c>
      <c r="T11" t="s">
        <v>215</v>
      </c>
      <c r="V11" s="1">
        <v>3.3899999999999999E-8</v>
      </c>
      <c r="X11" s="3">
        <f>[2]Kresizies_etal_2020_Fig1!B3</f>
        <v>16.058823529411701</v>
      </c>
      <c r="Y11"/>
      <c r="Z11" t="s">
        <v>22</v>
      </c>
    </row>
    <row r="12" spans="1:26" x14ac:dyDescent="0.25">
      <c r="A12" t="s">
        <v>31</v>
      </c>
      <c r="B12" t="s">
        <v>10</v>
      </c>
      <c r="C12" t="s">
        <v>11</v>
      </c>
      <c r="D12" t="s">
        <v>12</v>
      </c>
      <c r="E12" t="s">
        <v>13</v>
      </c>
      <c r="F12" t="s">
        <v>14</v>
      </c>
      <c r="G12" t="s">
        <v>14</v>
      </c>
      <c r="H12" t="s">
        <v>247</v>
      </c>
      <c r="I12">
        <v>12</v>
      </c>
      <c r="J12" t="s">
        <v>225</v>
      </c>
      <c r="K12" t="s">
        <v>17</v>
      </c>
      <c r="L12" t="str">
        <f t="shared" si="0"/>
        <v>Control</v>
      </c>
      <c r="M12" t="s">
        <v>190</v>
      </c>
      <c r="N12" t="s">
        <v>249</v>
      </c>
      <c r="Q12" t="s">
        <v>197</v>
      </c>
      <c r="R12" t="s">
        <v>26</v>
      </c>
      <c r="S12" t="s">
        <v>27</v>
      </c>
      <c r="T12" t="s">
        <v>215</v>
      </c>
      <c r="V12" s="1">
        <v>6.2900000000000001E-8</v>
      </c>
      <c r="X12" s="3">
        <f>[2]Kresizies_etal_2020_Fig1!B4</f>
        <v>26.847058823529402</v>
      </c>
      <c r="Y12"/>
      <c r="Z12" t="s">
        <v>22</v>
      </c>
    </row>
    <row r="13" spans="1:26" x14ac:dyDescent="0.25">
      <c r="A13" t="s">
        <v>31</v>
      </c>
      <c r="B13" t="s">
        <v>10</v>
      </c>
      <c r="C13" t="s">
        <v>11</v>
      </c>
      <c r="D13" t="s">
        <v>12</v>
      </c>
      <c r="E13" t="s">
        <v>13</v>
      </c>
      <c r="F13" t="s">
        <v>14</v>
      </c>
      <c r="G13" t="s">
        <v>14</v>
      </c>
      <c r="H13" t="s">
        <v>247</v>
      </c>
      <c r="I13">
        <v>12</v>
      </c>
      <c r="J13" t="s">
        <v>225</v>
      </c>
      <c r="K13" t="s">
        <v>191</v>
      </c>
      <c r="L13" t="str">
        <f t="shared" si="0"/>
        <v>Stress</v>
      </c>
      <c r="M13" t="s">
        <v>190</v>
      </c>
      <c r="N13" t="s">
        <v>249</v>
      </c>
      <c r="Q13" t="s">
        <v>197</v>
      </c>
      <c r="R13" t="s">
        <v>26</v>
      </c>
      <c r="S13" t="s">
        <v>27</v>
      </c>
      <c r="T13" t="s">
        <v>215</v>
      </c>
      <c r="V13" s="1">
        <v>6.4900000000000005E-8</v>
      </c>
      <c r="X13" s="3">
        <f>[2]Kresizies_etal_2020_Fig1!B5</f>
        <v>21.905882352941099</v>
      </c>
      <c r="Y13"/>
      <c r="Z13" t="s">
        <v>22</v>
      </c>
    </row>
    <row r="14" spans="1:26" x14ac:dyDescent="0.25">
      <c r="A14" t="s">
        <v>31</v>
      </c>
      <c r="B14" t="s">
        <v>10</v>
      </c>
      <c r="C14" t="s">
        <v>11</v>
      </c>
      <c r="D14" t="s">
        <v>12</v>
      </c>
      <c r="E14" t="s">
        <v>13</v>
      </c>
      <c r="F14" t="s">
        <v>14</v>
      </c>
      <c r="G14" t="s">
        <v>14</v>
      </c>
      <c r="H14" t="s">
        <v>247</v>
      </c>
      <c r="I14">
        <v>12</v>
      </c>
      <c r="J14" t="s">
        <v>225</v>
      </c>
      <c r="K14" t="s">
        <v>17</v>
      </c>
      <c r="L14" t="str">
        <f t="shared" si="0"/>
        <v>Control</v>
      </c>
      <c r="M14" t="s">
        <v>189</v>
      </c>
      <c r="N14" t="s">
        <v>249</v>
      </c>
      <c r="Q14" t="s">
        <v>197</v>
      </c>
      <c r="R14" t="s">
        <v>26</v>
      </c>
      <c r="S14" t="s">
        <v>27</v>
      </c>
      <c r="T14" t="s">
        <v>216</v>
      </c>
      <c r="V14" s="1">
        <v>2.4500000000000001E-8</v>
      </c>
      <c r="X14" s="3">
        <f>[2]Kresizies_etal_2020_Fig1!B2</f>
        <v>21.2470588235294</v>
      </c>
      <c r="Y14"/>
      <c r="Z14" t="s">
        <v>22</v>
      </c>
    </row>
    <row r="15" spans="1:26" x14ac:dyDescent="0.25">
      <c r="A15" t="s">
        <v>31</v>
      </c>
      <c r="B15" t="s">
        <v>10</v>
      </c>
      <c r="C15" t="s">
        <v>11</v>
      </c>
      <c r="D15" t="s">
        <v>12</v>
      </c>
      <c r="E15" t="s">
        <v>13</v>
      </c>
      <c r="F15" t="s">
        <v>14</v>
      </c>
      <c r="G15" t="s">
        <v>14</v>
      </c>
      <c r="H15" t="s">
        <v>247</v>
      </c>
      <c r="I15">
        <v>12</v>
      </c>
      <c r="J15" t="s">
        <v>225</v>
      </c>
      <c r="K15" t="s">
        <v>191</v>
      </c>
      <c r="L15" t="str">
        <f t="shared" si="0"/>
        <v>Stress</v>
      </c>
      <c r="M15" t="s">
        <v>189</v>
      </c>
      <c r="N15" t="s">
        <v>249</v>
      </c>
      <c r="Q15" t="s">
        <v>197</v>
      </c>
      <c r="R15" t="s">
        <v>26</v>
      </c>
      <c r="S15" t="s">
        <v>27</v>
      </c>
      <c r="T15" t="s">
        <v>216</v>
      </c>
      <c r="V15" s="1">
        <v>3.0500000000000002E-8</v>
      </c>
      <c r="X15" s="3">
        <f>[2]Kresizies_etal_2020_Fig1!B3</f>
        <v>16.058823529411701</v>
      </c>
      <c r="Y15"/>
      <c r="Z15" t="s">
        <v>22</v>
      </c>
    </row>
    <row r="16" spans="1:26" x14ac:dyDescent="0.25">
      <c r="A16" t="s">
        <v>31</v>
      </c>
      <c r="B16" t="s">
        <v>10</v>
      </c>
      <c r="C16" t="s">
        <v>11</v>
      </c>
      <c r="D16" t="s">
        <v>12</v>
      </c>
      <c r="E16" t="s">
        <v>13</v>
      </c>
      <c r="F16" t="s">
        <v>14</v>
      </c>
      <c r="G16" t="s">
        <v>14</v>
      </c>
      <c r="H16" t="s">
        <v>247</v>
      </c>
      <c r="I16">
        <v>12</v>
      </c>
      <c r="J16" t="s">
        <v>225</v>
      </c>
      <c r="K16" t="s">
        <v>17</v>
      </c>
      <c r="L16" t="str">
        <f t="shared" si="0"/>
        <v>Control</v>
      </c>
      <c r="M16" t="s">
        <v>190</v>
      </c>
      <c r="N16" t="s">
        <v>249</v>
      </c>
      <c r="Q16" t="s">
        <v>197</v>
      </c>
      <c r="R16" t="s">
        <v>26</v>
      </c>
      <c r="S16" t="s">
        <v>27</v>
      </c>
      <c r="T16" t="s">
        <v>216</v>
      </c>
      <c r="V16" s="1">
        <v>2.8700000000000002E-8</v>
      </c>
      <c r="X16" s="3">
        <f>[2]Kresizies_etal_2020_Fig1!B4</f>
        <v>26.847058823529402</v>
      </c>
      <c r="Y16"/>
      <c r="Z16" t="s">
        <v>22</v>
      </c>
    </row>
    <row r="17" spans="1:26" x14ac:dyDescent="0.25">
      <c r="A17" t="s">
        <v>31</v>
      </c>
      <c r="B17" t="s">
        <v>10</v>
      </c>
      <c r="C17" t="s">
        <v>11</v>
      </c>
      <c r="D17" t="s">
        <v>12</v>
      </c>
      <c r="E17" t="s">
        <v>13</v>
      </c>
      <c r="F17" t="s">
        <v>14</v>
      </c>
      <c r="G17" t="s">
        <v>14</v>
      </c>
      <c r="H17" t="s">
        <v>247</v>
      </c>
      <c r="I17">
        <v>12</v>
      </c>
      <c r="J17" t="s">
        <v>225</v>
      </c>
      <c r="K17" t="s">
        <v>191</v>
      </c>
      <c r="L17" t="str">
        <f t="shared" si="0"/>
        <v>Stress</v>
      </c>
      <c r="M17" t="s">
        <v>190</v>
      </c>
      <c r="N17" t="s">
        <v>249</v>
      </c>
      <c r="Q17" t="s">
        <v>197</v>
      </c>
      <c r="R17" t="s">
        <v>26</v>
      </c>
      <c r="S17" t="s">
        <v>27</v>
      </c>
      <c r="T17" t="s">
        <v>216</v>
      </c>
      <c r="V17" s="1">
        <v>4.5999999999999995E-8</v>
      </c>
      <c r="X17" s="3">
        <f>[2]Kresizies_etal_2020_Fig1!B5</f>
        <v>21.905882352941099</v>
      </c>
      <c r="Y17"/>
      <c r="Z17" t="s">
        <v>22</v>
      </c>
    </row>
    <row r="18" spans="1:26" x14ac:dyDescent="0.25">
      <c r="A18" t="s">
        <v>29</v>
      </c>
      <c r="B18" t="s">
        <v>20</v>
      </c>
      <c r="C18" t="s">
        <v>21</v>
      </c>
      <c r="D18" t="s">
        <v>12</v>
      </c>
      <c r="E18" t="s">
        <v>15</v>
      </c>
      <c r="F18" t="s">
        <v>16</v>
      </c>
      <c r="G18" t="s">
        <v>16</v>
      </c>
      <c r="H18" t="s">
        <v>247</v>
      </c>
      <c r="I18">
        <f>2*7</f>
        <v>14</v>
      </c>
      <c r="J18" t="s">
        <v>51</v>
      </c>
      <c r="K18" t="s">
        <v>17</v>
      </c>
      <c r="L18" t="str">
        <f t="shared" si="0"/>
        <v>Control</v>
      </c>
      <c r="Q18" t="s">
        <v>197</v>
      </c>
      <c r="R18" t="s">
        <v>30</v>
      </c>
      <c r="S18" t="s">
        <v>32</v>
      </c>
      <c r="T18" t="s">
        <v>215</v>
      </c>
      <c r="V18" s="1">
        <f>[3]Ding_etal_2020_Fig3!B2</f>
        <v>2.6666666666666601E-6</v>
      </c>
      <c r="Y18"/>
      <c r="Z18" t="s">
        <v>19</v>
      </c>
    </row>
    <row r="19" spans="1:26" x14ac:dyDescent="0.25">
      <c r="A19" t="s">
        <v>29</v>
      </c>
      <c r="B19" t="s">
        <v>20</v>
      </c>
      <c r="C19" t="s">
        <v>21</v>
      </c>
      <c r="D19" t="s">
        <v>12</v>
      </c>
      <c r="E19" t="s">
        <v>15</v>
      </c>
      <c r="F19" t="s">
        <v>16</v>
      </c>
      <c r="G19" t="s">
        <v>16</v>
      </c>
      <c r="H19" t="s">
        <v>247</v>
      </c>
      <c r="I19">
        <f t="shared" ref="I19:I23" si="1">2*7</f>
        <v>14</v>
      </c>
      <c r="J19" t="s">
        <v>51</v>
      </c>
      <c r="K19" t="s">
        <v>244</v>
      </c>
      <c r="L19" t="str">
        <f t="shared" si="0"/>
        <v>Stress</v>
      </c>
      <c r="Q19" t="s">
        <v>197</v>
      </c>
      <c r="R19" t="s">
        <v>30</v>
      </c>
      <c r="S19" t="s">
        <v>32</v>
      </c>
      <c r="T19" t="s">
        <v>215</v>
      </c>
      <c r="V19" s="1">
        <f>[3]Ding_etal_2020_Fig3!B3</f>
        <v>2.95069033530571E-6</v>
      </c>
      <c r="Y19"/>
      <c r="Z19" t="s">
        <v>19</v>
      </c>
    </row>
    <row r="20" spans="1:26" x14ac:dyDescent="0.25">
      <c r="A20" t="s">
        <v>29</v>
      </c>
      <c r="B20" t="s">
        <v>20</v>
      </c>
      <c r="C20" t="s">
        <v>21</v>
      </c>
      <c r="D20" t="s">
        <v>12</v>
      </c>
      <c r="E20" t="s">
        <v>15</v>
      </c>
      <c r="F20" t="s">
        <v>16</v>
      </c>
      <c r="G20" t="s">
        <v>16</v>
      </c>
      <c r="H20" t="s">
        <v>247</v>
      </c>
      <c r="I20">
        <f t="shared" si="1"/>
        <v>14</v>
      </c>
      <c r="J20" t="s">
        <v>51</v>
      </c>
      <c r="K20" t="s">
        <v>17</v>
      </c>
      <c r="L20" t="str">
        <f t="shared" si="0"/>
        <v>Control</v>
      </c>
      <c r="Q20" t="s">
        <v>197</v>
      </c>
      <c r="R20" t="s">
        <v>30</v>
      </c>
      <c r="S20" t="s">
        <v>32</v>
      </c>
      <c r="T20" t="s">
        <v>215</v>
      </c>
      <c r="V20" s="1">
        <f>[3]Ding_etal_2020_Fig3!B4</f>
        <v>1.98412698412699E-6</v>
      </c>
      <c r="Y20"/>
      <c r="Z20" t="s">
        <v>19</v>
      </c>
    </row>
    <row r="21" spans="1:26" x14ac:dyDescent="0.25">
      <c r="A21" t="s">
        <v>29</v>
      </c>
      <c r="B21" t="s">
        <v>20</v>
      </c>
      <c r="C21" t="s">
        <v>21</v>
      </c>
      <c r="D21" t="s">
        <v>12</v>
      </c>
      <c r="E21" t="s">
        <v>15</v>
      </c>
      <c r="F21" t="s">
        <v>16</v>
      </c>
      <c r="G21" t="s">
        <v>16</v>
      </c>
      <c r="H21" t="s">
        <v>247</v>
      </c>
      <c r="I21">
        <f t="shared" si="1"/>
        <v>14</v>
      </c>
      <c r="J21" t="s">
        <v>51</v>
      </c>
      <c r="K21" t="s">
        <v>244</v>
      </c>
      <c r="L21" t="str">
        <f t="shared" si="0"/>
        <v>Stress</v>
      </c>
      <c r="Q21" t="s">
        <v>197</v>
      </c>
      <c r="R21" t="s">
        <v>30</v>
      </c>
      <c r="S21" t="s">
        <v>32</v>
      </c>
      <c r="T21" t="s">
        <v>215</v>
      </c>
      <c r="V21" s="1">
        <f>[3]Ding_etal_2020_Fig3!B5</f>
        <v>2.55555555555556E-6</v>
      </c>
      <c r="Y21"/>
      <c r="Z21" t="s">
        <v>19</v>
      </c>
    </row>
    <row r="22" spans="1:26" x14ac:dyDescent="0.25">
      <c r="A22" t="s">
        <v>29</v>
      </c>
      <c r="B22" t="s">
        <v>20</v>
      </c>
      <c r="C22" t="s">
        <v>21</v>
      </c>
      <c r="D22" t="s">
        <v>12</v>
      </c>
      <c r="E22" t="s">
        <v>15</v>
      </c>
      <c r="F22" t="s">
        <v>16</v>
      </c>
      <c r="G22" t="s">
        <v>16</v>
      </c>
      <c r="H22" t="s">
        <v>247</v>
      </c>
      <c r="I22">
        <f t="shared" si="1"/>
        <v>14</v>
      </c>
      <c r="J22" t="s">
        <v>51</v>
      </c>
      <c r="K22" t="s">
        <v>17</v>
      </c>
      <c r="L22" t="str">
        <f t="shared" si="0"/>
        <v>Control</v>
      </c>
      <c r="Q22" t="s">
        <v>197</v>
      </c>
      <c r="R22" t="s">
        <v>30</v>
      </c>
      <c r="S22" t="s">
        <v>32</v>
      </c>
      <c r="T22" t="s">
        <v>215</v>
      </c>
      <c r="V22" s="1">
        <f>[3]Ding_etal_2020_Fig3!B6</f>
        <v>1.18121442125237E-6</v>
      </c>
      <c r="Y22"/>
      <c r="Z22" t="s">
        <v>19</v>
      </c>
    </row>
    <row r="23" spans="1:26" x14ac:dyDescent="0.25">
      <c r="A23" t="s">
        <v>29</v>
      </c>
      <c r="B23" t="s">
        <v>20</v>
      </c>
      <c r="C23" t="s">
        <v>21</v>
      </c>
      <c r="D23" t="s">
        <v>12</v>
      </c>
      <c r="E23" t="s">
        <v>15</v>
      </c>
      <c r="F23" t="s">
        <v>16</v>
      </c>
      <c r="G23" t="s">
        <v>16</v>
      </c>
      <c r="H23" t="s">
        <v>247</v>
      </c>
      <c r="I23">
        <f t="shared" si="1"/>
        <v>14</v>
      </c>
      <c r="J23" t="s">
        <v>51</v>
      </c>
      <c r="K23" t="s">
        <v>243</v>
      </c>
      <c r="L23" t="str">
        <f t="shared" si="0"/>
        <v>Stress</v>
      </c>
      <c r="Q23" t="s">
        <v>197</v>
      </c>
      <c r="R23" t="s">
        <v>30</v>
      </c>
      <c r="S23" t="s">
        <v>32</v>
      </c>
      <c r="T23" t="s">
        <v>215</v>
      </c>
      <c r="V23" s="1">
        <f>[3]Ding_etal_2020_Fig3!B7</f>
        <v>5.0284629981024705E-7</v>
      </c>
      <c r="Z23" t="s">
        <v>19</v>
      </c>
    </row>
    <row r="24" spans="1:26" x14ac:dyDescent="0.25">
      <c r="A24" t="s">
        <v>33</v>
      </c>
      <c r="B24" t="s">
        <v>10</v>
      </c>
      <c r="C24" t="s">
        <v>11</v>
      </c>
      <c r="D24" t="s">
        <v>12</v>
      </c>
      <c r="E24" t="s">
        <v>13</v>
      </c>
      <c r="F24" t="s">
        <v>14</v>
      </c>
      <c r="G24" t="s">
        <v>14</v>
      </c>
      <c r="H24" t="s">
        <v>247</v>
      </c>
      <c r="I24">
        <f>+AVERAGE(16,20)</f>
        <v>18</v>
      </c>
      <c r="Q24" t="s">
        <v>197</v>
      </c>
      <c r="R24" t="s">
        <v>26</v>
      </c>
      <c r="S24" t="s">
        <v>27</v>
      </c>
      <c r="T24" t="s">
        <v>215</v>
      </c>
      <c r="V24" s="1">
        <v>9.3999999999999995E-8</v>
      </c>
      <c r="W24" s="2"/>
      <c r="X24">
        <f>+AVERAGE(5,7.5)</f>
        <v>6.25</v>
      </c>
      <c r="Y24">
        <v>0.5</v>
      </c>
      <c r="Z24" t="s">
        <v>22</v>
      </c>
    </row>
    <row r="25" spans="1:26" x14ac:dyDescent="0.25">
      <c r="A25" t="s">
        <v>33</v>
      </c>
      <c r="B25" t="s">
        <v>10</v>
      </c>
      <c r="C25" t="s">
        <v>11</v>
      </c>
      <c r="D25" t="s">
        <v>12</v>
      </c>
      <c r="E25" t="s">
        <v>13</v>
      </c>
      <c r="F25" t="s">
        <v>14</v>
      </c>
      <c r="G25" t="s">
        <v>14</v>
      </c>
      <c r="H25" t="s">
        <v>247</v>
      </c>
      <c r="I25">
        <f t="shared" ref="I25:I26" si="2">+AVERAGE(16,20)</f>
        <v>18</v>
      </c>
      <c r="Q25" t="s">
        <v>197</v>
      </c>
      <c r="R25" t="s">
        <v>26</v>
      </c>
      <c r="S25" t="s">
        <v>27</v>
      </c>
      <c r="T25" t="s">
        <v>216</v>
      </c>
      <c r="V25" s="1">
        <v>9.5000000000000004E-8</v>
      </c>
      <c r="W25" s="2"/>
      <c r="X25">
        <f>+AVERAGE(5,7.5)</f>
        <v>6.25</v>
      </c>
      <c r="Y25">
        <v>0.5</v>
      </c>
      <c r="Z25" t="s">
        <v>22</v>
      </c>
    </row>
    <row r="26" spans="1:26" x14ac:dyDescent="0.25">
      <c r="A26" t="s">
        <v>33</v>
      </c>
      <c r="B26" t="s">
        <v>10</v>
      </c>
      <c r="C26" t="s">
        <v>11</v>
      </c>
      <c r="D26" t="s">
        <v>12</v>
      </c>
      <c r="E26" t="s">
        <v>13</v>
      </c>
      <c r="F26" t="s">
        <v>14</v>
      </c>
      <c r="G26" t="s">
        <v>14</v>
      </c>
      <c r="H26" t="s">
        <v>247</v>
      </c>
      <c r="I26">
        <f t="shared" si="2"/>
        <v>18</v>
      </c>
      <c r="Q26" t="s">
        <v>197</v>
      </c>
      <c r="R26" t="s">
        <v>26</v>
      </c>
      <c r="S26" t="s">
        <v>32</v>
      </c>
      <c r="T26" t="s">
        <v>215</v>
      </c>
      <c r="V26" s="1">
        <v>1.4999999999999999E-8</v>
      </c>
      <c r="W26" s="2"/>
      <c r="X26">
        <v>20</v>
      </c>
      <c r="Y26">
        <v>0.5</v>
      </c>
      <c r="Z26" t="s">
        <v>22</v>
      </c>
    </row>
    <row r="27" spans="1:26" x14ac:dyDescent="0.25">
      <c r="A27" t="s">
        <v>38</v>
      </c>
      <c r="B27" t="s">
        <v>34</v>
      </c>
      <c r="C27" t="s">
        <v>35</v>
      </c>
      <c r="D27" t="s">
        <v>36</v>
      </c>
      <c r="E27" t="s">
        <v>13</v>
      </c>
      <c r="F27" t="s">
        <v>37</v>
      </c>
      <c r="G27" t="s">
        <v>220</v>
      </c>
      <c r="H27" t="s">
        <v>246</v>
      </c>
      <c r="J27" t="s">
        <v>226</v>
      </c>
      <c r="K27" t="s">
        <v>17</v>
      </c>
      <c r="L27" t="str">
        <f t="shared" ref="L27:L46" si="3">+IF(K27="Control","Control","Stress")</f>
        <v>Control</v>
      </c>
      <c r="M27" t="s">
        <v>227</v>
      </c>
      <c r="N27" t="s">
        <v>249</v>
      </c>
      <c r="Q27" t="s">
        <v>197</v>
      </c>
      <c r="R27" t="s">
        <v>40</v>
      </c>
      <c r="S27" t="s">
        <v>32</v>
      </c>
      <c r="T27" t="s">
        <v>215</v>
      </c>
      <c r="V27" s="1">
        <f>[4]Johnson_etal_2014_Fig3a!B2</f>
        <v>1.5675675675675601E-8</v>
      </c>
      <c r="Y27">
        <v>18</v>
      </c>
      <c r="Z27" t="s">
        <v>19</v>
      </c>
    </row>
    <row r="28" spans="1:26" x14ac:dyDescent="0.25">
      <c r="A28" t="s">
        <v>38</v>
      </c>
      <c r="B28" t="s">
        <v>34</v>
      </c>
      <c r="C28" t="s">
        <v>35</v>
      </c>
      <c r="D28" t="s">
        <v>36</v>
      </c>
      <c r="E28" t="s">
        <v>13</v>
      </c>
      <c r="F28" t="s">
        <v>37</v>
      </c>
      <c r="G28" t="s">
        <v>220</v>
      </c>
      <c r="H28" t="s">
        <v>246</v>
      </c>
      <c r="J28" t="s">
        <v>226</v>
      </c>
      <c r="K28" t="s">
        <v>17</v>
      </c>
      <c r="L28" t="str">
        <f t="shared" si="3"/>
        <v>Control</v>
      </c>
      <c r="M28" t="s">
        <v>228</v>
      </c>
      <c r="N28" t="s">
        <v>249</v>
      </c>
      <c r="Q28" t="s">
        <v>197</v>
      </c>
      <c r="R28" t="s">
        <v>40</v>
      </c>
      <c r="S28" t="s">
        <v>32</v>
      </c>
      <c r="T28" t="s">
        <v>215</v>
      </c>
      <c r="V28" s="1">
        <f>[4]Johnson_etal_2014_Fig3a!B3</f>
        <v>2.3333333333333301E-8</v>
      </c>
      <c r="Y28"/>
      <c r="Z28" t="s">
        <v>19</v>
      </c>
    </row>
    <row r="29" spans="1:26" x14ac:dyDescent="0.25">
      <c r="A29" t="s">
        <v>38</v>
      </c>
      <c r="B29" t="s">
        <v>34</v>
      </c>
      <c r="C29" t="s">
        <v>35</v>
      </c>
      <c r="D29" t="s">
        <v>36</v>
      </c>
      <c r="E29" t="s">
        <v>13</v>
      </c>
      <c r="F29" t="s">
        <v>37</v>
      </c>
      <c r="G29" t="s">
        <v>220</v>
      </c>
      <c r="H29" t="s">
        <v>246</v>
      </c>
      <c r="J29" t="s">
        <v>226</v>
      </c>
      <c r="K29" t="s">
        <v>17</v>
      </c>
      <c r="L29" t="str">
        <f t="shared" si="3"/>
        <v>Control</v>
      </c>
      <c r="M29" t="s">
        <v>229</v>
      </c>
      <c r="N29" t="s">
        <v>249</v>
      </c>
      <c r="Q29" t="s">
        <v>197</v>
      </c>
      <c r="R29" t="s">
        <v>40</v>
      </c>
      <c r="S29" t="s">
        <v>32</v>
      </c>
      <c r="T29" t="s">
        <v>215</v>
      </c>
      <c r="V29" s="1">
        <f>[4]Johnson_etal_2014_Fig3a!B4</f>
        <v>4.0990990990990898E-8</v>
      </c>
      <c r="Y29"/>
      <c r="Z29" t="s">
        <v>19</v>
      </c>
    </row>
    <row r="30" spans="1:26" x14ac:dyDescent="0.25">
      <c r="A30" t="s">
        <v>38</v>
      </c>
      <c r="B30" t="s">
        <v>34</v>
      </c>
      <c r="C30" t="s">
        <v>35</v>
      </c>
      <c r="D30" t="s">
        <v>36</v>
      </c>
      <c r="E30" t="s">
        <v>13</v>
      </c>
      <c r="F30" t="s">
        <v>37</v>
      </c>
      <c r="G30" t="s">
        <v>220</v>
      </c>
      <c r="H30" t="s">
        <v>246</v>
      </c>
      <c r="J30" t="s">
        <v>226</v>
      </c>
      <c r="K30" t="s">
        <v>17</v>
      </c>
      <c r="L30" t="str">
        <f t="shared" si="3"/>
        <v>Control</v>
      </c>
      <c r="M30" t="s">
        <v>230</v>
      </c>
      <c r="N30" t="s">
        <v>249</v>
      </c>
      <c r="Q30" t="s">
        <v>197</v>
      </c>
      <c r="R30" t="s">
        <v>40</v>
      </c>
      <c r="S30" t="s">
        <v>32</v>
      </c>
      <c r="T30" t="s">
        <v>215</v>
      </c>
      <c r="V30" s="1">
        <f>[4]Johnson_etal_2014_Fig3a!B5</f>
        <v>3.81081081081081E-8</v>
      </c>
      <c r="Y30"/>
      <c r="Z30" t="s">
        <v>19</v>
      </c>
    </row>
    <row r="31" spans="1:26" x14ac:dyDescent="0.25">
      <c r="A31" t="s">
        <v>38</v>
      </c>
      <c r="B31" t="s">
        <v>34</v>
      </c>
      <c r="C31" t="s">
        <v>35</v>
      </c>
      <c r="D31" t="s">
        <v>36</v>
      </c>
      <c r="E31" t="s">
        <v>13</v>
      </c>
      <c r="F31" t="s">
        <v>37</v>
      </c>
      <c r="G31" t="s">
        <v>220</v>
      </c>
      <c r="H31" t="s">
        <v>246</v>
      </c>
      <c r="J31" t="s">
        <v>226</v>
      </c>
      <c r="K31" t="s">
        <v>17</v>
      </c>
      <c r="L31" t="str">
        <f t="shared" si="3"/>
        <v>Control</v>
      </c>
      <c r="M31" t="s">
        <v>228</v>
      </c>
      <c r="N31" t="s">
        <v>249</v>
      </c>
      <c r="Q31" t="s">
        <v>197</v>
      </c>
      <c r="R31" t="s">
        <v>39</v>
      </c>
      <c r="S31" t="s">
        <v>32</v>
      </c>
      <c r="T31" t="s">
        <v>215</v>
      </c>
      <c r="V31" s="1">
        <f>[5]Johnson_etal_2014_Fig3b!B2</f>
        <v>2.4503937007874E-9</v>
      </c>
      <c r="Y31"/>
      <c r="Z31" t="s">
        <v>19</v>
      </c>
    </row>
    <row r="32" spans="1:26" x14ac:dyDescent="0.25">
      <c r="A32" t="s">
        <v>38</v>
      </c>
      <c r="B32" t="s">
        <v>34</v>
      </c>
      <c r="C32" t="s">
        <v>35</v>
      </c>
      <c r="D32" t="s">
        <v>36</v>
      </c>
      <c r="E32" t="s">
        <v>13</v>
      </c>
      <c r="F32" t="s">
        <v>37</v>
      </c>
      <c r="G32" t="s">
        <v>220</v>
      </c>
      <c r="H32" t="s">
        <v>246</v>
      </c>
      <c r="J32" t="s">
        <v>226</v>
      </c>
      <c r="K32" t="s">
        <v>17</v>
      </c>
      <c r="L32" t="str">
        <f t="shared" si="3"/>
        <v>Control</v>
      </c>
      <c r="M32" t="s">
        <v>229</v>
      </c>
      <c r="N32" t="s">
        <v>249</v>
      </c>
      <c r="Q32" t="s">
        <v>197</v>
      </c>
      <c r="R32" t="s">
        <v>39</v>
      </c>
      <c r="S32" t="s">
        <v>32</v>
      </c>
      <c r="T32" t="s">
        <v>215</v>
      </c>
      <c r="V32" s="1">
        <f>[5]Johnson_etal_2014_Fig3b!B3</f>
        <v>1.9023622047244002E-9</v>
      </c>
      <c r="Y32"/>
      <c r="Z32" t="s">
        <v>19</v>
      </c>
    </row>
    <row r="33" spans="1:26" x14ac:dyDescent="0.25">
      <c r="A33" t="s">
        <v>38</v>
      </c>
      <c r="B33" t="s">
        <v>34</v>
      </c>
      <c r="C33" t="s">
        <v>35</v>
      </c>
      <c r="D33" t="s">
        <v>36</v>
      </c>
      <c r="E33" t="s">
        <v>13</v>
      </c>
      <c r="F33" t="s">
        <v>37</v>
      </c>
      <c r="G33" t="s">
        <v>220</v>
      </c>
      <c r="H33" t="s">
        <v>246</v>
      </c>
      <c r="J33" t="s">
        <v>226</v>
      </c>
      <c r="K33" t="s">
        <v>17</v>
      </c>
      <c r="L33" t="str">
        <f t="shared" si="3"/>
        <v>Control</v>
      </c>
      <c r="M33" t="s">
        <v>230</v>
      </c>
      <c r="N33" t="s">
        <v>249</v>
      </c>
      <c r="Q33" t="s">
        <v>197</v>
      </c>
      <c r="R33" t="s">
        <v>39</v>
      </c>
      <c r="S33" t="s">
        <v>32</v>
      </c>
      <c r="T33" t="s">
        <v>215</v>
      </c>
      <c r="V33" s="1">
        <f>[5]Johnson_etal_2014_Fig3b!B4</f>
        <v>1.31653543307086E-9</v>
      </c>
      <c r="Y33"/>
      <c r="Z33" t="s">
        <v>19</v>
      </c>
    </row>
    <row r="34" spans="1:26" x14ac:dyDescent="0.25">
      <c r="A34" t="s">
        <v>38</v>
      </c>
      <c r="B34" t="s">
        <v>34</v>
      </c>
      <c r="C34" t="s">
        <v>35</v>
      </c>
      <c r="D34" t="s">
        <v>36</v>
      </c>
      <c r="E34" t="s">
        <v>13</v>
      </c>
      <c r="F34" t="s">
        <v>37</v>
      </c>
      <c r="G34" t="s">
        <v>220</v>
      </c>
      <c r="H34" t="s">
        <v>246</v>
      </c>
      <c r="J34" t="s">
        <v>226</v>
      </c>
      <c r="K34" t="s">
        <v>243</v>
      </c>
      <c r="L34" t="str">
        <f t="shared" si="3"/>
        <v>Stress</v>
      </c>
      <c r="M34" t="s">
        <v>227</v>
      </c>
      <c r="N34" t="s">
        <v>249</v>
      </c>
      <c r="Q34" t="s">
        <v>197</v>
      </c>
      <c r="R34" t="s">
        <v>40</v>
      </c>
      <c r="S34" t="s">
        <v>32</v>
      </c>
      <c r="T34" t="s">
        <v>215</v>
      </c>
      <c r="V34" s="1">
        <f>+V27*(1-[6]Johnson_etal_2014_Fig4!$B2/100)</f>
        <v>1.0919638573484681E-8</v>
      </c>
      <c r="Y34"/>
      <c r="Z34" t="s">
        <v>19</v>
      </c>
    </row>
    <row r="35" spans="1:26" x14ac:dyDescent="0.25">
      <c r="A35" t="s">
        <v>38</v>
      </c>
      <c r="B35" t="s">
        <v>34</v>
      </c>
      <c r="C35" t="s">
        <v>35</v>
      </c>
      <c r="D35" t="s">
        <v>36</v>
      </c>
      <c r="E35" t="s">
        <v>13</v>
      </c>
      <c r="F35" t="s">
        <v>37</v>
      </c>
      <c r="G35" t="s">
        <v>220</v>
      </c>
      <c r="H35" t="s">
        <v>246</v>
      </c>
      <c r="J35" t="s">
        <v>226</v>
      </c>
      <c r="K35" t="s">
        <v>243</v>
      </c>
      <c r="L35" t="str">
        <f t="shared" si="3"/>
        <v>Stress</v>
      </c>
      <c r="M35" t="s">
        <v>228</v>
      </c>
      <c r="N35" t="s">
        <v>249</v>
      </c>
      <c r="Q35" t="s">
        <v>197</v>
      </c>
      <c r="R35" t="s">
        <v>40</v>
      </c>
      <c r="S35" t="s">
        <v>32</v>
      </c>
      <c r="T35" t="s">
        <v>215</v>
      </c>
      <c r="V35" s="1">
        <f>+V28*(1-[6]Johnson_etal_2014_Fig4!$B3/100)</f>
        <v>2.0530571992110434E-8</v>
      </c>
      <c r="Y35"/>
      <c r="Z35" t="s">
        <v>19</v>
      </c>
    </row>
    <row r="36" spans="1:26" x14ac:dyDescent="0.25">
      <c r="A36" t="s">
        <v>38</v>
      </c>
      <c r="B36" t="s">
        <v>34</v>
      </c>
      <c r="C36" t="s">
        <v>35</v>
      </c>
      <c r="D36" t="s">
        <v>36</v>
      </c>
      <c r="E36" t="s">
        <v>13</v>
      </c>
      <c r="F36" t="s">
        <v>37</v>
      </c>
      <c r="G36" t="s">
        <v>220</v>
      </c>
      <c r="H36" t="s">
        <v>246</v>
      </c>
      <c r="J36" t="s">
        <v>226</v>
      </c>
      <c r="K36" t="s">
        <v>243</v>
      </c>
      <c r="L36" t="str">
        <f t="shared" si="3"/>
        <v>Stress</v>
      </c>
      <c r="M36" t="s">
        <v>229</v>
      </c>
      <c r="N36" t="s">
        <v>249</v>
      </c>
      <c r="Q36" t="s">
        <v>197</v>
      </c>
      <c r="R36" t="s">
        <v>40</v>
      </c>
      <c r="S36" t="s">
        <v>32</v>
      </c>
      <c r="T36" t="s">
        <v>215</v>
      </c>
      <c r="V36" s="1">
        <f>+V29*(1-[6]Johnson_etal_2014_Fig4!$B4/100)</f>
        <v>3.1907484407484361E-8</v>
      </c>
      <c r="Y36"/>
      <c r="Z36" t="s">
        <v>19</v>
      </c>
    </row>
    <row r="37" spans="1:26" x14ac:dyDescent="0.25">
      <c r="A37" t="s">
        <v>38</v>
      </c>
      <c r="B37" t="s">
        <v>34</v>
      </c>
      <c r="C37" t="s">
        <v>35</v>
      </c>
      <c r="D37" t="s">
        <v>36</v>
      </c>
      <c r="E37" t="s">
        <v>13</v>
      </c>
      <c r="F37" t="s">
        <v>37</v>
      </c>
      <c r="G37" t="s">
        <v>220</v>
      </c>
      <c r="H37" t="s">
        <v>246</v>
      </c>
      <c r="J37" t="s">
        <v>226</v>
      </c>
      <c r="K37" t="s">
        <v>243</v>
      </c>
      <c r="L37" t="str">
        <f t="shared" si="3"/>
        <v>Stress</v>
      </c>
      <c r="M37" t="s">
        <v>230</v>
      </c>
      <c r="N37" t="s">
        <v>249</v>
      </c>
      <c r="Q37" t="s">
        <v>197</v>
      </c>
      <c r="R37" t="s">
        <v>40</v>
      </c>
      <c r="S37" t="s">
        <v>32</v>
      </c>
      <c r="T37" t="s">
        <v>215</v>
      </c>
      <c r="V37" s="1">
        <f>+V30*(1-[6]Johnson_etal_2014_Fig4!$B5/100)</f>
        <v>2.7019550615704483E-8</v>
      </c>
      <c r="Y37"/>
      <c r="Z37" t="s">
        <v>19</v>
      </c>
    </row>
    <row r="38" spans="1:26" x14ac:dyDescent="0.25">
      <c r="A38" t="s">
        <v>38</v>
      </c>
      <c r="B38" t="s">
        <v>34</v>
      </c>
      <c r="C38" t="s">
        <v>35</v>
      </c>
      <c r="D38" t="s">
        <v>36</v>
      </c>
      <c r="E38" t="s">
        <v>13</v>
      </c>
      <c r="F38" t="s">
        <v>37</v>
      </c>
      <c r="G38" t="s">
        <v>220</v>
      </c>
      <c r="H38" t="s">
        <v>246</v>
      </c>
      <c r="J38" t="s">
        <v>226</v>
      </c>
      <c r="K38" t="s">
        <v>243</v>
      </c>
      <c r="L38" t="str">
        <f t="shared" si="3"/>
        <v>Stress</v>
      </c>
      <c r="M38" t="s">
        <v>228</v>
      </c>
      <c r="N38" t="s">
        <v>249</v>
      </c>
      <c r="Q38" t="s">
        <v>197</v>
      </c>
      <c r="R38" t="s">
        <v>39</v>
      </c>
      <c r="S38" t="s">
        <v>32</v>
      </c>
      <c r="T38" t="s">
        <v>215</v>
      </c>
      <c r="V38" s="1">
        <f>+V31*(1-[6]Johnson_etal_2014_Fig4!$B6/100)</f>
        <v>1.0319927316777725E-9</v>
      </c>
      <c r="Y38"/>
      <c r="Z38" t="s">
        <v>19</v>
      </c>
    </row>
    <row r="39" spans="1:26" x14ac:dyDescent="0.25">
      <c r="A39" t="s">
        <v>38</v>
      </c>
      <c r="B39" t="s">
        <v>34</v>
      </c>
      <c r="C39" t="s">
        <v>35</v>
      </c>
      <c r="D39" t="s">
        <v>36</v>
      </c>
      <c r="E39" t="s">
        <v>13</v>
      </c>
      <c r="F39" t="s">
        <v>37</v>
      </c>
      <c r="G39" t="s">
        <v>220</v>
      </c>
      <c r="H39" t="s">
        <v>246</v>
      </c>
      <c r="J39" t="s">
        <v>226</v>
      </c>
      <c r="K39" t="s">
        <v>243</v>
      </c>
      <c r="L39" t="str">
        <f t="shared" si="3"/>
        <v>Stress</v>
      </c>
      <c r="M39" t="s">
        <v>229</v>
      </c>
      <c r="N39" t="s">
        <v>249</v>
      </c>
      <c r="Q39" t="s">
        <v>197</v>
      </c>
      <c r="R39" t="s">
        <v>39</v>
      </c>
      <c r="S39" t="s">
        <v>32</v>
      </c>
      <c r="T39" t="s">
        <v>215</v>
      </c>
      <c r="V39" s="1">
        <f>+V32*(1-[6]Johnson_etal_2014_Fig4!$B7/100)</f>
        <v>9.4892978614359263E-10</v>
      </c>
      <c r="Y39"/>
      <c r="Z39" t="s">
        <v>19</v>
      </c>
    </row>
    <row r="40" spans="1:26" x14ac:dyDescent="0.25">
      <c r="A40" t="s">
        <v>38</v>
      </c>
      <c r="B40" t="s">
        <v>34</v>
      </c>
      <c r="C40" t="s">
        <v>35</v>
      </c>
      <c r="D40" t="s">
        <v>36</v>
      </c>
      <c r="E40" t="s">
        <v>13</v>
      </c>
      <c r="F40" t="s">
        <v>37</v>
      </c>
      <c r="G40" t="s">
        <v>220</v>
      </c>
      <c r="H40" t="s">
        <v>246</v>
      </c>
      <c r="J40" t="s">
        <v>226</v>
      </c>
      <c r="K40" t="s">
        <v>243</v>
      </c>
      <c r="L40" t="str">
        <f t="shared" si="3"/>
        <v>Stress</v>
      </c>
      <c r="M40" t="s">
        <v>230</v>
      </c>
      <c r="N40" t="s">
        <v>249</v>
      </c>
      <c r="Q40" t="s">
        <v>197</v>
      </c>
      <c r="R40" t="s">
        <v>39</v>
      </c>
      <c r="S40" t="s">
        <v>32</v>
      </c>
      <c r="T40" t="s">
        <v>215</v>
      </c>
      <c r="V40" s="1">
        <f>+V33*(1-[6]Johnson_etal_2014_Fig4!$B8/100)</f>
        <v>1.1052276009877421E-9</v>
      </c>
      <c r="Y40"/>
      <c r="Z40" t="s">
        <v>19</v>
      </c>
    </row>
    <row r="41" spans="1:26" x14ac:dyDescent="0.25">
      <c r="A41" t="s">
        <v>41</v>
      </c>
      <c r="B41" t="s">
        <v>43</v>
      </c>
      <c r="C41" t="s">
        <v>44</v>
      </c>
      <c r="D41" t="s">
        <v>12</v>
      </c>
      <c r="E41" t="s">
        <v>13</v>
      </c>
      <c r="F41" t="s">
        <v>14</v>
      </c>
      <c r="G41" t="s">
        <v>14</v>
      </c>
      <c r="H41" t="s">
        <v>247</v>
      </c>
      <c r="I41">
        <f>+AVERAGE(15,17)</f>
        <v>16</v>
      </c>
      <c r="J41" t="s">
        <v>46</v>
      </c>
      <c r="K41" t="s">
        <v>17</v>
      </c>
      <c r="L41" t="str">
        <f t="shared" si="3"/>
        <v>Control</v>
      </c>
      <c r="Q41" t="s">
        <v>197</v>
      </c>
      <c r="R41" t="s">
        <v>26</v>
      </c>
      <c r="S41" t="s">
        <v>32</v>
      </c>
      <c r="T41" t="s">
        <v>216</v>
      </c>
      <c r="V41" s="1">
        <f>[7]Fricke_etal_2014_Fig2c!B2</f>
        <v>6.5089722675366997E-8</v>
      </c>
      <c r="Y41" s="2">
        <f>[8]Fricke_etal_2014_Fig2b!B2</f>
        <v>0.42258064516129001</v>
      </c>
      <c r="Z41" t="s">
        <v>42</v>
      </c>
    </row>
    <row r="42" spans="1:26" x14ac:dyDescent="0.25">
      <c r="A42" t="s">
        <v>41</v>
      </c>
      <c r="B42" t="s">
        <v>43</v>
      </c>
      <c r="C42" t="s">
        <v>44</v>
      </c>
      <c r="D42" t="s">
        <v>12</v>
      </c>
      <c r="E42" t="s">
        <v>13</v>
      </c>
      <c r="F42" t="s">
        <v>14</v>
      </c>
      <c r="G42" t="s">
        <v>14</v>
      </c>
      <c r="H42" t="s">
        <v>247</v>
      </c>
      <c r="I42">
        <f t="shared" ref="I42" si="4">+AVERAGE(15,17)</f>
        <v>16</v>
      </c>
      <c r="J42" t="s">
        <v>46</v>
      </c>
      <c r="K42" t="s">
        <v>46</v>
      </c>
      <c r="L42" t="str">
        <f t="shared" si="3"/>
        <v>Stress</v>
      </c>
      <c r="Q42" t="s">
        <v>197</v>
      </c>
      <c r="R42" t="s">
        <v>26</v>
      </c>
      <c r="S42" t="s">
        <v>32</v>
      </c>
      <c r="T42" t="s">
        <v>216</v>
      </c>
      <c r="V42" s="1">
        <f>[7]Fricke_etal_2014_Fig2c!B3</f>
        <v>2.3491027732463301E-8</v>
      </c>
      <c r="Y42" s="2">
        <f>[8]Fricke_etal_2014_Fig2b!B3</f>
        <v>0.44838709677419297</v>
      </c>
      <c r="Z42" t="s">
        <v>42</v>
      </c>
    </row>
    <row r="43" spans="1:26" x14ac:dyDescent="0.25">
      <c r="A43" t="s">
        <v>41</v>
      </c>
      <c r="B43" t="s">
        <v>43</v>
      </c>
      <c r="C43" t="s">
        <v>44</v>
      </c>
      <c r="D43" t="s">
        <v>12</v>
      </c>
      <c r="E43" t="s">
        <v>13</v>
      </c>
      <c r="F43" t="s">
        <v>14</v>
      </c>
      <c r="G43" t="s">
        <v>14</v>
      </c>
      <c r="H43" t="s">
        <v>247</v>
      </c>
      <c r="I43">
        <f>+AVERAGE(22,24)</f>
        <v>23</v>
      </c>
      <c r="J43" t="s">
        <v>46</v>
      </c>
      <c r="K43" t="s">
        <v>17</v>
      </c>
      <c r="L43" t="str">
        <f t="shared" si="3"/>
        <v>Control</v>
      </c>
      <c r="Q43" t="s">
        <v>197</v>
      </c>
      <c r="R43" t="s">
        <v>26</v>
      </c>
      <c r="S43" t="s">
        <v>32</v>
      </c>
      <c r="T43" t="s">
        <v>216</v>
      </c>
      <c r="V43" s="1">
        <f>[7]Fricke_etal_2014_Fig2c!B4</f>
        <v>3.0016313213703103E-8</v>
      </c>
      <c r="Y43" s="2">
        <f>[8]Fricke_etal_2014_Fig2b!B4</f>
        <v>0.41935483870967699</v>
      </c>
      <c r="Z43" t="s">
        <v>42</v>
      </c>
    </row>
    <row r="44" spans="1:26" x14ac:dyDescent="0.25">
      <c r="A44" t="s">
        <v>41</v>
      </c>
      <c r="B44" t="s">
        <v>43</v>
      </c>
      <c r="C44" t="s">
        <v>44</v>
      </c>
      <c r="D44" t="s">
        <v>12</v>
      </c>
      <c r="E44" t="s">
        <v>13</v>
      </c>
      <c r="F44" t="s">
        <v>14</v>
      </c>
      <c r="G44" t="s">
        <v>14</v>
      </c>
      <c r="H44" t="s">
        <v>247</v>
      </c>
      <c r="I44">
        <f t="shared" ref="I44:I46" si="5">+AVERAGE(22,24)</f>
        <v>23</v>
      </c>
      <c r="J44" t="s">
        <v>46</v>
      </c>
      <c r="K44" t="s">
        <v>46</v>
      </c>
      <c r="L44" t="str">
        <f t="shared" si="3"/>
        <v>Stress</v>
      </c>
      <c r="Q44" t="s">
        <v>197</v>
      </c>
      <c r="R44" t="s">
        <v>26</v>
      </c>
      <c r="S44" t="s">
        <v>32</v>
      </c>
      <c r="T44" t="s">
        <v>216</v>
      </c>
      <c r="V44" s="1">
        <f>[7]Fricke_etal_2014_Fig2c!B5</f>
        <v>3.1810766721044E-8</v>
      </c>
      <c r="Y44" s="2">
        <f>[8]Fricke_etal_2014_Fig2b!B5</f>
        <v>0.44677419354838699</v>
      </c>
      <c r="Z44" t="s">
        <v>42</v>
      </c>
    </row>
    <row r="45" spans="1:26" x14ac:dyDescent="0.25">
      <c r="A45" t="s">
        <v>41</v>
      </c>
      <c r="B45" t="s">
        <v>43</v>
      </c>
      <c r="C45" t="s">
        <v>44</v>
      </c>
      <c r="D45" t="s">
        <v>12</v>
      </c>
      <c r="E45" t="s">
        <v>13</v>
      </c>
      <c r="F45" t="s">
        <v>14</v>
      </c>
      <c r="G45" t="s">
        <v>14</v>
      </c>
      <c r="H45" t="s">
        <v>247</v>
      </c>
      <c r="I45">
        <f t="shared" si="5"/>
        <v>23</v>
      </c>
      <c r="J45" t="s">
        <v>46</v>
      </c>
      <c r="K45" t="s">
        <v>17</v>
      </c>
      <c r="L45" t="str">
        <f t="shared" si="3"/>
        <v>Control</v>
      </c>
      <c r="Q45" t="s">
        <v>197</v>
      </c>
      <c r="R45" t="s">
        <v>45</v>
      </c>
      <c r="S45" t="s">
        <v>32</v>
      </c>
      <c r="T45" t="s">
        <v>216</v>
      </c>
      <c r="V45" s="1">
        <f>[7]Fricke_etal_2014_Fig2c!B6</f>
        <v>2.67536704730832E-8</v>
      </c>
      <c r="Y45" s="2">
        <f>[8]Fricke_etal_2014_Fig2b!B6</f>
        <v>0.793548387096773</v>
      </c>
      <c r="Z45" t="s">
        <v>42</v>
      </c>
    </row>
    <row r="46" spans="1:26" x14ac:dyDescent="0.25">
      <c r="A46" t="s">
        <v>41</v>
      </c>
      <c r="B46" t="s">
        <v>43</v>
      </c>
      <c r="C46" t="s">
        <v>44</v>
      </c>
      <c r="D46" t="s">
        <v>12</v>
      </c>
      <c r="E46" t="s">
        <v>13</v>
      </c>
      <c r="F46" t="s">
        <v>14</v>
      </c>
      <c r="G46" t="s">
        <v>14</v>
      </c>
      <c r="H46" t="s">
        <v>247</v>
      </c>
      <c r="I46">
        <f t="shared" si="5"/>
        <v>23</v>
      </c>
      <c r="J46" t="s">
        <v>46</v>
      </c>
      <c r="K46" t="s">
        <v>46</v>
      </c>
      <c r="L46" t="str">
        <f t="shared" si="3"/>
        <v>Stress</v>
      </c>
      <c r="Q46" t="s">
        <v>197</v>
      </c>
      <c r="R46" t="s">
        <v>45</v>
      </c>
      <c r="S46" t="s">
        <v>32</v>
      </c>
      <c r="T46" t="s">
        <v>216</v>
      </c>
      <c r="V46" s="1">
        <f>[7]Fricke_etal_2014_Fig2c!B7</f>
        <v>1.46818923327895E-8</v>
      </c>
      <c r="Y46" s="2">
        <f>[8]Fricke_etal_2014_Fig2b!B7</f>
        <v>0.62419354838709595</v>
      </c>
      <c r="Z46" t="s">
        <v>42</v>
      </c>
    </row>
    <row r="47" spans="1:26" x14ac:dyDescent="0.25">
      <c r="A47" t="s">
        <v>47</v>
      </c>
      <c r="B47" t="s">
        <v>10</v>
      </c>
      <c r="C47" t="s">
        <v>11</v>
      </c>
      <c r="D47" t="s">
        <v>12</v>
      </c>
      <c r="E47" t="s">
        <v>13</v>
      </c>
      <c r="F47" t="s">
        <v>14</v>
      </c>
      <c r="G47" t="s">
        <v>14</v>
      </c>
      <c r="H47" t="s">
        <v>247</v>
      </c>
      <c r="I47">
        <f>+AVERAGE(9,13)</f>
        <v>11</v>
      </c>
      <c r="Q47" t="s">
        <v>197</v>
      </c>
      <c r="R47" t="s">
        <v>26</v>
      </c>
      <c r="S47" t="s">
        <v>32</v>
      </c>
      <c r="T47" t="s">
        <v>215</v>
      </c>
      <c r="V47" s="1">
        <f>[9]Suku_etal_2013_Fig5!B2</f>
        <v>2.0674955595026601E-7</v>
      </c>
      <c r="W47" s="2"/>
      <c r="Z47" t="s">
        <v>22</v>
      </c>
    </row>
    <row r="48" spans="1:26" x14ac:dyDescent="0.25">
      <c r="A48" t="s">
        <v>47</v>
      </c>
      <c r="B48" t="s">
        <v>10</v>
      </c>
      <c r="C48" t="s">
        <v>11</v>
      </c>
      <c r="D48" t="s">
        <v>12</v>
      </c>
      <c r="E48" t="s">
        <v>13</v>
      </c>
      <c r="F48" t="s">
        <v>14</v>
      </c>
      <c r="G48" t="s">
        <v>14</v>
      </c>
      <c r="H48" t="s">
        <v>247</v>
      </c>
      <c r="I48">
        <f>+AVERAGE(14,18)</f>
        <v>16</v>
      </c>
      <c r="Q48" t="s">
        <v>197</v>
      </c>
      <c r="R48" t="s">
        <v>26</v>
      </c>
      <c r="S48" t="s">
        <v>32</v>
      </c>
      <c r="T48" t="s">
        <v>215</v>
      </c>
      <c r="V48" s="1">
        <f>[9]Suku_etal_2013_Fig5!B3</f>
        <v>2.0035523978685601E-7</v>
      </c>
      <c r="W48" s="2"/>
      <c r="Z48" t="s">
        <v>22</v>
      </c>
    </row>
    <row r="49" spans="1:26" x14ac:dyDescent="0.25">
      <c r="A49" t="s">
        <v>47</v>
      </c>
      <c r="B49" t="s">
        <v>10</v>
      </c>
      <c r="C49" t="s">
        <v>11</v>
      </c>
      <c r="D49" t="s">
        <v>12</v>
      </c>
      <c r="E49" t="s">
        <v>13</v>
      </c>
      <c r="F49" t="s">
        <v>14</v>
      </c>
      <c r="G49" t="s">
        <v>14</v>
      </c>
      <c r="H49" t="s">
        <v>247</v>
      </c>
      <c r="I49">
        <f t="shared" ref="I49" si="6">+AVERAGE(14,18)</f>
        <v>16</v>
      </c>
      <c r="Q49" t="s">
        <v>197</v>
      </c>
      <c r="R49" t="s">
        <v>45</v>
      </c>
      <c r="S49" t="s">
        <v>32</v>
      </c>
      <c r="T49" t="s">
        <v>215</v>
      </c>
      <c r="V49" s="1">
        <f>[9]Suku_etal_2013_Fig5!B4</f>
        <v>2.2877442273534599E-7</v>
      </c>
      <c r="W49" s="2"/>
      <c r="Z49" t="s">
        <v>22</v>
      </c>
    </row>
    <row r="50" spans="1:26" x14ac:dyDescent="0.25">
      <c r="A50" t="s">
        <v>47</v>
      </c>
      <c r="B50" t="s">
        <v>10</v>
      </c>
      <c r="C50" t="s">
        <v>11</v>
      </c>
      <c r="D50" t="s">
        <v>12</v>
      </c>
      <c r="E50" t="s">
        <v>13</v>
      </c>
      <c r="F50" t="s">
        <v>14</v>
      </c>
      <c r="G50" t="s">
        <v>14</v>
      </c>
      <c r="H50" t="s">
        <v>247</v>
      </c>
      <c r="I50">
        <f>+AVERAGE(19,23)</f>
        <v>21</v>
      </c>
      <c r="Q50" t="s">
        <v>197</v>
      </c>
      <c r="R50" t="s">
        <v>26</v>
      </c>
      <c r="S50" t="s">
        <v>32</v>
      </c>
      <c r="T50" t="s">
        <v>215</v>
      </c>
      <c r="V50" s="1">
        <f>[9]Suku_etal_2013_Fig5!B5</f>
        <v>2.9982238010657098E-7</v>
      </c>
      <c r="W50" s="2"/>
      <c r="Z50" t="s">
        <v>22</v>
      </c>
    </row>
    <row r="51" spans="1:26" x14ac:dyDescent="0.25">
      <c r="A51" t="s">
        <v>47</v>
      </c>
      <c r="B51" t="s">
        <v>10</v>
      </c>
      <c r="C51" t="s">
        <v>11</v>
      </c>
      <c r="D51" t="s">
        <v>12</v>
      </c>
      <c r="E51" t="s">
        <v>13</v>
      </c>
      <c r="F51" t="s">
        <v>14</v>
      </c>
      <c r="G51" t="s">
        <v>14</v>
      </c>
      <c r="H51" t="s">
        <v>247</v>
      </c>
      <c r="I51">
        <f>+AVERAGE(19,23)</f>
        <v>21</v>
      </c>
      <c r="Q51" t="s">
        <v>197</v>
      </c>
      <c r="R51" t="s">
        <v>45</v>
      </c>
      <c r="S51" t="s">
        <v>32</v>
      </c>
      <c r="T51" t="s">
        <v>215</v>
      </c>
      <c r="V51" s="1">
        <f>[9]Suku_etal_2013_Fig5!B6</f>
        <v>2.47246891651864E-7</v>
      </c>
      <c r="W51" s="2"/>
      <c r="Z51" t="s">
        <v>22</v>
      </c>
    </row>
    <row r="52" spans="1:26" x14ac:dyDescent="0.25">
      <c r="A52" t="s">
        <v>47</v>
      </c>
      <c r="B52" t="s">
        <v>10</v>
      </c>
      <c r="C52" t="s">
        <v>11</v>
      </c>
      <c r="D52" t="s">
        <v>12</v>
      </c>
      <c r="E52" t="s">
        <v>13</v>
      </c>
      <c r="F52" t="s">
        <v>14</v>
      </c>
      <c r="G52" t="s">
        <v>14</v>
      </c>
      <c r="H52" t="s">
        <v>247</v>
      </c>
      <c r="I52">
        <f>+AVERAGE(24,28)</f>
        <v>26</v>
      </c>
      <c r="Q52" t="s">
        <v>197</v>
      </c>
      <c r="R52" t="s">
        <v>26</v>
      </c>
      <c r="S52" t="s">
        <v>32</v>
      </c>
      <c r="T52" t="s">
        <v>215</v>
      </c>
      <c r="V52" s="1">
        <f>[9]Suku_etal_2013_Fig5!B7</f>
        <v>2.4866785079928898E-7</v>
      </c>
      <c r="W52" s="2"/>
      <c r="Z52" t="s">
        <v>22</v>
      </c>
    </row>
    <row r="53" spans="1:26" x14ac:dyDescent="0.25">
      <c r="A53" t="s">
        <v>47</v>
      </c>
      <c r="B53" t="s">
        <v>10</v>
      </c>
      <c r="C53" t="s">
        <v>11</v>
      </c>
      <c r="D53" t="s">
        <v>12</v>
      </c>
      <c r="E53" t="s">
        <v>13</v>
      </c>
      <c r="F53" t="s">
        <v>14</v>
      </c>
      <c r="G53" t="s">
        <v>14</v>
      </c>
      <c r="H53" t="s">
        <v>247</v>
      </c>
      <c r="I53">
        <f>+AVERAGE(24,28)</f>
        <v>26</v>
      </c>
      <c r="Q53" t="s">
        <v>197</v>
      </c>
      <c r="R53" t="s">
        <v>45</v>
      </c>
      <c r="S53" t="s">
        <v>32</v>
      </c>
      <c r="T53" t="s">
        <v>215</v>
      </c>
      <c r="V53" s="1">
        <f>[9]Suku_etal_2013_Fig5!B8</f>
        <v>2.2999999999999999E-7</v>
      </c>
      <c r="W53" s="2"/>
      <c r="Z53" t="s">
        <v>22</v>
      </c>
    </row>
    <row r="54" spans="1:26" x14ac:dyDescent="0.25">
      <c r="A54" t="s">
        <v>49</v>
      </c>
      <c r="B54" t="s">
        <v>48</v>
      </c>
      <c r="C54" t="s">
        <v>213</v>
      </c>
      <c r="D54" t="s">
        <v>18</v>
      </c>
      <c r="E54" t="s">
        <v>13</v>
      </c>
      <c r="G54" t="s">
        <v>209</v>
      </c>
      <c r="H54" t="s">
        <v>248</v>
      </c>
      <c r="I54">
        <f>+AVERAGE(6,8)*7</f>
        <v>49</v>
      </c>
      <c r="J54" t="s">
        <v>51</v>
      </c>
      <c r="K54" t="s">
        <v>17</v>
      </c>
      <c r="L54" t="str">
        <f t="shared" ref="L54:L72" si="7">+IF(K54="Control","Control","Stress")</f>
        <v>Control</v>
      </c>
      <c r="Q54" t="s">
        <v>197</v>
      </c>
      <c r="R54" t="s">
        <v>24</v>
      </c>
      <c r="S54" t="s">
        <v>27</v>
      </c>
      <c r="T54" t="s">
        <v>215</v>
      </c>
      <c r="V54" s="1">
        <f>[10]Gambetta_etal_2013_Fig3a!B2</f>
        <v>5.6071428571428502E-7</v>
      </c>
      <c r="Y54"/>
      <c r="Z54" t="s">
        <v>53</v>
      </c>
    </row>
    <row r="55" spans="1:26" x14ac:dyDescent="0.25">
      <c r="A55" t="s">
        <v>49</v>
      </c>
      <c r="B55" t="s">
        <v>48</v>
      </c>
      <c r="C55" t="s">
        <v>213</v>
      </c>
      <c r="D55" t="s">
        <v>18</v>
      </c>
      <c r="E55" t="s">
        <v>13</v>
      </c>
      <c r="G55" t="s">
        <v>209</v>
      </c>
      <c r="H55" t="s">
        <v>248</v>
      </c>
      <c r="I55">
        <f t="shared" ref="I55:I57" si="8">+AVERAGE(6,8)*7</f>
        <v>49</v>
      </c>
      <c r="J55" t="s">
        <v>51</v>
      </c>
      <c r="K55" t="s">
        <v>17</v>
      </c>
      <c r="L55" t="str">
        <f t="shared" si="7"/>
        <v>Control</v>
      </c>
      <c r="Q55" t="s">
        <v>197</v>
      </c>
      <c r="R55" t="s">
        <v>24</v>
      </c>
      <c r="S55" t="s">
        <v>72</v>
      </c>
      <c r="T55" t="s">
        <v>215</v>
      </c>
      <c r="V55" s="1">
        <f>[10]Gambetta_etal_2013_Fig3a!B3</f>
        <v>4.1071428571428499E-8</v>
      </c>
      <c r="Y55"/>
      <c r="Z55" t="s">
        <v>53</v>
      </c>
    </row>
    <row r="56" spans="1:26" x14ac:dyDescent="0.25">
      <c r="A56" t="s">
        <v>49</v>
      </c>
      <c r="B56" t="s">
        <v>48</v>
      </c>
      <c r="C56" t="s">
        <v>213</v>
      </c>
      <c r="D56" t="s">
        <v>18</v>
      </c>
      <c r="E56" t="s">
        <v>13</v>
      </c>
      <c r="G56" t="s">
        <v>209</v>
      </c>
      <c r="H56" t="s">
        <v>248</v>
      </c>
      <c r="I56">
        <f t="shared" si="8"/>
        <v>49</v>
      </c>
      <c r="J56" t="s">
        <v>51</v>
      </c>
      <c r="K56" t="s">
        <v>243</v>
      </c>
      <c r="L56" t="str">
        <f t="shared" si="7"/>
        <v>Stress</v>
      </c>
      <c r="Q56" t="s">
        <v>197</v>
      </c>
      <c r="R56" t="s">
        <v>24</v>
      </c>
      <c r="S56" t="s">
        <v>27</v>
      </c>
      <c r="T56" t="s">
        <v>215</v>
      </c>
      <c r="V56" s="1">
        <f>+V54*(1-0.05)</f>
        <v>5.326785714285707E-7</v>
      </c>
      <c r="Y56"/>
      <c r="Z56" t="s">
        <v>53</v>
      </c>
    </row>
    <row r="57" spans="1:26" x14ac:dyDescent="0.25">
      <c r="A57" t="s">
        <v>49</v>
      </c>
      <c r="B57" t="s">
        <v>48</v>
      </c>
      <c r="C57" t="s">
        <v>213</v>
      </c>
      <c r="D57" t="s">
        <v>18</v>
      </c>
      <c r="E57" t="s">
        <v>13</v>
      </c>
      <c r="G57" t="s">
        <v>209</v>
      </c>
      <c r="H57" t="s">
        <v>248</v>
      </c>
      <c r="I57">
        <f t="shared" si="8"/>
        <v>49</v>
      </c>
      <c r="J57" t="s">
        <v>51</v>
      </c>
      <c r="K57" t="s">
        <v>243</v>
      </c>
      <c r="L57" t="str">
        <f t="shared" si="7"/>
        <v>Stress</v>
      </c>
      <c r="Q57" t="s">
        <v>197</v>
      </c>
      <c r="R57" t="s">
        <v>24</v>
      </c>
      <c r="S57" t="s">
        <v>72</v>
      </c>
      <c r="T57" t="s">
        <v>215</v>
      </c>
      <c r="V57" s="1">
        <f>+V55</f>
        <v>4.1071428571428499E-8</v>
      </c>
      <c r="Y57"/>
      <c r="Z57" t="s">
        <v>53</v>
      </c>
    </row>
    <row r="58" spans="1:26" x14ac:dyDescent="0.25">
      <c r="A58" t="s">
        <v>50</v>
      </c>
      <c r="B58" t="s">
        <v>20</v>
      </c>
      <c r="C58" t="s">
        <v>21</v>
      </c>
      <c r="D58" t="s">
        <v>12</v>
      </c>
      <c r="E58" t="s">
        <v>15</v>
      </c>
      <c r="F58" t="s">
        <v>16</v>
      </c>
      <c r="G58" t="s">
        <v>16</v>
      </c>
      <c r="H58" t="s">
        <v>247</v>
      </c>
      <c r="I58">
        <f>+AVERAGE(7,9)</f>
        <v>8</v>
      </c>
      <c r="J58" t="s">
        <v>51</v>
      </c>
      <c r="K58" t="s">
        <v>17</v>
      </c>
      <c r="L58" t="str">
        <f t="shared" si="7"/>
        <v>Control</v>
      </c>
      <c r="Q58" t="s">
        <v>197</v>
      </c>
      <c r="R58" t="s">
        <v>30</v>
      </c>
      <c r="S58" t="s">
        <v>32</v>
      </c>
      <c r="T58" t="s">
        <v>216</v>
      </c>
      <c r="V58" s="1">
        <v>5.8999999999999999E-9</v>
      </c>
      <c r="Y58"/>
      <c r="Z58" t="s">
        <v>42</v>
      </c>
    </row>
    <row r="59" spans="1:26" x14ac:dyDescent="0.25">
      <c r="A59" t="s">
        <v>50</v>
      </c>
      <c r="B59" t="s">
        <v>20</v>
      </c>
      <c r="C59" t="s">
        <v>21</v>
      </c>
      <c r="D59" t="s">
        <v>12</v>
      </c>
      <c r="E59" t="s">
        <v>15</v>
      </c>
      <c r="F59" t="s">
        <v>16</v>
      </c>
      <c r="G59" t="s">
        <v>16</v>
      </c>
      <c r="H59" t="s">
        <v>247</v>
      </c>
      <c r="I59">
        <f>+AVERAGE(7,9)</f>
        <v>8</v>
      </c>
      <c r="J59" t="s">
        <v>51</v>
      </c>
      <c r="K59" t="s">
        <v>243</v>
      </c>
      <c r="L59" t="str">
        <f t="shared" si="7"/>
        <v>Stress</v>
      </c>
      <c r="Q59" t="s">
        <v>197</v>
      </c>
      <c r="R59" t="s">
        <v>30</v>
      </c>
      <c r="S59" t="s">
        <v>32</v>
      </c>
      <c r="T59" t="s">
        <v>216</v>
      </c>
      <c r="V59" s="1">
        <v>4.8999999999999996E-10</v>
      </c>
      <c r="Y59"/>
      <c r="Z59" t="s">
        <v>42</v>
      </c>
    </row>
    <row r="60" spans="1:26" x14ac:dyDescent="0.25">
      <c r="A60" t="s">
        <v>50</v>
      </c>
      <c r="B60" t="s">
        <v>20</v>
      </c>
      <c r="C60" t="s">
        <v>21</v>
      </c>
      <c r="D60" t="s">
        <v>12</v>
      </c>
      <c r="E60" t="s">
        <v>15</v>
      </c>
      <c r="F60" t="s">
        <v>16</v>
      </c>
      <c r="G60" t="s">
        <v>16</v>
      </c>
      <c r="H60" t="s">
        <v>247</v>
      </c>
      <c r="I60">
        <v>10</v>
      </c>
      <c r="J60" t="s">
        <v>51</v>
      </c>
      <c r="K60" t="s">
        <v>17</v>
      </c>
      <c r="L60" t="str">
        <f t="shared" si="7"/>
        <v>Control</v>
      </c>
      <c r="Q60" t="s">
        <v>197</v>
      </c>
      <c r="R60" t="s">
        <v>30</v>
      </c>
      <c r="S60" t="s">
        <v>32</v>
      </c>
      <c r="T60" t="s">
        <v>215</v>
      </c>
      <c r="V60" s="1">
        <v>8.3999999999999998E-8</v>
      </c>
      <c r="Y60"/>
      <c r="Z60" t="s">
        <v>52</v>
      </c>
    </row>
    <row r="61" spans="1:26" x14ac:dyDescent="0.25">
      <c r="A61" t="s">
        <v>54</v>
      </c>
      <c r="B61" t="s">
        <v>48</v>
      </c>
      <c r="C61" t="s">
        <v>213</v>
      </c>
      <c r="D61" t="s">
        <v>18</v>
      </c>
      <c r="E61" t="s">
        <v>13</v>
      </c>
      <c r="G61" t="s">
        <v>209</v>
      </c>
      <c r="H61" t="s">
        <v>248</v>
      </c>
      <c r="J61" t="s">
        <v>254</v>
      </c>
      <c r="K61" t="s">
        <v>17</v>
      </c>
      <c r="L61" t="str">
        <f t="shared" si="7"/>
        <v>Control</v>
      </c>
      <c r="M61" t="s">
        <v>192</v>
      </c>
      <c r="N61" t="s">
        <v>249</v>
      </c>
      <c r="Q61" t="s">
        <v>197</v>
      </c>
      <c r="R61" t="s">
        <v>24</v>
      </c>
      <c r="S61" t="s">
        <v>32</v>
      </c>
      <c r="T61" t="s">
        <v>215</v>
      </c>
      <c r="V61" s="1">
        <f>[11]Gambetta_etal_2012_Fig4!B2</f>
        <v>5.6098310291858599E-8</v>
      </c>
      <c r="Y61"/>
      <c r="Z61" t="s">
        <v>53</v>
      </c>
    </row>
    <row r="62" spans="1:26" x14ac:dyDescent="0.25">
      <c r="A62" t="s">
        <v>54</v>
      </c>
      <c r="B62" t="s">
        <v>48</v>
      </c>
      <c r="C62" t="s">
        <v>213</v>
      </c>
      <c r="D62" t="s">
        <v>18</v>
      </c>
      <c r="E62" t="s">
        <v>13</v>
      </c>
      <c r="G62" t="s">
        <v>209</v>
      </c>
      <c r="H62" t="s">
        <v>248</v>
      </c>
      <c r="J62" t="s">
        <v>254</v>
      </c>
      <c r="K62" t="s">
        <v>17</v>
      </c>
      <c r="L62" t="str">
        <f t="shared" si="7"/>
        <v>Control</v>
      </c>
      <c r="M62" t="s">
        <v>185</v>
      </c>
      <c r="N62" t="s">
        <v>249</v>
      </c>
      <c r="Q62" t="s">
        <v>197</v>
      </c>
      <c r="R62" t="s">
        <v>24</v>
      </c>
      <c r="S62" t="s">
        <v>32</v>
      </c>
      <c r="T62" t="s">
        <v>215</v>
      </c>
      <c r="V62" s="1">
        <f>[11]Gambetta_etal_2012_Fig4!B3</f>
        <v>4.3195084485406998E-8</v>
      </c>
      <c r="Y62"/>
      <c r="Z62" t="s">
        <v>53</v>
      </c>
    </row>
    <row r="63" spans="1:26" x14ac:dyDescent="0.25">
      <c r="A63" t="s">
        <v>54</v>
      </c>
      <c r="B63" t="s">
        <v>48</v>
      </c>
      <c r="C63" t="s">
        <v>213</v>
      </c>
      <c r="D63" t="s">
        <v>18</v>
      </c>
      <c r="E63" t="s">
        <v>13</v>
      </c>
      <c r="G63" t="s">
        <v>209</v>
      </c>
      <c r="H63" t="s">
        <v>248</v>
      </c>
      <c r="J63" t="s">
        <v>254</v>
      </c>
      <c r="K63" t="s">
        <v>17</v>
      </c>
      <c r="L63" t="str">
        <f t="shared" si="7"/>
        <v>Control</v>
      </c>
      <c r="M63" t="s">
        <v>193</v>
      </c>
      <c r="N63" t="s">
        <v>249</v>
      </c>
      <c r="Q63" t="s">
        <v>197</v>
      </c>
      <c r="R63" t="s">
        <v>24</v>
      </c>
      <c r="S63" t="s">
        <v>32</v>
      </c>
      <c r="T63" t="s">
        <v>215</v>
      </c>
      <c r="V63" s="1">
        <f>[11]Gambetta_etal_2012_Fig4!B4</f>
        <v>8.4976958525345597E-8</v>
      </c>
      <c r="Y63"/>
      <c r="Z63" t="s">
        <v>53</v>
      </c>
    </row>
    <row r="64" spans="1:26" x14ac:dyDescent="0.25">
      <c r="A64" t="s">
        <v>54</v>
      </c>
      <c r="B64" t="s">
        <v>48</v>
      </c>
      <c r="C64" t="s">
        <v>213</v>
      </c>
      <c r="D64" t="s">
        <v>18</v>
      </c>
      <c r="E64" t="s">
        <v>13</v>
      </c>
      <c r="G64" t="s">
        <v>209</v>
      </c>
      <c r="H64" t="s">
        <v>248</v>
      </c>
      <c r="J64" t="s">
        <v>254</v>
      </c>
      <c r="K64" t="s">
        <v>17</v>
      </c>
      <c r="L64" t="str">
        <f t="shared" si="7"/>
        <v>Control</v>
      </c>
      <c r="M64" t="s">
        <v>186</v>
      </c>
      <c r="N64" t="s">
        <v>249</v>
      </c>
      <c r="Q64" t="s">
        <v>197</v>
      </c>
      <c r="R64" t="s">
        <v>24</v>
      </c>
      <c r="S64" t="s">
        <v>32</v>
      </c>
      <c r="T64" t="s">
        <v>215</v>
      </c>
      <c r="V64" s="1">
        <f>[11]Gambetta_etal_2012_Fig4!B5</f>
        <v>7.3763440860214995E-8</v>
      </c>
      <c r="Y64"/>
      <c r="Z64" t="s">
        <v>53</v>
      </c>
    </row>
    <row r="65" spans="1:26" x14ac:dyDescent="0.25">
      <c r="A65" t="s">
        <v>54</v>
      </c>
      <c r="B65" t="s">
        <v>48</v>
      </c>
      <c r="C65" t="s">
        <v>213</v>
      </c>
      <c r="D65" t="s">
        <v>18</v>
      </c>
      <c r="E65" t="s">
        <v>13</v>
      </c>
      <c r="G65" t="s">
        <v>209</v>
      </c>
      <c r="H65" t="s">
        <v>248</v>
      </c>
      <c r="J65" t="s">
        <v>254</v>
      </c>
      <c r="K65" t="s">
        <v>243</v>
      </c>
      <c r="L65" t="str">
        <f t="shared" si="7"/>
        <v>Stress</v>
      </c>
      <c r="M65" t="s">
        <v>192</v>
      </c>
      <c r="N65" t="s">
        <v>249</v>
      </c>
      <c r="Q65" t="s">
        <v>197</v>
      </c>
      <c r="R65" t="s">
        <v>24</v>
      </c>
      <c r="S65" t="s">
        <v>32</v>
      </c>
      <c r="T65" t="s">
        <v>215</v>
      </c>
      <c r="V65" s="1">
        <f>[11]Gambetta_etal_2012_Fig4!B6</f>
        <v>5.3640552995391602E-8</v>
      </c>
      <c r="Y65"/>
      <c r="Z65" t="s">
        <v>53</v>
      </c>
    </row>
    <row r="66" spans="1:26" x14ac:dyDescent="0.25">
      <c r="A66" t="s">
        <v>54</v>
      </c>
      <c r="B66" t="s">
        <v>48</v>
      </c>
      <c r="C66" t="s">
        <v>213</v>
      </c>
      <c r="D66" t="s">
        <v>18</v>
      </c>
      <c r="E66" t="s">
        <v>13</v>
      </c>
      <c r="G66" t="s">
        <v>209</v>
      </c>
      <c r="H66" t="s">
        <v>248</v>
      </c>
      <c r="J66" t="s">
        <v>254</v>
      </c>
      <c r="K66" t="s">
        <v>243</v>
      </c>
      <c r="L66" t="str">
        <f t="shared" si="7"/>
        <v>Stress</v>
      </c>
      <c r="M66" t="s">
        <v>185</v>
      </c>
      <c r="N66" t="s">
        <v>249</v>
      </c>
      <c r="Q66" t="s">
        <v>197</v>
      </c>
      <c r="R66" t="s">
        <v>24</v>
      </c>
      <c r="S66" t="s">
        <v>32</v>
      </c>
      <c r="T66" t="s">
        <v>215</v>
      </c>
      <c r="V66" s="1">
        <f>[11]Gambetta_etal_2012_Fig4!B7</f>
        <v>3.3056835637480801E-8</v>
      </c>
      <c r="Y66"/>
      <c r="Z66" t="s">
        <v>53</v>
      </c>
    </row>
    <row r="67" spans="1:26" x14ac:dyDescent="0.25">
      <c r="A67" t="s">
        <v>54</v>
      </c>
      <c r="B67" t="s">
        <v>48</v>
      </c>
      <c r="C67" t="s">
        <v>213</v>
      </c>
      <c r="D67" t="s">
        <v>18</v>
      </c>
      <c r="E67" t="s">
        <v>13</v>
      </c>
      <c r="G67" t="s">
        <v>209</v>
      </c>
      <c r="H67" t="s">
        <v>248</v>
      </c>
      <c r="J67" t="s">
        <v>254</v>
      </c>
      <c r="K67" t="s">
        <v>243</v>
      </c>
      <c r="L67" t="str">
        <f t="shared" si="7"/>
        <v>Stress</v>
      </c>
      <c r="M67" t="s">
        <v>193</v>
      </c>
      <c r="N67" t="s">
        <v>249</v>
      </c>
      <c r="Q67" t="s">
        <v>197</v>
      </c>
      <c r="R67" t="s">
        <v>24</v>
      </c>
      <c r="S67" t="s">
        <v>32</v>
      </c>
      <c r="T67" t="s">
        <v>215</v>
      </c>
      <c r="V67" s="1">
        <f>[11]Gambetta_etal_2012_Fig4!B8</f>
        <v>5.0107526881720398E-8</v>
      </c>
      <c r="Y67"/>
      <c r="Z67" t="s">
        <v>53</v>
      </c>
    </row>
    <row r="68" spans="1:26" x14ac:dyDescent="0.25">
      <c r="A68" t="s">
        <v>54</v>
      </c>
      <c r="B68" t="s">
        <v>48</v>
      </c>
      <c r="C68" t="s">
        <v>213</v>
      </c>
      <c r="D68" t="s">
        <v>18</v>
      </c>
      <c r="E68" t="s">
        <v>13</v>
      </c>
      <c r="G68" t="s">
        <v>209</v>
      </c>
      <c r="H68" t="s">
        <v>248</v>
      </c>
      <c r="J68" t="s">
        <v>254</v>
      </c>
      <c r="K68" t="s">
        <v>243</v>
      </c>
      <c r="L68" t="str">
        <f t="shared" si="7"/>
        <v>Stress</v>
      </c>
      <c r="M68" t="s">
        <v>186</v>
      </c>
      <c r="N68" t="s">
        <v>249</v>
      </c>
      <c r="Q68" t="s">
        <v>197</v>
      </c>
      <c r="R68" t="s">
        <v>24</v>
      </c>
      <c r="S68" t="s">
        <v>32</v>
      </c>
      <c r="T68" t="s">
        <v>215</v>
      </c>
      <c r="V68" s="1">
        <f>[11]Gambetta_etal_2012_Fig4!B9</f>
        <v>5.8863287250384003E-8</v>
      </c>
      <c r="Y68"/>
      <c r="Z68" t="s">
        <v>53</v>
      </c>
    </row>
    <row r="69" spans="1:26" x14ac:dyDescent="0.25">
      <c r="A69" t="s">
        <v>55</v>
      </c>
      <c r="B69" t="s">
        <v>10</v>
      </c>
      <c r="C69" t="s">
        <v>11</v>
      </c>
      <c r="D69" t="s">
        <v>12</v>
      </c>
      <c r="E69" t="s">
        <v>13</v>
      </c>
      <c r="F69" t="s">
        <v>14</v>
      </c>
      <c r="G69" t="s">
        <v>14</v>
      </c>
      <c r="H69" t="s">
        <v>247</v>
      </c>
      <c r="I69">
        <f>+AVERAGE(14,17)</f>
        <v>15.5</v>
      </c>
      <c r="J69" t="s">
        <v>51</v>
      </c>
      <c r="K69" t="s">
        <v>17</v>
      </c>
      <c r="L69" t="str">
        <f t="shared" si="7"/>
        <v>Control</v>
      </c>
      <c r="Q69" t="s">
        <v>197</v>
      </c>
      <c r="R69" t="s">
        <v>26</v>
      </c>
      <c r="S69" t="s">
        <v>32</v>
      </c>
      <c r="T69" t="s">
        <v>215</v>
      </c>
      <c r="V69" s="1">
        <v>1.05E-7</v>
      </c>
      <c r="X69">
        <f>+AVERAGE(6,11)</f>
        <v>8.5</v>
      </c>
      <c r="Y69"/>
      <c r="Z69" t="s">
        <v>42</v>
      </c>
    </row>
    <row r="70" spans="1:26" x14ac:dyDescent="0.25">
      <c r="A70" t="s">
        <v>55</v>
      </c>
      <c r="B70" t="s">
        <v>10</v>
      </c>
      <c r="C70" t="s">
        <v>11</v>
      </c>
      <c r="D70" t="s">
        <v>12</v>
      </c>
      <c r="E70" t="s">
        <v>13</v>
      </c>
      <c r="F70" t="s">
        <v>14</v>
      </c>
      <c r="G70" t="s">
        <v>14</v>
      </c>
      <c r="H70" t="s">
        <v>247</v>
      </c>
      <c r="I70">
        <f>+AVERAGE(14,17)-AVERAGE(11,13)</f>
        <v>3.5</v>
      </c>
      <c r="J70" t="s">
        <v>51</v>
      </c>
      <c r="K70" t="s">
        <v>17</v>
      </c>
      <c r="L70" t="str">
        <f t="shared" si="7"/>
        <v>Control</v>
      </c>
      <c r="Q70" t="s">
        <v>197</v>
      </c>
      <c r="R70" t="s">
        <v>45</v>
      </c>
      <c r="S70" t="s">
        <v>32</v>
      </c>
      <c r="T70" t="s">
        <v>215</v>
      </c>
      <c r="V70" s="1">
        <v>4.4000000000000004E-8</v>
      </c>
      <c r="X70">
        <f>+AVERAGE(4,6)</f>
        <v>5</v>
      </c>
      <c r="Y70"/>
      <c r="Z70" t="s">
        <v>42</v>
      </c>
    </row>
    <row r="71" spans="1:26" x14ac:dyDescent="0.25">
      <c r="A71" t="s">
        <v>55</v>
      </c>
      <c r="B71" t="s">
        <v>10</v>
      </c>
      <c r="C71" t="s">
        <v>11</v>
      </c>
      <c r="D71" t="s">
        <v>12</v>
      </c>
      <c r="E71" t="s">
        <v>13</v>
      </c>
      <c r="F71" t="s">
        <v>14</v>
      </c>
      <c r="G71" t="s">
        <v>14</v>
      </c>
      <c r="H71" t="s">
        <v>247</v>
      </c>
      <c r="I71">
        <f t="shared" ref="I71" si="9">+AVERAGE(14,17)</f>
        <v>15.5</v>
      </c>
      <c r="J71" t="s">
        <v>51</v>
      </c>
      <c r="K71" t="s">
        <v>243</v>
      </c>
      <c r="L71" t="str">
        <f t="shared" si="7"/>
        <v>Stress</v>
      </c>
      <c r="Q71" t="s">
        <v>197</v>
      </c>
      <c r="R71" t="s">
        <v>26</v>
      </c>
      <c r="S71" t="s">
        <v>32</v>
      </c>
      <c r="T71" t="s">
        <v>215</v>
      </c>
      <c r="V71" s="1">
        <f>47.5/100*V69</f>
        <v>4.9874999999999995E-8</v>
      </c>
      <c r="X71">
        <f t="shared" ref="X71" si="10">+AVERAGE(6,11)</f>
        <v>8.5</v>
      </c>
      <c r="Y71"/>
      <c r="Z71" t="s">
        <v>42</v>
      </c>
    </row>
    <row r="72" spans="1:26" x14ac:dyDescent="0.25">
      <c r="A72" t="s">
        <v>55</v>
      </c>
      <c r="B72" t="s">
        <v>10</v>
      </c>
      <c r="C72" t="s">
        <v>11</v>
      </c>
      <c r="D72" t="s">
        <v>12</v>
      </c>
      <c r="E72" t="s">
        <v>13</v>
      </c>
      <c r="F72" t="s">
        <v>14</v>
      </c>
      <c r="G72" t="s">
        <v>14</v>
      </c>
      <c r="H72" t="s">
        <v>247</v>
      </c>
      <c r="I72">
        <f t="shared" ref="I72" si="11">+AVERAGE(14,17)-AVERAGE(11,13)</f>
        <v>3.5</v>
      </c>
      <c r="J72" t="s">
        <v>51</v>
      </c>
      <c r="K72" t="s">
        <v>243</v>
      </c>
      <c r="L72" t="str">
        <f t="shared" si="7"/>
        <v>Stress</v>
      </c>
      <c r="Q72" t="s">
        <v>197</v>
      </c>
      <c r="R72" t="s">
        <v>45</v>
      </c>
      <c r="S72" t="s">
        <v>32</v>
      </c>
      <c r="T72" t="s">
        <v>215</v>
      </c>
      <c r="V72" s="1">
        <f>26.2/100*V70</f>
        <v>1.1528000000000001E-8</v>
      </c>
      <c r="X72">
        <f t="shared" ref="X72" si="12">+AVERAGE(4,6)</f>
        <v>5</v>
      </c>
      <c r="Y72"/>
      <c r="Z72" t="s">
        <v>42</v>
      </c>
    </row>
    <row r="73" spans="1:26" x14ac:dyDescent="0.25">
      <c r="A73" t="s">
        <v>176</v>
      </c>
      <c r="B73" t="s">
        <v>10</v>
      </c>
      <c r="C73" t="s">
        <v>11</v>
      </c>
      <c r="D73" t="s">
        <v>12</v>
      </c>
      <c r="E73" t="s">
        <v>13</v>
      </c>
      <c r="F73" t="s">
        <v>14</v>
      </c>
      <c r="G73" t="s">
        <v>14</v>
      </c>
      <c r="H73" t="s">
        <v>247</v>
      </c>
      <c r="I73">
        <f>+AVERAGE(14,17)</f>
        <v>15.5</v>
      </c>
      <c r="Q73" t="s">
        <v>197</v>
      </c>
      <c r="R73" t="s">
        <v>26</v>
      </c>
      <c r="S73" t="s">
        <v>32</v>
      </c>
      <c r="T73" t="s">
        <v>215</v>
      </c>
      <c r="V73" s="1">
        <v>1.3E-7</v>
      </c>
      <c r="W73">
        <v>5.19</v>
      </c>
      <c r="X73" s="1"/>
      <c r="Y73">
        <v>0.51</v>
      </c>
      <c r="Z73" t="s">
        <v>22</v>
      </c>
    </row>
    <row r="74" spans="1:26" x14ac:dyDescent="0.25">
      <c r="A74" t="s">
        <v>176</v>
      </c>
      <c r="B74" t="s">
        <v>10</v>
      </c>
      <c r="C74" t="s">
        <v>11</v>
      </c>
      <c r="D74" t="s">
        <v>12</v>
      </c>
      <c r="E74" t="s">
        <v>13</v>
      </c>
      <c r="F74" t="s">
        <v>14</v>
      </c>
      <c r="G74" t="s">
        <v>14</v>
      </c>
      <c r="H74" t="s">
        <v>247</v>
      </c>
      <c r="I74">
        <f t="shared" ref="I74:I88" si="13">+AVERAGE(14,17)</f>
        <v>15.5</v>
      </c>
      <c r="Q74" t="s">
        <v>197</v>
      </c>
      <c r="R74" t="s">
        <v>45</v>
      </c>
      <c r="S74" t="s">
        <v>32</v>
      </c>
      <c r="T74" t="s">
        <v>215</v>
      </c>
      <c r="V74" s="1">
        <v>9.9999999999999995E-8</v>
      </c>
      <c r="W74">
        <v>1.53</v>
      </c>
      <c r="X74" s="1"/>
      <c r="Y74">
        <v>0.97</v>
      </c>
      <c r="Z74" t="s">
        <v>22</v>
      </c>
    </row>
    <row r="75" spans="1:26" x14ac:dyDescent="0.25">
      <c r="A75" t="s">
        <v>176</v>
      </c>
      <c r="B75" t="s">
        <v>10</v>
      </c>
      <c r="C75" t="s">
        <v>11</v>
      </c>
      <c r="D75" t="s">
        <v>12</v>
      </c>
      <c r="E75" t="s">
        <v>13</v>
      </c>
      <c r="F75" t="s">
        <v>14</v>
      </c>
      <c r="G75" t="s">
        <v>14</v>
      </c>
      <c r="H75" t="s">
        <v>247</v>
      </c>
      <c r="I75">
        <f t="shared" si="13"/>
        <v>15.5</v>
      </c>
      <c r="Q75" t="s">
        <v>197</v>
      </c>
      <c r="R75" t="s">
        <v>26</v>
      </c>
      <c r="S75" t="s">
        <v>32</v>
      </c>
      <c r="T75" t="s">
        <v>215</v>
      </c>
      <c r="V75" s="1">
        <v>1.9999999999999999E-7</v>
      </c>
      <c r="W75">
        <v>5.19</v>
      </c>
      <c r="X75" s="1"/>
      <c r="Y75">
        <v>0.51</v>
      </c>
      <c r="Z75" t="s">
        <v>86</v>
      </c>
    </row>
    <row r="76" spans="1:26" x14ac:dyDescent="0.25">
      <c r="A76" t="s">
        <v>176</v>
      </c>
      <c r="B76" t="s">
        <v>10</v>
      </c>
      <c r="C76" t="s">
        <v>11</v>
      </c>
      <c r="D76" t="s">
        <v>12</v>
      </c>
      <c r="E76" t="s">
        <v>13</v>
      </c>
      <c r="F76" t="s">
        <v>14</v>
      </c>
      <c r="G76" t="s">
        <v>14</v>
      </c>
      <c r="H76" t="s">
        <v>247</v>
      </c>
      <c r="I76">
        <f t="shared" si="13"/>
        <v>15.5</v>
      </c>
      <c r="Q76" t="s">
        <v>197</v>
      </c>
      <c r="R76" t="s">
        <v>26</v>
      </c>
      <c r="S76" t="s">
        <v>32</v>
      </c>
      <c r="T76" t="s">
        <v>216</v>
      </c>
      <c r="V76" s="1">
        <v>5.4E-8</v>
      </c>
      <c r="W76">
        <v>5.19</v>
      </c>
      <c r="X76" s="1"/>
      <c r="Y76">
        <v>0.51</v>
      </c>
      <c r="Z76" t="s">
        <v>22</v>
      </c>
    </row>
    <row r="77" spans="1:26" x14ac:dyDescent="0.25">
      <c r="A77" t="s">
        <v>176</v>
      </c>
      <c r="B77" t="s">
        <v>10</v>
      </c>
      <c r="C77" t="s">
        <v>11</v>
      </c>
      <c r="D77" t="s">
        <v>12</v>
      </c>
      <c r="E77" t="s">
        <v>13</v>
      </c>
      <c r="F77" t="s">
        <v>14</v>
      </c>
      <c r="G77" t="s">
        <v>14</v>
      </c>
      <c r="H77" t="s">
        <v>247</v>
      </c>
      <c r="I77">
        <f t="shared" si="13"/>
        <v>15.5</v>
      </c>
      <c r="Q77" t="s">
        <v>197</v>
      </c>
      <c r="R77" t="s">
        <v>45</v>
      </c>
      <c r="S77" t="s">
        <v>32</v>
      </c>
      <c r="T77" t="s">
        <v>216</v>
      </c>
      <c r="V77" s="1">
        <v>6.2999999999999995E-8</v>
      </c>
      <c r="W77">
        <v>1.53</v>
      </c>
      <c r="X77" s="1"/>
      <c r="Y77">
        <v>0.97</v>
      </c>
      <c r="Z77" t="s">
        <v>22</v>
      </c>
    </row>
    <row r="78" spans="1:26" x14ac:dyDescent="0.25">
      <c r="A78" t="s">
        <v>176</v>
      </c>
      <c r="B78" t="s">
        <v>10</v>
      </c>
      <c r="C78" t="s">
        <v>11</v>
      </c>
      <c r="D78" t="s">
        <v>12</v>
      </c>
      <c r="E78" t="s">
        <v>13</v>
      </c>
      <c r="F78" t="s">
        <v>14</v>
      </c>
      <c r="G78" t="s">
        <v>14</v>
      </c>
      <c r="H78" t="s">
        <v>247</v>
      </c>
      <c r="I78">
        <f t="shared" si="13"/>
        <v>15.5</v>
      </c>
      <c r="Q78" t="s">
        <v>197</v>
      </c>
      <c r="R78" t="s">
        <v>26</v>
      </c>
      <c r="S78" t="s">
        <v>32</v>
      </c>
      <c r="T78" t="s">
        <v>216</v>
      </c>
      <c r="V78" s="1">
        <v>2.4999999999999999E-7</v>
      </c>
      <c r="W78">
        <v>5.19</v>
      </c>
      <c r="X78" s="1"/>
      <c r="Y78">
        <v>0.51</v>
      </c>
      <c r="Z78" t="s">
        <v>86</v>
      </c>
    </row>
    <row r="79" spans="1:26" x14ac:dyDescent="0.25">
      <c r="A79" t="s">
        <v>176</v>
      </c>
      <c r="B79" t="s">
        <v>10</v>
      </c>
      <c r="C79" t="s">
        <v>11</v>
      </c>
      <c r="D79" t="s">
        <v>12</v>
      </c>
      <c r="E79" t="s">
        <v>13</v>
      </c>
      <c r="F79" t="s">
        <v>14</v>
      </c>
      <c r="G79" t="s">
        <v>14</v>
      </c>
      <c r="H79" t="s">
        <v>247</v>
      </c>
      <c r="I79">
        <f t="shared" si="13"/>
        <v>15.5</v>
      </c>
      <c r="Q79" t="s">
        <v>197</v>
      </c>
      <c r="R79" t="s">
        <v>26</v>
      </c>
      <c r="S79" t="s">
        <v>32</v>
      </c>
      <c r="T79" t="s">
        <v>216</v>
      </c>
      <c r="V79" s="1">
        <v>1.1999999999999999E-7</v>
      </c>
      <c r="W79">
        <v>5.19</v>
      </c>
      <c r="X79" s="1"/>
      <c r="Y79">
        <v>0.51</v>
      </c>
      <c r="Z79" t="s">
        <v>42</v>
      </c>
    </row>
    <row r="80" spans="1:26" x14ac:dyDescent="0.25">
      <c r="A80" t="s">
        <v>176</v>
      </c>
      <c r="B80" t="s">
        <v>10</v>
      </c>
      <c r="C80" t="s">
        <v>11</v>
      </c>
      <c r="D80" t="s">
        <v>12</v>
      </c>
      <c r="E80" t="s">
        <v>13</v>
      </c>
      <c r="F80" t="s">
        <v>14</v>
      </c>
      <c r="G80" t="s">
        <v>14</v>
      </c>
      <c r="H80" t="s">
        <v>247</v>
      </c>
      <c r="I80">
        <f t="shared" si="13"/>
        <v>15.5</v>
      </c>
      <c r="Q80" t="s">
        <v>197</v>
      </c>
      <c r="R80" t="s">
        <v>45</v>
      </c>
      <c r="S80" t="s">
        <v>32</v>
      </c>
      <c r="T80" t="s">
        <v>216</v>
      </c>
      <c r="V80" s="1">
        <v>5.1E-8</v>
      </c>
      <c r="W80">
        <v>1.53</v>
      </c>
      <c r="X80" s="1"/>
      <c r="Y80">
        <v>0.97</v>
      </c>
      <c r="Z80" t="s">
        <v>42</v>
      </c>
    </row>
    <row r="81" spans="1:26" x14ac:dyDescent="0.25">
      <c r="A81" t="s">
        <v>176</v>
      </c>
      <c r="B81" t="s">
        <v>10</v>
      </c>
      <c r="C81" t="s">
        <v>11</v>
      </c>
      <c r="D81" t="s">
        <v>12</v>
      </c>
      <c r="E81" t="s">
        <v>13</v>
      </c>
      <c r="F81" t="s">
        <v>14</v>
      </c>
      <c r="G81" t="s">
        <v>14</v>
      </c>
      <c r="H81" t="s">
        <v>247</v>
      </c>
      <c r="I81">
        <f t="shared" si="13"/>
        <v>15.5</v>
      </c>
      <c r="Q81" t="s">
        <v>197</v>
      </c>
      <c r="R81" t="s">
        <v>26</v>
      </c>
      <c r="S81" t="s">
        <v>32</v>
      </c>
      <c r="T81" t="s">
        <v>215</v>
      </c>
      <c r="V81" s="1">
        <v>1.3199999999999999E-7</v>
      </c>
      <c r="W81">
        <v>5.19</v>
      </c>
      <c r="X81" s="1"/>
      <c r="Y81">
        <v>0.51</v>
      </c>
      <c r="Z81" t="s">
        <v>74</v>
      </c>
    </row>
    <row r="82" spans="1:26" x14ac:dyDescent="0.25">
      <c r="A82" t="s">
        <v>176</v>
      </c>
      <c r="B82" t="s">
        <v>10</v>
      </c>
      <c r="C82" t="s">
        <v>11</v>
      </c>
      <c r="D82" t="s">
        <v>12</v>
      </c>
      <c r="E82" t="s">
        <v>13</v>
      </c>
      <c r="F82" t="s">
        <v>14</v>
      </c>
      <c r="G82" t="s">
        <v>14</v>
      </c>
      <c r="H82" t="s">
        <v>247</v>
      </c>
      <c r="I82">
        <f t="shared" si="13"/>
        <v>15.5</v>
      </c>
      <c r="Q82" t="s">
        <v>197</v>
      </c>
      <c r="R82" t="s">
        <v>45</v>
      </c>
      <c r="S82" t="s">
        <v>32</v>
      </c>
      <c r="T82" t="s">
        <v>215</v>
      </c>
      <c r="V82" s="6">
        <v>1.6E-7</v>
      </c>
      <c r="W82">
        <v>1.53</v>
      </c>
      <c r="X82" s="1"/>
      <c r="Y82">
        <v>0.97</v>
      </c>
      <c r="Z82" t="s">
        <v>74</v>
      </c>
    </row>
    <row r="83" spans="1:26" x14ac:dyDescent="0.25">
      <c r="A83" t="s">
        <v>176</v>
      </c>
      <c r="B83" t="s">
        <v>10</v>
      </c>
      <c r="C83" t="s">
        <v>11</v>
      </c>
      <c r="D83" t="s">
        <v>12</v>
      </c>
      <c r="E83" t="s">
        <v>13</v>
      </c>
      <c r="F83" t="s">
        <v>14</v>
      </c>
      <c r="G83" t="s">
        <v>14</v>
      </c>
      <c r="H83" t="s">
        <v>247</v>
      </c>
      <c r="I83">
        <f t="shared" si="13"/>
        <v>15.5</v>
      </c>
      <c r="Q83" t="s">
        <v>197</v>
      </c>
      <c r="R83" t="s">
        <v>26</v>
      </c>
      <c r="S83" t="s">
        <v>32</v>
      </c>
      <c r="T83" t="s">
        <v>215</v>
      </c>
      <c r="V83" s="6">
        <v>1.9999999999999999E-7</v>
      </c>
      <c r="W83">
        <v>5.19</v>
      </c>
      <c r="X83" s="1"/>
      <c r="Y83">
        <v>0.51</v>
      </c>
      <c r="Z83" t="s">
        <v>74</v>
      </c>
    </row>
    <row r="84" spans="1:26" x14ac:dyDescent="0.25">
      <c r="A84" t="s">
        <v>176</v>
      </c>
      <c r="B84" t="s">
        <v>10</v>
      </c>
      <c r="C84" t="s">
        <v>11</v>
      </c>
      <c r="D84" t="s">
        <v>12</v>
      </c>
      <c r="E84" t="s">
        <v>13</v>
      </c>
      <c r="F84" t="s">
        <v>14</v>
      </c>
      <c r="G84" t="s">
        <v>14</v>
      </c>
      <c r="H84" t="s">
        <v>247</v>
      </c>
      <c r="I84">
        <f t="shared" si="13"/>
        <v>15.5</v>
      </c>
      <c r="Q84" t="s">
        <v>197</v>
      </c>
      <c r="R84" t="s">
        <v>26</v>
      </c>
      <c r="S84" t="s">
        <v>32</v>
      </c>
      <c r="T84" t="s">
        <v>216</v>
      </c>
      <c r="V84" s="6">
        <v>5.4000000000000007E-8</v>
      </c>
      <c r="W84">
        <v>5.19</v>
      </c>
      <c r="X84" s="1"/>
      <c r="Y84">
        <v>0.51</v>
      </c>
      <c r="Z84" t="s">
        <v>74</v>
      </c>
    </row>
    <row r="85" spans="1:26" x14ac:dyDescent="0.25">
      <c r="A85" t="s">
        <v>176</v>
      </c>
      <c r="B85" t="s">
        <v>10</v>
      </c>
      <c r="C85" t="s">
        <v>11</v>
      </c>
      <c r="D85" t="s">
        <v>12</v>
      </c>
      <c r="E85" t="s">
        <v>13</v>
      </c>
      <c r="F85" t="s">
        <v>14</v>
      </c>
      <c r="G85" t="s">
        <v>14</v>
      </c>
      <c r="H85" t="s">
        <v>247</v>
      </c>
      <c r="I85">
        <f t="shared" si="13"/>
        <v>15.5</v>
      </c>
      <c r="Q85" t="s">
        <v>197</v>
      </c>
      <c r="R85" t="s">
        <v>45</v>
      </c>
      <c r="S85" t="s">
        <v>32</v>
      </c>
      <c r="T85" t="s">
        <v>216</v>
      </c>
      <c r="V85" s="6">
        <v>7.3000000000000005E-8</v>
      </c>
      <c r="W85">
        <v>1.53</v>
      </c>
      <c r="X85" s="1"/>
      <c r="Y85">
        <v>0.97</v>
      </c>
      <c r="Z85" t="s">
        <v>74</v>
      </c>
    </row>
    <row r="86" spans="1:26" x14ac:dyDescent="0.25">
      <c r="A86" t="s">
        <v>176</v>
      </c>
      <c r="B86" t="s">
        <v>10</v>
      </c>
      <c r="C86" t="s">
        <v>11</v>
      </c>
      <c r="D86" t="s">
        <v>12</v>
      </c>
      <c r="E86" t="s">
        <v>13</v>
      </c>
      <c r="F86" t="s">
        <v>14</v>
      </c>
      <c r="G86" t="s">
        <v>14</v>
      </c>
      <c r="H86" t="s">
        <v>247</v>
      </c>
      <c r="I86">
        <f t="shared" si="13"/>
        <v>15.5</v>
      </c>
      <c r="Q86" t="s">
        <v>197</v>
      </c>
      <c r="R86" t="s">
        <v>26</v>
      </c>
      <c r="S86" t="s">
        <v>32</v>
      </c>
      <c r="T86" t="s">
        <v>216</v>
      </c>
      <c r="V86" s="6">
        <v>2.53E-7</v>
      </c>
      <c r="W86">
        <v>5.19</v>
      </c>
      <c r="X86" s="1"/>
      <c r="Y86">
        <v>0.51</v>
      </c>
      <c r="Z86" t="s">
        <v>74</v>
      </c>
    </row>
    <row r="87" spans="1:26" x14ac:dyDescent="0.25">
      <c r="A87" t="s">
        <v>176</v>
      </c>
      <c r="B87" t="s">
        <v>10</v>
      </c>
      <c r="C87" t="s">
        <v>11</v>
      </c>
      <c r="D87" t="s">
        <v>12</v>
      </c>
      <c r="E87" t="s">
        <v>13</v>
      </c>
      <c r="F87" t="s">
        <v>14</v>
      </c>
      <c r="G87" t="s">
        <v>14</v>
      </c>
      <c r="H87" t="s">
        <v>247</v>
      </c>
      <c r="I87">
        <f t="shared" si="13"/>
        <v>15.5</v>
      </c>
      <c r="Q87" t="s">
        <v>197</v>
      </c>
      <c r="R87" t="s">
        <v>26</v>
      </c>
      <c r="S87" t="s">
        <v>32</v>
      </c>
      <c r="T87" t="s">
        <v>216</v>
      </c>
      <c r="V87" s="6">
        <v>1.1800000000000001E-7</v>
      </c>
      <c r="W87">
        <v>5.19</v>
      </c>
      <c r="X87" s="1"/>
      <c r="Y87">
        <v>0.51</v>
      </c>
      <c r="Z87" t="s">
        <v>74</v>
      </c>
    </row>
    <row r="88" spans="1:26" x14ac:dyDescent="0.25">
      <c r="A88" t="s">
        <v>176</v>
      </c>
      <c r="B88" t="s">
        <v>10</v>
      </c>
      <c r="C88" t="s">
        <v>11</v>
      </c>
      <c r="D88" t="s">
        <v>12</v>
      </c>
      <c r="E88" t="s">
        <v>13</v>
      </c>
      <c r="F88" t="s">
        <v>14</v>
      </c>
      <c r="G88" t="s">
        <v>14</v>
      </c>
      <c r="H88" t="s">
        <v>247</v>
      </c>
      <c r="I88">
        <f t="shared" si="13"/>
        <v>15.5</v>
      </c>
      <c r="Q88" t="s">
        <v>197</v>
      </c>
      <c r="R88" t="s">
        <v>45</v>
      </c>
      <c r="S88" t="s">
        <v>32</v>
      </c>
      <c r="T88" t="s">
        <v>216</v>
      </c>
      <c r="V88" s="6">
        <v>5.4000000000000007E-8</v>
      </c>
      <c r="W88">
        <v>1.53</v>
      </c>
      <c r="X88" s="1"/>
      <c r="Y88">
        <v>0.97</v>
      </c>
      <c r="Z88" t="s">
        <v>74</v>
      </c>
    </row>
    <row r="89" spans="1:26" x14ac:dyDescent="0.25">
      <c r="A89" t="s">
        <v>56</v>
      </c>
      <c r="B89" t="s">
        <v>58</v>
      </c>
      <c r="C89" t="s">
        <v>59</v>
      </c>
      <c r="D89" t="s">
        <v>60</v>
      </c>
      <c r="E89" t="s">
        <v>13</v>
      </c>
      <c r="F89" t="s">
        <v>61</v>
      </c>
      <c r="G89" t="s">
        <v>219</v>
      </c>
      <c r="H89" t="s">
        <v>246</v>
      </c>
      <c r="J89" t="s">
        <v>231</v>
      </c>
      <c r="K89" t="s">
        <v>17</v>
      </c>
      <c r="L89" t="str">
        <f t="shared" ref="L89:L98" si="14">+IF(K89="Control","Control","Stress")</f>
        <v>Control</v>
      </c>
      <c r="M89" t="s">
        <v>232</v>
      </c>
      <c r="N89" t="s">
        <v>249</v>
      </c>
      <c r="Q89" t="s">
        <v>197</v>
      </c>
      <c r="R89" t="s">
        <v>57</v>
      </c>
      <c r="S89" t="s">
        <v>27</v>
      </c>
      <c r="T89" t="s">
        <v>215</v>
      </c>
      <c r="V89" s="6">
        <f>'[12]Almeida-Rodriguez_etal_2011_Fig'!B2</f>
        <v>2.0531249999999899E-5</v>
      </c>
      <c r="Y89"/>
      <c r="Z89" t="s">
        <v>52</v>
      </c>
    </row>
    <row r="90" spans="1:26" x14ac:dyDescent="0.25">
      <c r="A90" t="s">
        <v>56</v>
      </c>
      <c r="B90" t="s">
        <v>58</v>
      </c>
      <c r="C90" t="s">
        <v>59</v>
      </c>
      <c r="D90" t="s">
        <v>60</v>
      </c>
      <c r="E90" t="s">
        <v>13</v>
      </c>
      <c r="F90" t="s">
        <v>61</v>
      </c>
      <c r="G90" t="s">
        <v>219</v>
      </c>
      <c r="H90" t="s">
        <v>246</v>
      </c>
      <c r="J90" t="s">
        <v>231</v>
      </c>
      <c r="K90" t="s">
        <v>243</v>
      </c>
      <c r="L90" t="str">
        <f t="shared" si="14"/>
        <v>Stress</v>
      </c>
      <c r="M90" t="s">
        <v>232</v>
      </c>
      <c r="N90" t="s">
        <v>249</v>
      </c>
      <c r="Q90" t="s">
        <v>197</v>
      </c>
      <c r="R90" t="s">
        <v>57</v>
      </c>
      <c r="S90" t="s">
        <v>27</v>
      </c>
      <c r="T90" t="s">
        <v>215</v>
      </c>
      <c r="V90" s="6">
        <f>'[12]Almeida-Rodriguez_etal_2011_Fig'!B3</f>
        <v>1.05937499999999E-5</v>
      </c>
      <c r="Y90"/>
      <c r="Z90" t="s">
        <v>52</v>
      </c>
    </row>
    <row r="91" spans="1:26" x14ac:dyDescent="0.25">
      <c r="A91" t="s">
        <v>56</v>
      </c>
      <c r="B91" t="s">
        <v>58</v>
      </c>
      <c r="C91" t="s">
        <v>59</v>
      </c>
      <c r="D91" t="s">
        <v>60</v>
      </c>
      <c r="E91" t="s">
        <v>13</v>
      </c>
      <c r="F91" t="s">
        <v>61</v>
      </c>
      <c r="G91" t="s">
        <v>219</v>
      </c>
      <c r="H91" t="s">
        <v>246</v>
      </c>
      <c r="J91" t="s">
        <v>231</v>
      </c>
      <c r="K91" t="s">
        <v>17</v>
      </c>
      <c r="L91" t="str">
        <f t="shared" si="14"/>
        <v>Control</v>
      </c>
      <c r="M91" t="s">
        <v>233</v>
      </c>
      <c r="N91" t="s">
        <v>249</v>
      </c>
      <c r="Q91" t="s">
        <v>197</v>
      </c>
      <c r="R91" t="s">
        <v>57</v>
      </c>
      <c r="S91" t="s">
        <v>27</v>
      </c>
      <c r="T91" t="s">
        <v>215</v>
      </c>
      <c r="V91" s="6">
        <f>'[12]Almeida-Rodriguez_etal_2011_Fig'!B5</f>
        <v>1.8562500000000001E-5</v>
      </c>
      <c r="Y91"/>
      <c r="Z91" t="s">
        <v>52</v>
      </c>
    </row>
    <row r="92" spans="1:26" x14ac:dyDescent="0.25">
      <c r="A92" t="s">
        <v>56</v>
      </c>
      <c r="B92" t="s">
        <v>58</v>
      </c>
      <c r="C92" t="s">
        <v>59</v>
      </c>
      <c r="D92" t="s">
        <v>60</v>
      </c>
      <c r="E92" t="s">
        <v>13</v>
      </c>
      <c r="F92" t="s">
        <v>61</v>
      </c>
      <c r="G92" t="s">
        <v>219</v>
      </c>
      <c r="H92" t="s">
        <v>246</v>
      </c>
      <c r="J92" t="s">
        <v>231</v>
      </c>
      <c r="K92" t="s">
        <v>243</v>
      </c>
      <c r="L92" t="str">
        <f t="shared" si="14"/>
        <v>Stress</v>
      </c>
      <c r="M92" t="s">
        <v>233</v>
      </c>
      <c r="N92" t="s">
        <v>249</v>
      </c>
      <c r="Q92" t="s">
        <v>197</v>
      </c>
      <c r="R92" t="s">
        <v>57</v>
      </c>
      <c r="S92" t="s">
        <v>27</v>
      </c>
      <c r="T92" t="s">
        <v>215</v>
      </c>
      <c r="V92" s="6">
        <f>'[12]Almeida-Rodriguez_etal_2011_Fig'!B6</f>
        <v>8.1562499999999696E-6</v>
      </c>
      <c r="Y92"/>
      <c r="Z92" t="s">
        <v>52</v>
      </c>
    </row>
    <row r="93" spans="1:26" x14ac:dyDescent="0.25">
      <c r="A93" t="s">
        <v>56</v>
      </c>
      <c r="B93" t="s">
        <v>58</v>
      </c>
      <c r="C93" t="s">
        <v>59</v>
      </c>
      <c r="D93" t="s">
        <v>60</v>
      </c>
      <c r="E93" t="s">
        <v>13</v>
      </c>
      <c r="F93" t="s">
        <v>61</v>
      </c>
      <c r="G93" t="s">
        <v>219</v>
      </c>
      <c r="H93" t="s">
        <v>246</v>
      </c>
      <c r="J93" t="s">
        <v>231</v>
      </c>
      <c r="K93" t="s">
        <v>17</v>
      </c>
      <c r="L93" t="str">
        <f t="shared" si="14"/>
        <v>Control</v>
      </c>
      <c r="M93" t="s">
        <v>234</v>
      </c>
      <c r="N93" t="s">
        <v>249</v>
      </c>
      <c r="Q93" t="s">
        <v>197</v>
      </c>
      <c r="R93" t="s">
        <v>57</v>
      </c>
      <c r="S93" t="s">
        <v>27</v>
      </c>
      <c r="T93" t="s">
        <v>215</v>
      </c>
      <c r="V93" s="6">
        <f>'[12]Almeida-Rodriguez_etal_2011_Fig'!B8</f>
        <v>2.1749999999999898E-5</v>
      </c>
      <c r="Y93"/>
      <c r="Z93" t="s">
        <v>52</v>
      </c>
    </row>
    <row r="94" spans="1:26" x14ac:dyDescent="0.25">
      <c r="A94" t="s">
        <v>56</v>
      </c>
      <c r="B94" t="s">
        <v>58</v>
      </c>
      <c r="C94" t="s">
        <v>59</v>
      </c>
      <c r="D94" t="s">
        <v>60</v>
      </c>
      <c r="E94" t="s">
        <v>13</v>
      </c>
      <c r="F94" t="s">
        <v>61</v>
      </c>
      <c r="G94" t="s">
        <v>219</v>
      </c>
      <c r="H94" t="s">
        <v>246</v>
      </c>
      <c r="J94" t="s">
        <v>231</v>
      </c>
      <c r="K94" t="s">
        <v>243</v>
      </c>
      <c r="L94" t="str">
        <f t="shared" si="14"/>
        <v>Stress</v>
      </c>
      <c r="M94" t="s">
        <v>234</v>
      </c>
      <c r="N94" t="s">
        <v>249</v>
      </c>
      <c r="Q94" t="s">
        <v>197</v>
      </c>
      <c r="R94" t="s">
        <v>57</v>
      </c>
      <c r="S94" t="s">
        <v>27</v>
      </c>
      <c r="T94" t="s">
        <v>215</v>
      </c>
      <c r="V94" s="6">
        <f>'[12]Almeida-Rodriguez_etal_2011_Fig'!B9</f>
        <v>1.1249999999999901E-5</v>
      </c>
      <c r="Y94"/>
      <c r="Z94" t="s">
        <v>52</v>
      </c>
    </row>
    <row r="95" spans="1:26" x14ac:dyDescent="0.25">
      <c r="A95" t="s">
        <v>56</v>
      </c>
      <c r="B95" t="s">
        <v>58</v>
      </c>
      <c r="C95" t="s">
        <v>59</v>
      </c>
      <c r="D95" t="s">
        <v>60</v>
      </c>
      <c r="E95" t="s">
        <v>13</v>
      </c>
      <c r="F95" t="s">
        <v>61</v>
      </c>
      <c r="G95" t="s">
        <v>219</v>
      </c>
      <c r="H95" t="s">
        <v>246</v>
      </c>
      <c r="J95" t="s">
        <v>231</v>
      </c>
      <c r="K95" t="s">
        <v>17</v>
      </c>
      <c r="L95" t="str">
        <f t="shared" si="14"/>
        <v>Control</v>
      </c>
      <c r="M95" t="s">
        <v>73</v>
      </c>
      <c r="N95" t="s">
        <v>249</v>
      </c>
      <c r="Q95" t="s">
        <v>197</v>
      </c>
      <c r="R95" t="s">
        <v>57</v>
      </c>
      <c r="S95" t="s">
        <v>27</v>
      </c>
      <c r="T95" t="s">
        <v>215</v>
      </c>
      <c r="V95" s="6">
        <f>'[13]Almeida-Rodriguez_etal_2011_Fig'!B2</f>
        <v>2.7619047619047599E-6</v>
      </c>
      <c r="Y95"/>
      <c r="Z95" t="s">
        <v>52</v>
      </c>
    </row>
    <row r="96" spans="1:26" x14ac:dyDescent="0.25">
      <c r="A96" t="s">
        <v>56</v>
      </c>
      <c r="B96" t="s">
        <v>58</v>
      </c>
      <c r="C96" t="s">
        <v>59</v>
      </c>
      <c r="D96" t="s">
        <v>60</v>
      </c>
      <c r="E96" t="s">
        <v>13</v>
      </c>
      <c r="F96" t="s">
        <v>61</v>
      </c>
      <c r="G96" t="s">
        <v>219</v>
      </c>
      <c r="H96" t="s">
        <v>246</v>
      </c>
      <c r="J96" t="s">
        <v>231</v>
      </c>
      <c r="K96" t="s">
        <v>243</v>
      </c>
      <c r="L96" t="str">
        <f t="shared" si="14"/>
        <v>Stress</v>
      </c>
      <c r="M96" t="s">
        <v>73</v>
      </c>
      <c r="N96" t="s">
        <v>249</v>
      </c>
      <c r="Q96" t="s">
        <v>197</v>
      </c>
      <c r="R96" t="s">
        <v>57</v>
      </c>
      <c r="S96" t="s">
        <v>27</v>
      </c>
      <c r="T96" t="s">
        <v>215</v>
      </c>
      <c r="V96" s="6">
        <f>'[13]Almeida-Rodriguez_etal_2011_Fig'!B3</f>
        <v>9.7619047619047594E-7</v>
      </c>
      <c r="Y96"/>
      <c r="Z96" t="s">
        <v>52</v>
      </c>
    </row>
    <row r="97" spans="1:26" x14ac:dyDescent="0.25">
      <c r="A97" t="s">
        <v>56</v>
      </c>
      <c r="B97" t="s">
        <v>58</v>
      </c>
      <c r="C97" t="s">
        <v>59</v>
      </c>
      <c r="D97" t="s">
        <v>60</v>
      </c>
      <c r="E97" t="s">
        <v>13</v>
      </c>
      <c r="F97" t="s">
        <v>61</v>
      </c>
      <c r="G97" t="s">
        <v>219</v>
      </c>
      <c r="H97" t="s">
        <v>246</v>
      </c>
      <c r="J97" t="s">
        <v>231</v>
      </c>
      <c r="K97" t="s">
        <v>17</v>
      </c>
      <c r="L97" t="str">
        <f t="shared" si="14"/>
        <v>Control</v>
      </c>
      <c r="M97" t="s">
        <v>235</v>
      </c>
      <c r="N97" t="s">
        <v>249</v>
      </c>
      <c r="Q97" t="s">
        <v>197</v>
      </c>
      <c r="R97" t="s">
        <v>57</v>
      </c>
      <c r="S97" t="s">
        <v>27</v>
      </c>
      <c r="T97" t="s">
        <v>215</v>
      </c>
      <c r="V97" s="6">
        <f>'[13]Almeida-Rodriguez_etal_2011_Fig'!B4</f>
        <v>9.0238095238095194E-6</v>
      </c>
      <c r="Y97"/>
      <c r="Z97" t="s">
        <v>52</v>
      </c>
    </row>
    <row r="98" spans="1:26" x14ac:dyDescent="0.25">
      <c r="A98" t="s">
        <v>56</v>
      </c>
      <c r="B98" t="s">
        <v>58</v>
      </c>
      <c r="C98" t="s">
        <v>59</v>
      </c>
      <c r="D98" t="s">
        <v>60</v>
      </c>
      <c r="E98" t="s">
        <v>13</v>
      </c>
      <c r="F98" t="s">
        <v>61</v>
      </c>
      <c r="G98" t="s">
        <v>219</v>
      </c>
      <c r="H98" t="s">
        <v>246</v>
      </c>
      <c r="J98" t="s">
        <v>231</v>
      </c>
      <c r="K98" t="s">
        <v>243</v>
      </c>
      <c r="L98" t="str">
        <f t="shared" si="14"/>
        <v>Stress</v>
      </c>
      <c r="M98" t="s">
        <v>235</v>
      </c>
      <c r="N98" t="s">
        <v>249</v>
      </c>
      <c r="Q98" t="s">
        <v>197</v>
      </c>
      <c r="R98" t="s">
        <v>57</v>
      </c>
      <c r="S98" t="s">
        <v>27</v>
      </c>
      <c r="T98" t="s">
        <v>215</v>
      </c>
      <c r="V98" s="6">
        <f>'[13]Almeida-Rodriguez_etal_2011_Fig'!B5</f>
        <v>2.5952380952380899E-6</v>
      </c>
      <c r="Y98"/>
      <c r="Z98" t="s">
        <v>52</v>
      </c>
    </row>
    <row r="99" spans="1:26" x14ac:dyDescent="0.25">
      <c r="A99" t="s">
        <v>75</v>
      </c>
      <c r="B99" t="s">
        <v>62</v>
      </c>
      <c r="C99" t="s">
        <v>63</v>
      </c>
      <c r="D99" t="s">
        <v>64</v>
      </c>
      <c r="E99" t="s">
        <v>13</v>
      </c>
      <c r="F99" s="4" t="s">
        <v>66</v>
      </c>
      <c r="G99" s="4" t="s">
        <v>65</v>
      </c>
      <c r="H99" s="4" t="s">
        <v>65</v>
      </c>
      <c r="J99" t="s">
        <v>275</v>
      </c>
      <c r="K99" t="s">
        <v>70</v>
      </c>
      <c r="L99" t="s">
        <v>249</v>
      </c>
      <c r="Q99" t="s">
        <v>197</v>
      </c>
      <c r="R99" t="s">
        <v>24</v>
      </c>
      <c r="S99" t="s">
        <v>71</v>
      </c>
      <c r="T99" t="s">
        <v>215</v>
      </c>
      <c r="V99" s="1">
        <f>[14]Pratt_etal_2010_Fig3ae!B2</f>
        <v>1.4178217821782101E-7</v>
      </c>
      <c r="Y99"/>
      <c r="Z99" t="s">
        <v>52</v>
      </c>
    </row>
    <row r="100" spans="1:26" x14ac:dyDescent="0.25">
      <c r="A100" t="s">
        <v>75</v>
      </c>
      <c r="B100" t="s">
        <v>67</v>
      </c>
      <c r="C100" t="s">
        <v>63</v>
      </c>
      <c r="D100" t="s">
        <v>64</v>
      </c>
      <c r="E100" t="s">
        <v>13</v>
      </c>
      <c r="F100" s="4" t="s">
        <v>66</v>
      </c>
      <c r="G100" s="4" t="s">
        <v>65</v>
      </c>
      <c r="H100" s="4" t="s">
        <v>65</v>
      </c>
      <c r="J100" t="s">
        <v>275</v>
      </c>
      <c r="K100" t="s">
        <v>70</v>
      </c>
      <c r="L100" t="s">
        <v>249</v>
      </c>
      <c r="Q100" t="s">
        <v>197</v>
      </c>
      <c r="R100" t="s">
        <v>24</v>
      </c>
      <c r="S100" t="s">
        <v>71</v>
      </c>
      <c r="T100" t="s">
        <v>215</v>
      </c>
      <c r="V100" s="1">
        <f>[14]Pratt_etal_2010_Fig3ae!B3</f>
        <v>3.8019801980197702E-8</v>
      </c>
      <c r="Y100"/>
      <c r="Z100" t="s">
        <v>52</v>
      </c>
    </row>
    <row r="101" spans="1:26" x14ac:dyDescent="0.25">
      <c r="A101" t="s">
        <v>75</v>
      </c>
      <c r="B101" t="s">
        <v>68</v>
      </c>
      <c r="C101" t="s">
        <v>69</v>
      </c>
      <c r="D101" t="s">
        <v>64</v>
      </c>
      <c r="E101" t="s">
        <v>13</v>
      </c>
      <c r="F101" s="4" t="s">
        <v>66</v>
      </c>
      <c r="G101" s="4" t="s">
        <v>65</v>
      </c>
      <c r="H101" s="4" t="s">
        <v>65</v>
      </c>
      <c r="J101" t="s">
        <v>275</v>
      </c>
      <c r="K101" t="s">
        <v>70</v>
      </c>
      <c r="L101" t="s">
        <v>249</v>
      </c>
      <c r="Q101" t="s">
        <v>197</v>
      </c>
      <c r="R101" t="s">
        <v>24</v>
      </c>
      <c r="S101" t="s">
        <v>71</v>
      </c>
      <c r="T101" t="s">
        <v>215</v>
      </c>
      <c r="V101" s="1">
        <f>[14]Pratt_etal_2010_Fig3ae!B4</f>
        <v>5.7029702970297099E-8</v>
      </c>
      <c r="Y101"/>
      <c r="Z101" t="s">
        <v>52</v>
      </c>
    </row>
    <row r="102" spans="1:26" x14ac:dyDescent="0.25">
      <c r="A102" t="s">
        <v>75</v>
      </c>
      <c r="B102" t="s">
        <v>62</v>
      </c>
      <c r="C102" t="s">
        <v>63</v>
      </c>
      <c r="D102" t="s">
        <v>64</v>
      </c>
      <c r="E102" t="s">
        <v>13</v>
      </c>
      <c r="F102" s="4" t="s">
        <v>66</v>
      </c>
      <c r="G102" s="4" t="s">
        <v>65</v>
      </c>
      <c r="H102" s="4" t="s">
        <v>65</v>
      </c>
      <c r="J102" t="s">
        <v>275</v>
      </c>
      <c r="K102" t="s">
        <v>70</v>
      </c>
      <c r="L102" t="s">
        <v>249</v>
      </c>
      <c r="Q102" t="s">
        <v>197</v>
      </c>
      <c r="R102" t="s">
        <v>24</v>
      </c>
      <c r="S102" t="s">
        <v>72</v>
      </c>
      <c r="T102" t="s">
        <v>215</v>
      </c>
      <c r="V102" s="1">
        <f>[14]Pratt_etal_2010_Fig3ae!B5</f>
        <v>2.3920792079207899E-7</v>
      </c>
      <c r="Y102"/>
      <c r="Z102" t="s">
        <v>52</v>
      </c>
    </row>
    <row r="103" spans="1:26" x14ac:dyDescent="0.25">
      <c r="A103" t="s">
        <v>75</v>
      </c>
      <c r="B103" t="s">
        <v>67</v>
      </c>
      <c r="C103" t="s">
        <v>63</v>
      </c>
      <c r="D103" t="s">
        <v>64</v>
      </c>
      <c r="E103" t="s">
        <v>13</v>
      </c>
      <c r="F103" s="4" t="s">
        <v>66</v>
      </c>
      <c r="G103" s="4" t="s">
        <v>65</v>
      </c>
      <c r="H103" s="4" t="s">
        <v>65</v>
      </c>
      <c r="J103" t="s">
        <v>275</v>
      </c>
      <c r="K103" t="s">
        <v>70</v>
      </c>
      <c r="L103" t="s">
        <v>249</v>
      </c>
      <c r="Q103" t="s">
        <v>197</v>
      </c>
      <c r="R103" t="s">
        <v>24</v>
      </c>
      <c r="S103" t="s">
        <v>72</v>
      </c>
      <c r="T103" t="s">
        <v>215</v>
      </c>
      <c r="V103" s="1">
        <f>[14]Pratt_etal_2010_Fig3ae!B6</f>
        <v>1.27524752475247E-7</v>
      </c>
      <c r="Y103"/>
      <c r="Z103" t="s">
        <v>52</v>
      </c>
    </row>
    <row r="104" spans="1:26" x14ac:dyDescent="0.25">
      <c r="A104" t="s">
        <v>75</v>
      </c>
      <c r="B104" t="s">
        <v>68</v>
      </c>
      <c r="C104" t="s">
        <v>69</v>
      </c>
      <c r="D104" t="s">
        <v>64</v>
      </c>
      <c r="E104" t="s">
        <v>13</v>
      </c>
      <c r="F104" s="4" t="s">
        <v>66</v>
      </c>
      <c r="G104" s="4" t="s">
        <v>65</v>
      </c>
      <c r="H104" s="4" t="s">
        <v>65</v>
      </c>
      <c r="J104" t="s">
        <v>275</v>
      </c>
      <c r="K104" t="s">
        <v>70</v>
      </c>
      <c r="L104" t="s">
        <v>249</v>
      </c>
      <c r="Q104" t="s">
        <v>197</v>
      </c>
      <c r="R104" t="s">
        <v>24</v>
      </c>
      <c r="S104" t="s">
        <v>72</v>
      </c>
      <c r="T104" t="s">
        <v>215</v>
      </c>
      <c r="V104" s="1">
        <f>[14]Pratt_etal_2010_Fig3ae!B7</f>
        <v>8.7920792079207702E-8</v>
      </c>
      <c r="Y104"/>
      <c r="Z104" t="s">
        <v>52</v>
      </c>
    </row>
    <row r="105" spans="1:26" x14ac:dyDescent="0.25">
      <c r="A105" t="s">
        <v>75</v>
      </c>
      <c r="B105" t="s">
        <v>62</v>
      </c>
      <c r="C105" t="s">
        <v>63</v>
      </c>
      <c r="D105" t="s">
        <v>64</v>
      </c>
      <c r="E105" t="s">
        <v>13</v>
      </c>
      <c r="F105" s="4" t="s">
        <v>66</v>
      </c>
      <c r="G105" s="4" t="s">
        <v>65</v>
      </c>
      <c r="H105" s="4" t="s">
        <v>65</v>
      </c>
      <c r="J105" t="s">
        <v>275</v>
      </c>
      <c r="K105" t="s">
        <v>73</v>
      </c>
      <c r="L105" t="s">
        <v>249</v>
      </c>
      <c r="Q105" t="s">
        <v>197</v>
      </c>
      <c r="R105" t="s">
        <v>24</v>
      </c>
      <c r="S105" t="s">
        <v>71</v>
      </c>
      <c r="T105" t="s">
        <v>215</v>
      </c>
      <c r="V105" s="1">
        <f>[15]Pratt_etal_2010_Fig3bf!B2</f>
        <v>1.7425742574257499E-7</v>
      </c>
      <c r="Y105"/>
      <c r="Z105" t="s">
        <v>52</v>
      </c>
    </row>
    <row r="106" spans="1:26" x14ac:dyDescent="0.25">
      <c r="A106" t="s">
        <v>75</v>
      </c>
      <c r="B106" t="s">
        <v>67</v>
      </c>
      <c r="C106" t="s">
        <v>63</v>
      </c>
      <c r="D106" t="s">
        <v>64</v>
      </c>
      <c r="E106" t="s">
        <v>13</v>
      </c>
      <c r="F106" s="4" t="s">
        <v>66</v>
      </c>
      <c r="G106" s="4" t="s">
        <v>65</v>
      </c>
      <c r="H106" s="4" t="s">
        <v>65</v>
      </c>
      <c r="J106" t="s">
        <v>275</v>
      </c>
      <c r="K106" t="s">
        <v>73</v>
      </c>
      <c r="L106" t="s">
        <v>249</v>
      </c>
      <c r="Q106" t="s">
        <v>197</v>
      </c>
      <c r="R106" t="s">
        <v>24</v>
      </c>
      <c r="S106" t="s">
        <v>71</v>
      </c>
      <c r="T106" t="s">
        <v>215</v>
      </c>
      <c r="V106" s="1">
        <f>[15]Pratt_etal_2010_Fig3bf!B3</f>
        <v>1.5920792079208E-7</v>
      </c>
      <c r="Y106"/>
      <c r="Z106" t="s">
        <v>52</v>
      </c>
    </row>
    <row r="107" spans="1:26" x14ac:dyDescent="0.25">
      <c r="A107" t="s">
        <v>75</v>
      </c>
      <c r="B107" t="s">
        <v>68</v>
      </c>
      <c r="C107" t="s">
        <v>69</v>
      </c>
      <c r="D107" t="s">
        <v>64</v>
      </c>
      <c r="E107" t="s">
        <v>13</v>
      </c>
      <c r="F107" s="4" t="s">
        <v>66</v>
      </c>
      <c r="G107" s="4" t="s">
        <v>65</v>
      </c>
      <c r="H107" s="4" t="s">
        <v>65</v>
      </c>
      <c r="J107" t="s">
        <v>275</v>
      </c>
      <c r="K107" t="s">
        <v>73</v>
      </c>
      <c r="L107" t="s">
        <v>249</v>
      </c>
      <c r="Q107" t="s">
        <v>197</v>
      </c>
      <c r="R107" t="s">
        <v>24</v>
      </c>
      <c r="S107" t="s">
        <v>71</v>
      </c>
      <c r="T107" t="s">
        <v>215</v>
      </c>
      <c r="V107" s="1">
        <f>[15]Pratt_etal_2010_Fig3bf!B4</f>
        <v>1.2118811881188099E-7</v>
      </c>
      <c r="Y107"/>
      <c r="Z107" t="s">
        <v>52</v>
      </c>
    </row>
    <row r="108" spans="1:26" x14ac:dyDescent="0.25">
      <c r="A108" t="s">
        <v>75</v>
      </c>
      <c r="B108" t="s">
        <v>62</v>
      </c>
      <c r="C108" t="s">
        <v>63</v>
      </c>
      <c r="D108" t="s">
        <v>64</v>
      </c>
      <c r="E108" t="s">
        <v>13</v>
      </c>
      <c r="F108" s="4" t="s">
        <v>66</v>
      </c>
      <c r="G108" s="4" t="s">
        <v>65</v>
      </c>
      <c r="H108" s="4" t="s">
        <v>65</v>
      </c>
      <c r="J108" t="s">
        <v>275</v>
      </c>
      <c r="K108" t="s">
        <v>73</v>
      </c>
      <c r="L108" t="s">
        <v>249</v>
      </c>
      <c r="Q108" t="s">
        <v>197</v>
      </c>
      <c r="R108" t="s">
        <v>24</v>
      </c>
      <c r="S108" t="s">
        <v>72</v>
      </c>
      <c r="T108" t="s">
        <v>215</v>
      </c>
      <c r="V108" s="1">
        <f>[15]Pratt_etal_2010_Fig3bf!B5</f>
        <v>3.3821782178217998E-7</v>
      </c>
      <c r="Y108"/>
      <c r="Z108" t="s">
        <v>52</v>
      </c>
    </row>
    <row r="109" spans="1:26" x14ac:dyDescent="0.25">
      <c r="A109" t="s">
        <v>75</v>
      </c>
      <c r="B109" t="s">
        <v>67</v>
      </c>
      <c r="C109" t="s">
        <v>63</v>
      </c>
      <c r="D109" t="s">
        <v>64</v>
      </c>
      <c r="E109" t="s">
        <v>13</v>
      </c>
      <c r="F109" s="4" t="s">
        <v>66</v>
      </c>
      <c r="G109" s="4" t="s">
        <v>65</v>
      </c>
      <c r="H109" s="4" t="s">
        <v>65</v>
      </c>
      <c r="J109" t="s">
        <v>275</v>
      </c>
      <c r="K109" t="s">
        <v>73</v>
      </c>
      <c r="L109" t="s">
        <v>249</v>
      </c>
      <c r="Q109" t="s">
        <v>197</v>
      </c>
      <c r="R109" t="s">
        <v>24</v>
      </c>
      <c r="S109" t="s">
        <v>72</v>
      </c>
      <c r="T109" t="s">
        <v>215</v>
      </c>
      <c r="V109" s="1">
        <f>[15]Pratt_etal_2010_Fig3bf!B6</f>
        <v>2.3049504950495101E-7</v>
      </c>
      <c r="Y109"/>
      <c r="Z109" t="s">
        <v>52</v>
      </c>
    </row>
    <row r="110" spans="1:26" x14ac:dyDescent="0.25">
      <c r="A110" t="s">
        <v>75</v>
      </c>
      <c r="B110" t="s">
        <v>68</v>
      </c>
      <c r="C110" t="s">
        <v>69</v>
      </c>
      <c r="D110" t="s">
        <v>64</v>
      </c>
      <c r="E110" t="s">
        <v>13</v>
      </c>
      <c r="F110" s="4" t="s">
        <v>66</v>
      </c>
      <c r="G110" s="4" t="s">
        <v>65</v>
      </c>
      <c r="H110" s="4" t="s">
        <v>65</v>
      </c>
      <c r="J110" t="s">
        <v>275</v>
      </c>
      <c r="K110" t="s">
        <v>73</v>
      </c>
      <c r="L110" t="s">
        <v>249</v>
      </c>
      <c r="Q110" t="s">
        <v>197</v>
      </c>
      <c r="R110" t="s">
        <v>24</v>
      </c>
      <c r="S110" t="s">
        <v>72</v>
      </c>
      <c r="T110" t="s">
        <v>215</v>
      </c>
      <c r="V110" s="1">
        <f>[15]Pratt_etal_2010_Fig3bf!B7</f>
        <v>2.28118811881189E-7</v>
      </c>
      <c r="Y110"/>
      <c r="Z110" t="s">
        <v>52</v>
      </c>
    </row>
    <row r="111" spans="1:26" x14ac:dyDescent="0.25">
      <c r="A111" t="s">
        <v>75</v>
      </c>
      <c r="B111" t="s">
        <v>62</v>
      </c>
      <c r="C111" t="s">
        <v>63</v>
      </c>
      <c r="D111" t="s">
        <v>64</v>
      </c>
      <c r="E111" t="s">
        <v>13</v>
      </c>
      <c r="F111" s="4" t="s">
        <v>66</v>
      </c>
      <c r="G111" s="4" t="s">
        <v>65</v>
      </c>
      <c r="H111" s="4" t="s">
        <v>65</v>
      </c>
      <c r="J111" t="s">
        <v>275</v>
      </c>
      <c r="K111" t="s">
        <v>70</v>
      </c>
      <c r="L111" t="s">
        <v>249</v>
      </c>
      <c r="Q111" t="s">
        <v>197</v>
      </c>
      <c r="R111" t="s">
        <v>24</v>
      </c>
      <c r="S111" t="s">
        <v>71</v>
      </c>
      <c r="T111" t="s">
        <v>215</v>
      </c>
      <c r="V111" s="1">
        <f>[14]Pratt_etal_2010_Fig3ae!B8</f>
        <v>2.6930693069306899E-7</v>
      </c>
      <c r="Y111"/>
      <c r="Z111" t="s">
        <v>74</v>
      </c>
    </row>
    <row r="112" spans="1:26" x14ac:dyDescent="0.25">
      <c r="A112" t="s">
        <v>75</v>
      </c>
      <c r="B112" t="s">
        <v>67</v>
      </c>
      <c r="C112" t="s">
        <v>63</v>
      </c>
      <c r="D112" t="s">
        <v>64</v>
      </c>
      <c r="E112" t="s">
        <v>13</v>
      </c>
      <c r="F112" s="4" t="s">
        <v>66</v>
      </c>
      <c r="G112" s="4" t="s">
        <v>65</v>
      </c>
      <c r="H112" s="4" t="s">
        <v>65</v>
      </c>
      <c r="J112" t="s">
        <v>275</v>
      </c>
      <c r="K112" t="s">
        <v>70</v>
      </c>
      <c r="L112" t="s">
        <v>249</v>
      </c>
      <c r="Q112" t="s">
        <v>197</v>
      </c>
      <c r="R112" t="s">
        <v>24</v>
      </c>
      <c r="S112" t="s">
        <v>71</v>
      </c>
      <c r="T112" t="s">
        <v>215</v>
      </c>
      <c r="V112" s="1">
        <f>[14]Pratt_etal_2010_Fig3ae!B9</f>
        <v>5.2277227722772097E-8</v>
      </c>
      <c r="Y112"/>
      <c r="Z112" t="s">
        <v>74</v>
      </c>
    </row>
    <row r="113" spans="1:26" x14ac:dyDescent="0.25">
      <c r="A113" t="s">
        <v>75</v>
      </c>
      <c r="B113" t="s">
        <v>68</v>
      </c>
      <c r="C113" t="s">
        <v>69</v>
      </c>
      <c r="D113" t="s">
        <v>64</v>
      </c>
      <c r="E113" t="s">
        <v>13</v>
      </c>
      <c r="F113" s="4" t="s">
        <v>66</v>
      </c>
      <c r="G113" s="4" t="s">
        <v>65</v>
      </c>
      <c r="H113" s="4" t="s">
        <v>65</v>
      </c>
      <c r="J113" t="s">
        <v>275</v>
      </c>
      <c r="K113" t="s">
        <v>70</v>
      </c>
      <c r="L113" t="s">
        <v>249</v>
      </c>
      <c r="Q113" t="s">
        <v>197</v>
      </c>
      <c r="R113" t="s">
        <v>24</v>
      </c>
      <c r="S113" t="s">
        <v>71</v>
      </c>
      <c r="T113" t="s">
        <v>215</v>
      </c>
      <c r="V113" s="1">
        <f>[14]Pratt_etal_2010_Fig3ae!B10</f>
        <v>1.1009900990099E-7</v>
      </c>
      <c r="Y113"/>
      <c r="Z113" t="s">
        <v>74</v>
      </c>
    </row>
    <row r="114" spans="1:26" x14ac:dyDescent="0.25">
      <c r="A114" t="s">
        <v>75</v>
      </c>
      <c r="B114" t="s">
        <v>62</v>
      </c>
      <c r="C114" t="s">
        <v>63</v>
      </c>
      <c r="D114" t="s">
        <v>64</v>
      </c>
      <c r="E114" t="s">
        <v>13</v>
      </c>
      <c r="F114" s="4" t="s">
        <v>66</v>
      </c>
      <c r="G114" s="4" t="s">
        <v>65</v>
      </c>
      <c r="H114" s="4" t="s">
        <v>65</v>
      </c>
      <c r="J114" t="s">
        <v>275</v>
      </c>
      <c r="K114" t="s">
        <v>70</v>
      </c>
      <c r="L114" t="s">
        <v>249</v>
      </c>
      <c r="Q114" t="s">
        <v>197</v>
      </c>
      <c r="R114" t="s">
        <v>24</v>
      </c>
      <c r="S114" t="s">
        <v>72</v>
      </c>
      <c r="T114" t="s">
        <v>215</v>
      </c>
      <c r="V114" s="1">
        <f>[14]Pratt_etal_2010_Fig3ae!B11</f>
        <v>2.4237623762376198E-7</v>
      </c>
      <c r="Y114"/>
      <c r="Z114" t="s">
        <v>74</v>
      </c>
    </row>
    <row r="115" spans="1:26" x14ac:dyDescent="0.25">
      <c r="A115" t="s">
        <v>75</v>
      </c>
      <c r="B115" t="s">
        <v>67</v>
      </c>
      <c r="C115" t="s">
        <v>63</v>
      </c>
      <c r="D115" t="s">
        <v>64</v>
      </c>
      <c r="E115" t="s">
        <v>13</v>
      </c>
      <c r="F115" s="4" t="s">
        <v>66</v>
      </c>
      <c r="G115" s="4" t="s">
        <v>65</v>
      </c>
      <c r="H115" s="4" t="s">
        <v>65</v>
      </c>
      <c r="J115" t="s">
        <v>275</v>
      </c>
      <c r="K115" t="s">
        <v>70</v>
      </c>
      <c r="L115" t="s">
        <v>249</v>
      </c>
      <c r="Q115" t="s">
        <v>197</v>
      </c>
      <c r="R115" t="s">
        <v>24</v>
      </c>
      <c r="S115" t="s">
        <v>72</v>
      </c>
      <c r="T115" t="s">
        <v>215</v>
      </c>
      <c r="V115" s="1">
        <f>[14]Pratt_etal_2010_Fig3ae!B12</f>
        <v>1.5049504950495E-7</v>
      </c>
      <c r="Y115"/>
      <c r="Z115" t="s">
        <v>74</v>
      </c>
    </row>
    <row r="116" spans="1:26" x14ac:dyDescent="0.25">
      <c r="A116" t="s">
        <v>75</v>
      </c>
      <c r="B116" t="s">
        <v>68</v>
      </c>
      <c r="C116" t="s">
        <v>69</v>
      </c>
      <c r="D116" t="s">
        <v>64</v>
      </c>
      <c r="E116" t="s">
        <v>13</v>
      </c>
      <c r="F116" s="4" t="s">
        <v>66</v>
      </c>
      <c r="G116" s="4" t="s">
        <v>65</v>
      </c>
      <c r="H116" s="4" t="s">
        <v>65</v>
      </c>
      <c r="J116" t="s">
        <v>275</v>
      </c>
      <c r="K116" t="s">
        <v>70</v>
      </c>
      <c r="L116" t="s">
        <v>249</v>
      </c>
      <c r="Q116" t="s">
        <v>197</v>
      </c>
      <c r="R116" t="s">
        <v>24</v>
      </c>
      <c r="S116" t="s">
        <v>72</v>
      </c>
      <c r="T116" t="s">
        <v>215</v>
      </c>
      <c r="V116" s="1">
        <f>[14]Pratt_etal_2010_Fig3ae!B13</f>
        <v>1.02970297029702E-7</v>
      </c>
      <c r="Y116"/>
      <c r="Z116" t="s">
        <v>74</v>
      </c>
    </row>
    <row r="117" spans="1:26" x14ac:dyDescent="0.25">
      <c r="A117" t="s">
        <v>75</v>
      </c>
      <c r="B117" t="s">
        <v>62</v>
      </c>
      <c r="C117" t="s">
        <v>63</v>
      </c>
      <c r="D117" t="s">
        <v>64</v>
      </c>
      <c r="E117" t="s">
        <v>13</v>
      </c>
      <c r="F117" s="4" t="s">
        <v>66</v>
      </c>
      <c r="G117" s="4" t="s">
        <v>65</v>
      </c>
      <c r="H117" s="4" t="s">
        <v>65</v>
      </c>
      <c r="J117" t="s">
        <v>275</v>
      </c>
      <c r="K117" t="s">
        <v>73</v>
      </c>
      <c r="L117" t="s">
        <v>249</v>
      </c>
      <c r="Q117" t="s">
        <v>197</v>
      </c>
      <c r="R117" t="s">
        <v>24</v>
      </c>
      <c r="S117" t="s">
        <v>71</v>
      </c>
      <c r="T117" t="s">
        <v>215</v>
      </c>
      <c r="V117" s="1">
        <f>[15]Pratt_etal_2010_Fig3bf!B8</f>
        <v>2.6138613861386199E-7</v>
      </c>
      <c r="Y117"/>
      <c r="Z117" t="s">
        <v>74</v>
      </c>
    </row>
    <row r="118" spans="1:26" x14ac:dyDescent="0.25">
      <c r="A118" t="s">
        <v>75</v>
      </c>
      <c r="B118" t="s">
        <v>67</v>
      </c>
      <c r="C118" t="s">
        <v>63</v>
      </c>
      <c r="D118" t="s">
        <v>64</v>
      </c>
      <c r="E118" t="s">
        <v>13</v>
      </c>
      <c r="F118" s="4" t="s">
        <v>66</v>
      </c>
      <c r="G118" s="4" t="s">
        <v>65</v>
      </c>
      <c r="H118" s="4" t="s">
        <v>65</v>
      </c>
      <c r="J118" t="s">
        <v>275</v>
      </c>
      <c r="K118" t="s">
        <v>73</v>
      </c>
      <c r="L118" t="s">
        <v>249</v>
      </c>
      <c r="Q118" t="s">
        <v>197</v>
      </c>
      <c r="R118" t="s">
        <v>24</v>
      </c>
      <c r="S118" t="s">
        <v>71</v>
      </c>
      <c r="T118" t="s">
        <v>215</v>
      </c>
      <c r="V118" s="1">
        <f>[15]Pratt_etal_2010_Fig3bf!B9</f>
        <v>2.33663366336635E-7</v>
      </c>
      <c r="Y118"/>
      <c r="Z118" t="s">
        <v>74</v>
      </c>
    </row>
    <row r="119" spans="1:26" x14ac:dyDescent="0.25">
      <c r="A119" t="s">
        <v>75</v>
      </c>
      <c r="B119" t="s">
        <v>68</v>
      </c>
      <c r="C119" t="s">
        <v>69</v>
      </c>
      <c r="D119" t="s">
        <v>64</v>
      </c>
      <c r="E119" t="s">
        <v>13</v>
      </c>
      <c r="F119" s="4" t="s">
        <v>66</v>
      </c>
      <c r="G119" s="4" t="s">
        <v>65</v>
      </c>
      <c r="H119" s="4" t="s">
        <v>65</v>
      </c>
      <c r="J119" t="s">
        <v>275</v>
      </c>
      <c r="K119" t="s">
        <v>73</v>
      </c>
      <c r="L119" t="s">
        <v>249</v>
      </c>
      <c r="Q119" t="s">
        <v>197</v>
      </c>
      <c r="R119" t="s">
        <v>24</v>
      </c>
      <c r="S119" t="s">
        <v>71</v>
      </c>
      <c r="T119" t="s">
        <v>215</v>
      </c>
      <c r="V119" s="1">
        <f>[15]Pratt_etal_2010_Fig3bf!B10</f>
        <v>1.21188118811882E-7</v>
      </c>
      <c r="Y119"/>
      <c r="Z119" t="s">
        <v>74</v>
      </c>
    </row>
    <row r="120" spans="1:26" x14ac:dyDescent="0.25">
      <c r="A120" t="s">
        <v>75</v>
      </c>
      <c r="B120" t="s">
        <v>62</v>
      </c>
      <c r="C120" t="s">
        <v>63</v>
      </c>
      <c r="D120" t="s">
        <v>64</v>
      </c>
      <c r="E120" t="s">
        <v>13</v>
      </c>
      <c r="F120" s="4" t="s">
        <v>66</v>
      </c>
      <c r="G120" s="4" t="s">
        <v>65</v>
      </c>
      <c r="H120" s="4" t="s">
        <v>65</v>
      </c>
      <c r="J120" t="s">
        <v>275</v>
      </c>
      <c r="K120" t="s">
        <v>73</v>
      </c>
      <c r="L120" t="s">
        <v>249</v>
      </c>
      <c r="Q120" t="s">
        <v>197</v>
      </c>
      <c r="R120" t="s">
        <v>24</v>
      </c>
      <c r="S120" t="s">
        <v>72</v>
      </c>
      <c r="T120" t="s">
        <v>215</v>
      </c>
      <c r="V120" s="1">
        <f>[15]Pratt_etal_2010_Fig3bf!B11</f>
        <v>3.4059405940594198E-7</v>
      </c>
      <c r="Y120"/>
      <c r="Z120" t="s">
        <v>74</v>
      </c>
    </row>
    <row r="121" spans="1:26" x14ac:dyDescent="0.25">
      <c r="A121" t="s">
        <v>75</v>
      </c>
      <c r="B121" t="s">
        <v>67</v>
      </c>
      <c r="C121" t="s">
        <v>63</v>
      </c>
      <c r="D121" t="s">
        <v>64</v>
      </c>
      <c r="E121" t="s">
        <v>13</v>
      </c>
      <c r="F121" s="4" t="s">
        <v>66</v>
      </c>
      <c r="G121" s="4" t="s">
        <v>65</v>
      </c>
      <c r="H121" s="4" t="s">
        <v>65</v>
      </c>
      <c r="J121" t="s">
        <v>275</v>
      </c>
      <c r="K121" t="s">
        <v>73</v>
      </c>
      <c r="L121" t="s">
        <v>249</v>
      </c>
      <c r="Q121" t="s">
        <v>197</v>
      </c>
      <c r="R121" t="s">
        <v>24</v>
      </c>
      <c r="S121" t="s">
        <v>72</v>
      </c>
      <c r="T121" t="s">
        <v>215</v>
      </c>
      <c r="V121" s="1">
        <f>[15]Pratt_etal_2010_Fig3bf!B12</f>
        <v>2.33663366336634E-7</v>
      </c>
      <c r="Y121"/>
      <c r="Z121" t="s">
        <v>74</v>
      </c>
    </row>
    <row r="122" spans="1:26" x14ac:dyDescent="0.25">
      <c r="A122" t="s">
        <v>75</v>
      </c>
      <c r="B122" t="s">
        <v>68</v>
      </c>
      <c r="C122" t="s">
        <v>69</v>
      </c>
      <c r="D122" t="s">
        <v>64</v>
      </c>
      <c r="E122" t="s">
        <v>13</v>
      </c>
      <c r="F122" s="4" t="s">
        <v>66</v>
      </c>
      <c r="G122" s="4" t="s">
        <v>65</v>
      </c>
      <c r="H122" s="4" t="s">
        <v>65</v>
      </c>
      <c r="J122" t="s">
        <v>275</v>
      </c>
      <c r="K122" t="s">
        <v>73</v>
      </c>
      <c r="L122" t="s">
        <v>249</v>
      </c>
      <c r="Q122" t="s">
        <v>197</v>
      </c>
      <c r="R122" t="s">
        <v>24</v>
      </c>
      <c r="S122" t="s">
        <v>72</v>
      </c>
      <c r="T122" t="s">
        <v>215</v>
      </c>
      <c r="V122" s="1">
        <f>[15]Pratt_etal_2010_Fig3bf!B13</f>
        <v>2.3762376237623901E-7</v>
      </c>
      <c r="Y122"/>
      <c r="Z122" t="s">
        <v>74</v>
      </c>
    </row>
    <row r="123" spans="1:26" x14ac:dyDescent="0.25">
      <c r="A123" t="s">
        <v>76</v>
      </c>
      <c r="B123" t="s">
        <v>79</v>
      </c>
      <c r="C123" t="s">
        <v>77</v>
      </c>
      <c r="D123" t="s">
        <v>78</v>
      </c>
      <c r="E123" t="s">
        <v>13</v>
      </c>
      <c r="G123" t="s">
        <v>249</v>
      </c>
      <c r="H123" t="s">
        <v>249</v>
      </c>
      <c r="J123" t="s">
        <v>276</v>
      </c>
      <c r="K123" t="s">
        <v>80</v>
      </c>
      <c r="L123" t="s">
        <v>249</v>
      </c>
      <c r="Q123" t="s">
        <v>197</v>
      </c>
      <c r="R123" t="s">
        <v>45</v>
      </c>
      <c r="S123" t="s">
        <v>32</v>
      </c>
      <c r="T123" t="s">
        <v>215</v>
      </c>
      <c r="V123" s="1">
        <v>8.4999999999999994E-8</v>
      </c>
      <c r="Y123"/>
      <c r="Z123" t="s">
        <v>53</v>
      </c>
    </row>
    <row r="124" spans="1:26" x14ac:dyDescent="0.25">
      <c r="A124" t="s">
        <v>76</v>
      </c>
      <c r="B124" t="s">
        <v>79</v>
      </c>
      <c r="C124" t="s">
        <v>77</v>
      </c>
      <c r="D124" t="s">
        <v>78</v>
      </c>
      <c r="E124" t="s">
        <v>13</v>
      </c>
      <c r="G124" t="s">
        <v>249</v>
      </c>
      <c r="H124" t="s">
        <v>249</v>
      </c>
      <c r="J124" t="s">
        <v>276</v>
      </c>
      <c r="K124" t="s">
        <v>81</v>
      </c>
      <c r="L124" t="s">
        <v>249</v>
      </c>
      <c r="Q124" t="s">
        <v>197</v>
      </c>
      <c r="R124" t="s">
        <v>45</v>
      </c>
      <c r="S124" t="s">
        <v>32</v>
      </c>
      <c r="T124" t="s">
        <v>215</v>
      </c>
      <c r="V124" s="1">
        <v>3.8999999999999998E-8</v>
      </c>
      <c r="Y124"/>
      <c r="Z124" t="s">
        <v>53</v>
      </c>
    </row>
    <row r="125" spans="1:26" x14ac:dyDescent="0.25">
      <c r="A125" t="s">
        <v>76</v>
      </c>
      <c r="B125" t="s">
        <v>79</v>
      </c>
      <c r="C125" t="s">
        <v>77</v>
      </c>
      <c r="D125" t="s">
        <v>78</v>
      </c>
      <c r="E125" t="s">
        <v>13</v>
      </c>
      <c r="G125" t="s">
        <v>249</v>
      </c>
      <c r="H125" t="s">
        <v>249</v>
      </c>
      <c r="J125" t="s">
        <v>276</v>
      </c>
      <c r="K125" t="s">
        <v>80</v>
      </c>
      <c r="L125" t="s">
        <v>249</v>
      </c>
      <c r="Q125" t="s">
        <v>197</v>
      </c>
      <c r="R125" t="s">
        <v>45</v>
      </c>
      <c r="S125" t="s">
        <v>32</v>
      </c>
      <c r="T125" t="s">
        <v>215</v>
      </c>
      <c r="V125" s="1">
        <v>3.9000000000000002E-7</v>
      </c>
      <c r="Y125"/>
      <c r="Z125" t="s">
        <v>22</v>
      </c>
    </row>
    <row r="126" spans="1:26" x14ac:dyDescent="0.25">
      <c r="A126" t="s">
        <v>76</v>
      </c>
      <c r="B126" t="s">
        <v>79</v>
      </c>
      <c r="C126" t="s">
        <v>77</v>
      </c>
      <c r="D126" t="s">
        <v>78</v>
      </c>
      <c r="E126" t="s">
        <v>13</v>
      </c>
      <c r="G126" t="s">
        <v>249</v>
      </c>
      <c r="H126" t="s">
        <v>249</v>
      </c>
      <c r="J126" t="s">
        <v>276</v>
      </c>
      <c r="K126" t="s">
        <v>81</v>
      </c>
      <c r="L126" t="s">
        <v>249</v>
      </c>
      <c r="Q126" t="s">
        <v>197</v>
      </c>
      <c r="R126" t="s">
        <v>45</v>
      </c>
      <c r="S126" t="s">
        <v>32</v>
      </c>
      <c r="T126" t="s">
        <v>215</v>
      </c>
      <c r="V126" s="1">
        <v>2.2999999999999999E-7</v>
      </c>
      <c r="Y126"/>
      <c r="Z126" t="s">
        <v>22</v>
      </c>
    </row>
    <row r="127" spans="1:26" x14ac:dyDescent="0.25">
      <c r="A127" t="s">
        <v>76</v>
      </c>
      <c r="B127" t="s">
        <v>79</v>
      </c>
      <c r="C127" t="s">
        <v>77</v>
      </c>
      <c r="D127" t="s">
        <v>78</v>
      </c>
      <c r="E127" t="s">
        <v>13</v>
      </c>
      <c r="G127" t="s">
        <v>249</v>
      </c>
      <c r="H127" t="s">
        <v>249</v>
      </c>
      <c r="J127" t="s">
        <v>276</v>
      </c>
      <c r="K127" t="s">
        <v>80</v>
      </c>
      <c r="L127" t="s">
        <v>249</v>
      </c>
      <c r="Q127" t="s">
        <v>197</v>
      </c>
      <c r="R127" t="s">
        <v>45</v>
      </c>
      <c r="S127" t="s">
        <v>32</v>
      </c>
      <c r="T127" t="s">
        <v>216</v>
      </c>
      <c r="V127" s="1">
        <v>6.2000000000000001E-9</v>
      </c>
      <c r="Y127"/>
      <c r="Z127" t="s">
        <v>22</v>
      </c>
    </row>
    <row r="128" spans="1:26" x14ac:dyDescent="0.25">
      <c r="A128" t="s">
        <v>76</v>
      </c>
      <c r="B128" t="s">
        <v>79</v>
      </c>
      <c r="C128" t="s">
        <v>77</v>
      </c>
      <c r="D128" t="s">
        <v>78</v>
      </c>
      <c r="E128" t="s">
        <v>13</v>
      </c>
      <c r="G128" t="s">
        <v>249</v>
      </c>
      <c r="H128" t="s">
        <v>249</v>
      </c>
      <c r="J128" t="s">
        <v>276</v>
      </c>
      <c r="K128" t="s">
        <v>81</v>
      </c>
      <c r="L128" t="s">
        <v>249</v>
      </c>
      <c r="Q128" t="s">
        <v>197</v>
      </c>
      <c r="R128" t="s">
        <v>45</v>
      </c>
      <c r="S128" t="s">
        <v>32</v>
      </c>
      <c r="T128" t="s">
        <v>216</v>
      </c>
      <c r="V128" s="1">
        <v>2.1000000000000002E-9</v>
      </c>
      <c r="Y128"/>
      <c r="Z128" t="s">
        <v>22</v>
      </c>
    </row>
    <row r="129" spans="1:26" x14ac:dyDescent="0.25">
      <c r="A129" t="s">
        <v>87</v>
      </c>
      <c r="B129" t="s">
        <v>20</v>
      </c>
      <c r="C129" t="s">
        <v>21</v>
      </c>
      <c r="D129" t="s">
        <v>12</v>
      </c>
      <c r="E129" t="s">
        <v>15</v>
      </c>
      <c r="F129" t="s">
        <v>16</v>
      </c>
      <c r="G129" t="s">
        <v>16</v>
      </c>
      <c r="H129" t="s">
        <v>247</v>
      </c>
      <c r="I129">
        <f>+AVERAGE(7,10)</f>
        <v>8.5</v>
      </c>
      <c r="Q129" t="s">
        <v>197</v>
      </c>
      <c r="R129" t="s">
        <v>26</v>
      </c>
      <c r="S129" t="s">
        <v>32</v>
      </c>
      <c r="T129" t="s">
        <v>215</v>
      </c>
      <c r="V129" s="1">
        <v>7.4000000000000001E-7</v>
      </c>
      <c r="W129" s="2"/>
      <c r="X129">
        <v>11.2</v>
      </c>
      <c r="Y129">
        <v>0.98</v>
      </c>
      <c r="Z129" t="s">
        <v>22</v>
      </c>
    </row>
    <row r="130" spans="1:26" x14ac:dyDescent="0.25">
      <c r="A130" t="s">
        <v>87</v>
      </c>
      <c r="B130" t="s">
        <v>10</v>
      </c>
      <c r="C130" t="s">
        <v>11</v>
      </c>
      <c r="D130" t="s">
        <v>12</v>
      </c>
      <c r="E130" t="s">
        <v>13</v>
      </c>
      <c r="F130" t="s">
        <v>14</v>
      </c>
      <c r="G130" t="s">
        <v>14</v>
      </c>
      <c r="H130" t="s">
        <v>247</v>
      </c>
      <c r="I130">
        <f>+AVERAGE(8,10)</f>
        <v>9</v>
      </c>
      <c r="Q130" t="s">
        <v>197</v>
      </c>
      <c r="R130" t="s">
        <v>26</v>
      </c>
      <c r="S130" t="s">
        <v>32</v>
      </c>
      <c r="T130" t="s">
        <v>215</v>
      </c>
      <c r="V130" s="1">
        <v>5.5000000000000003E-7</v>
      </c>
      <c r="W130" s="2"/>
      <c r="X130">
        <v>7.1</v>
      </c>
      <c r="Y130">
        <v>0.63</v>
      </c>
      <c r="Z130" t="s">
        <v>22</v>
      </c>
    </row>
    <row r="131" spans="1:26" x14ac:dyDescent="0.25">
      <c r="A131" t="s">
        <v>177</v>
      </c>
      <c r="B131" t="s">
        <v>43</v>
      </c>
      <c r="C131" t="s">
        <v>44</v>
      </c>
      <c r="D131" t="s">
        <v>12</v>
      </c>
      <c r="E131" t="s">
        <v>13</v>
      </c>
      <c r="F131" t="s">
        <v>14</v>
      </c>
      <c r="G131" t="s">
        <v>14</v>
      </c>
      <c r="H131" t="s">
        <v>247</v>
      </c>
      <c r="I131">
        <v>14</v>
      </c>
      <c r="Q131" t="s">
        <v>197</v>
      </c>
      <c r="R131" t="s">
        <v>26</v>
      </c>
      <c r="S131" t="s">
        <v>32</v>
      </c>
      <c r="T131" t="s">
        <v>215</v>
      </c>
      <c r="V131" s="1">
        <v>1.06E-7</v>
      </c>
      <c r="W131" s="2"/>
      <c r="X131">
        <v>12</v>
      </c>
      <c r="Y131">
        <v>0.7</v>
      </c>
      <c r="Z131" t="s">
        <v>22</v>
      </c>
    </row>
    <row r="132" spans="1:26" x14ac:dyDescent="0.25">
      <c r="A132" t="s">
        <v>177</v>
      </c>
      <c r="B132" t="s">
        <v>93</v>
      </c>
      <c r="C132" t="s">
        <v>94</v>
      </c>
      <c r="D132" t="s">
        <v>95</v>
      </c>
      <c r="E132" t="s">
        <v>13</v>
      </c>
      <c r="G132" t="s">
        <v>221</v>
      </c>
      <c r="H132" t="s">
        <v>248</v>
      </c>
      <c r="I132">
        <v>14</v>
      </c>
      <c r="Q132" t="s">
        <v>197</v>
      </c>
      <c r="R132" t="s">
        <v>99</v>
      </c>
      <c r="S132" t="s">
        <v>32</v>
      </c>
      <c r="T132" t="s">
        <v>215</v>
      </c>
      <c r="V132" s="1">
        <v>5.8999999999999999E-8</v>
      </c>
      <c r="W132" s="2"/>
      <c r="X132">
        <v>12</v>
      </c>
      <c r="Y132">
        <v>1</v>
      </c>
      <c r="Z132" t="s">
        <v>22</v>
      </c>
    </row>
    <row r="133" spans="1:26" x14ac:dyDescent="0.25">
      <c r="A133" t="s">
        <v>177</v>
      </c>
      <c r="B133" t="s">
        <v>92</v>
      </c>
      <c r="C133" t="s">
        <v>94</v>
      </c>
      <c r="D133" t="s">
        <v>95</v>
      </c>
      <c r="E133" t="s">
        <v>13</v>
      </c>
      <c r="G133" t="s">
        <v>221</v>
      </c>
      <c r="H133" t="s">
        <v>248</v>
      </c>
      <c r="I133">
        <v>14</v>
      </c>
      <c r="Q133" t="s">
        <v>197</v>
      </c>
      <c r="R133" t="s">
        <v>99</v>
      </c>
      <c r="S133" t="s">
        <v>32</v>
      </c>
      <c r="T133" t="s">
        <v>215</v>
      </c>
      <c r="V133" s="1">
        <v>5.9999999999999995E-8</v>
      </c>
      <c r="W133" s="2"/>
      <c r="X133">
        <v>12.9</v>
      </c>
      <c r="Y133">
        <v>1.5</v>
      </c>
      <c r="Z133" t="s">
        <v>22</v>
      </c>
    </row>
    <row r="134" spans="1:26" x14ac:dyDescent="0.25">
      <c r="A134" t="s">
        <v>88</v>
      </c>
      <c r="B134" t="s">
        <v>10</v>
      </c>
      <c r="C134" t="s">
        <v>11</v>
      </c>
      <c r="D134" t="s">
        <v>12</v>
      </c>
      <c r="E134" t="s">
        <v>13</v>
      </c>
      <c r="F134" t="s">
        <v>14</v>
      </c>
      <c r="G134" t="s">
        <v>14</v>
      </c>
      <c r="H134" t="s">
        <v>247</v>
      </c>
      <c r="I134">
        <f>5+0</f>
        <v>5</v>
      </c>
      <c r="J134" t="s">
        <v>46</v>
      </c>
      <c r="K134" t="s">
        <v>17</v>
      </c>
      <c r="L134" t="str">
        <f t="shared" ref="L134:L146" si="15">+IF(K134="Control","Control","Stress")</f>
        <v>Control</v>
      </c>
      <c r="Q134" t="s">
        <v>197</v>
      </c>
      <c r="R134" t="s">
        <v>26</v>
      </c>
      <c r="S134" t="s">
        <v>32</v>
      </c>
      <c r="T134" t="s">
        <v>216</v>
      </c>
      <c r="V134" s="1">
        <f>'[16]Katsuhara&amp;Shibasaka_2007_Fig2'!B2</f>
        <v>1.06447638603696E-7</v>
      </c>
      <c r="Y134"/>
      <c r="Z134" t="s">
        <v>89</v>
      </c>
    </row>
    <row r="135" spans="1:26" x14ac:dyDescent="0.25">
      <c r="A135" t="s">
        <v>88</v>
      </c>
      <c r="B135" t="s">
        <v>10</v>
      </c>
      <c r="C135" t="s">
        <v>11</v>
      </c>
      <c r="D135" t="s">
        <v>12</v>
      </c>
      <c r="E135" t="s">
        <v>13</v>
      </c>
      <c r="F135" t="s">
        <v>14</v>
      </c>
      <c r="G135" t="s">
        <v>14</v>
      </c>
      <c r="H135" t="s">
        <v>247</v>
      </c>
      <c r="I135">
        <f>5+1</f>
        <v>6</v>
      </c>
      <c r="J135" t="s">
        <v>46</v>
      </c>
      <c r="K135" t="s">
        <v>17</v>
      </c>
      <c r="L135" t="str">
        <f t="shared" si="15"/>
        <v>Control</v>
      </c>
      <c r="Q135" t="s">
        <v>197</v>
      </c>
      <c r="R135" t="s">
        <v>26</v>
      </c>
      <c r="S135" t="s">
        <v>32</v>
      </c>
      <c r="T135" t="s">
        <v>216</v>
      </c>
      <c r="V135" s="1">
        <f>'[16]Katsuhara&amp;Shibasaka_2007_Fig2'!B3</f>
        <v>1.40616016427104E-7</v>
      </c>
      <c r="Y135"/>
      <c r="Z135" t="s">
        <v>89</v>
      </c>
    </row>
    <row r="136" spans="1:26" x14ac:dyDescent="0.25">
      <c r="A136" t="s">
        <v>88</v>
      </c>
      <c r="B136" t="s">
        <v>10</v>
      </c>
      <c r="C136" t="s">
        <v>11</v>
      </c>
      <c r="D136" t="s">
        <v>12</v>
      </c>
      <c r="E136" t="s">
        <v>13</v>
      </c>
      <c r="F136" t="s">
        <v>14</v>
      </c>
      <c r="G136" t="s">
        <v>14</v>
      </c>
      <c r="H136" t="s">
        <v>247</v>
      </c>
      <c r="I136">
        <f>5+2</f>
        <v>7</v>
      </c>
      <c r="J136" t="s">
        <v>46</v>
      </c>
      <c r="K136" t="s">
        <v>17</v>
      </c>
      <c r="L136" t="str">
        <f t="shared" si="15"/>
        <v>Control</v>
      </c>
      <c r="Q136" t="s">
        <v>197</v>
      </c>
      <c r="R136" t="s">
        <v>26</v>
      </c>
      <c r="S136" t="s">
        <v>32</v>
      </c>
      <c r="T136" t="s">
        <v>216</v>
      </c>
      <c r="V136" s="1">
        <f>'[16]Katsuhara&amp;Shibasaka_2007_Fig2'!B4</f>
        <v>9.0020533880903501E-8</v>
      </c>
      <c r="W136" s="1"/>
      <c r="Y136"/>
      <c r="Z136" t="s">
        <v>89</v>
      </c>
    </row>
    <row r="137" spans="1:26" x14ac:dyDescent="0.25">
      <c r="A137" t="s">
        <v>88</v>
      </c>
      <c r="B137" t="s">
        <v>10</v>
      </c>
      <c r="C137" t="s">
        <v>11</v>
      </c>
      <c r="D137" t="s">
        <v>12</v>
      </c>
      <c r="E137" t="s">
        <v>13</v>
      </c>
      <c r="F137" t="s">
        <v>14</v>
      </c>
      <c r="G137" t="s">
        <v>14</v>
      </c>
      <c r="H137" t="s">
        <v>247</v>
      </c>
      <c r="I137">
        <f>5+1</f>
        <v>6</v>
      </c>
      <c r="J137" t="s">
        <v>46</v>
      </c>
      <c r="K137" t="s">
        <v>46</v>
      </c>
      <c r="L137" t="str">
        <f t="shared" si="15"/>
        <v>Stress</v>
      </c>
      <c r="Q137" t="s">
        <v>197</v>
      </c>
      <c r="R137" t="s">
        <v>26</v>
      </c>
      <c r="S137" t="s">
        <v>32</v>
      </c>
      <c r="T137" t="s">
        <v>216</v>
      </c>
      <c r="V137" s="1">
        <f>'[16]Katsuhara&amp;Shibasaka_2007_Fig2'!B5</f>
        <v>5.7823408624229902E-8</v>
      </c>
      <c r="W137" s="1"/>
      <c r="Y137"/>
      <c r="Z137" t="s">
        <v>89</v>
      </c>
    </row>
    <row r="138" spans="1:26" x14ac:dyDescent="0.25">
      <c r="A138" t="s">
        <v>88</v>
      </c>
      <c r="B138" t="s">
        <v>10</v>
      </c>
      <c r="C138" t="s">
        <v>11</v>
      </c>
      <c r="D138" t="s">
        <v>12</v>
      </c>
      <c r="E138" t="s">
        <v>13</v>
      </c>
      <c r="F138" t="s">
        <v>14</v>
      </c>
      <c r="G138" t="s">
        <v>14</v>
      </c>
      <c r="H138" t="s">
        <v>247</v>
      </c>
      <c r="I138">
        <f>5+2</f>
        <v>7</v>
      </c>
      <c r="J138" t="s">
        <v>46</v>
      </c>
      <c r="K138" t="s">
        <v>46</v>
      </c>
      <c r="L138" t="str">
        <f t="shared" si="15"/>
        <v>Stress</v>
      </c>
      <c r="Q138" t="s">
        <v>197</v>
      </c>
      <c r="R138" t="s">
        <v>26</v>
      </c>
      <c r="S138" t="s">
        <v>32</v>
      </c>
      <c r="T138" t="s">
        <v>216</v>
      </c>
      <c r="V138" s="1">
        <f>'[16]Katsuhara&amp;Shibasaka_2007_Fig2'!B6</f>
        <v>6.5051334702258697E-8</v>
      </c>
      <c r="W138" s="1"/>
      <c r="Y138"/>
      <c r="Z138" t="s">
        <v>89</v>
      </c>
    </row>
    <row r="139" spans="1:26" x14ac:dyDescent="0.25">
      <c r="A139" t="s">
        <v>90</v>
      </c>
      <c r="B139" t="s">
        <v>20</v>
      </c>
      <c r="C139" t="s">
        <v>21</v>
      </c>
      <c r="D139" t="s">
        <v>12</v>
      </c>
      <c r="E139" t="s">
        <v>15</v>
      </c>
      <c r="F139" t="s">
        <v>16</v>
      </c>
      <c r="G139" t="s">
        <v>16</v>
      </c>
      <c r="H139" t="s">
        <v>247</v>
      </c>
      <c r="I139">
        <f>6+1</f>
        <v>7</v>
      </c>
      <c r="J139" t="s">
        <v>194</v>
      </c>
      <c r="K139" t="s">
        <v>17</v>
      </c>
      <c r="L139" t="str">
        <f t="shared" si="15"/>
        <v>Control</v>
      </c>
      <c r="Q139" t="s">
        <v>197</v>
      </c>
      <c r="R139" t="s">
        <v>30</v>
      </c>
      <c r="S139" t="s">
        <v>32</v>
      </c>
      <c r="T139" t="s">
        <v>215</v>
      </c>
      <c r="V139" s="1">
        <f>[17]Fan_etal_2007_Fig1!C2</f>
        <v>1.0654827968923417E-7</v>
      </c>
      <c r="Y139"/>
      <c r="Z139" t="s">
        <v>53</v>
      </c>
    </row>
    <row r="140" spans="1:26" x14ac:dyDescent="0.25">
      <c r="A140" t="s">
        <v>90</v>
      </c>
      <c r="B140" t="s">
        <v>20</v>
      </c>
      <c r="C140" t="s">
        <v>21</v>
      </c>
      <c r="D140" t="s">
        <v>12</v>
      </c>
      <c r="E140" t="s">
        <v>15</v>
      </c>
      <c r="F140" t="s">
        <v>16</v>
      </c>
      <c r="G140" t="s">
        <v>16</v>
      </c>
      <c r="H140" t="s">
        <v>247</v>
      </c>
      <c r="I140">
        <f>6+4</f>
        <v>10</v>
      </c>
      <c r="J140" t="s">
        <v>194</v>
      </c>
      <c r="K140" t="s">
        <v>17</v>
      </c>
      <c r="L140" t="str">
        <f t="shared" si="15"/>
        <v>Control</v>
      </c>
      <c r="Q140" t="s">
        <v>197</v>
      </c>
      <c r="R140" t="s">
        <v>30</v>
      </c>
      <c r="S140" t="s">
        <v>32</v>
      </c>
      <c r="T140" t="s">
        <v>215</v>
      </c>
      <c r="V140" s="1">
        <f>[17]Fan_etal_2007_Fig1!C3</f>
        <v>1.798002219755825E-7</v>
      </c>
      <c r="Y140"/>
      <c r="Z140" t="s">
        <v>53</v>
      </c>
    </row>
    <row r="141" spans="1:26" x14ac:dyDescent="0.25">
      <c r="A141" t="s">
        <v>90</v>
      </c>
      <c r="B141" t="s">
        <v>20</v>
      </c>
      <c r="C141" t="s">
        <v>21</v>
      </c>
      <c r="D141" t="s">
        <v>12</v>
      </c>
      <c r="E141" t="s">
        <v>15</v>
      </c>
      <c r="F141" t="s">
        <v>16</v>
      </c>
      <c r="G141" t="s">
        <v>16</v>
      </c>
      <c r="H141" t="s">
        <v>247</v>
      </c>
      <c r="I141">
        <f>6+8</f>
        <v>14</v>
      </c>
      <c r="J141" t="s">
        <v>194</v>
      </c>
      <c r="K141" t="s">
        <v>17</v>
      </c>
      <c r="L141" t="str">
        <f t="shared" si="15"/>
        <v>Control</v>
      </c>
      <c r="Q141" t="s">
        <v>197</v>
      </c>
      <c r="R141" t="s">
        <v>30</v>
      </c>
      <c r="S141" t="s">
        <v>32</v>
      </c>
      <c r="T141" t="s">
        <v>215</v>
      </c>
      <c r="V141" s="1">
        <f>[17]Fan_etal_2007_Fig1!C4</f>
        <v>2.5823159452460219E-7</v>
      </c>
      <c r="Y141"/>
      <c r="Z141" t="s">
        <v>53</v>
      </c>
    </row>
    <row r="142" spans="1:26" x14ac:dyDescent="0.25">
      <c r="A142" t="s">
        <v>90</v>
      </c>
      <c r="B142" t="s">
        <v>20</v>
      </c>
      <c r="C142" t="s">
        <v>21</v>
      </c>
      <c r="D142" t="s">
        <v>12</v>
      </c>
      <c r="E142" t="s">
        <v>15</v>
      </c>
      <c r="F142" t="s">
        <v>16</v>
      </c>
      <c r="G142" t="s">
        <v>16</v>
      </c>
      <c r="H142" t="s">
        <v>247</v>
      </c>
      <c r="I142">
        <f>6+12</f>
        <v>18</v>
      </c>
      <c r="J142" t="s">
        <v>194</v>
      </c>
      <c r="K142" t="s">
        <v>17</v>
      </c>
      <c r="L142" t="str">
        <f t="shared" si="15"/>
        <v>Control</v>
      </c>
      <c r="Q142" t="s">
        <v>197</v>
      </c>
      <c r="R142" t="s">
        <v>30</v>
      </c>
      <c r="S142" t="s">
        <v>32</v>
      </c>
      <c r="T142" t="s">
        <v>215</v>
      </c>
      <c r="V142" s="1">
        <f>[17]Fan_etal_2007_Fig1!C5</f>
        <v>2.2937476877543442E-7</v>
      </c>
      <c r="Y142"/>
      <c r="Z142" t="s">
        <v>53</v>
      </c>
    </row>
    <row r="143" spans="1:26" x14ac:dyDescent="0.25">
      <c r="A143" t="s">
        <v>90</v>
      </c>
      <c r="B143" t="s">
        <v>20</v>
      </c>
      <c r="C143" t="s">
        <v>21</v>
      </c>
      <c r="D143" t="s">
        <v>12</v>
      </c>
      <c r="E143" t="s">
        <v>15</v>
      </c>
      <c r="F143" t="s">
        <v>16</v>
      </c>
      <c r="G143" t="s">
        <v>16</v>
      </c>
      <c r="H143" t="s">
        <v>247</v>
      </c>
      <c r="I143">
        <f t="shared" ref="I143:I146" si="16">I139</f>
        <v>7</v>
      </c>
      <c r="J143" t="s">
        <v>194</v>
      </c>
      <c r="K143" t="s">
        <v>84</v>
      </c>
      <c r="L143" t="str">
        <f t="shared" si="15"/>
        <v>Stress</v>
      </c>
      <c r="Q143" t="s">
        <v>197</v>
      </c>
      <c r="R143" t="s">
        <v>30</v>
      </c>
      <c r="S143" t="s">
        <v>32</v>
      </c>
      <c r="T143" t="s">
        <v>215</v>
      </c>
      <c r="V143" s="1">
        <f>[17]Fan_etal_2007_Fig1!C6</f>
        <v>9.5449500554938887E-8</v>
      </c>
      <c r="Y143"/>
      <c r="Z143" t="s">
        <v>53</v>
      </c>
    </row>
    <row r="144" spans="1:26" x14ac:dyDescent="0.25">
      <c r="A144" t="s">
        <v>90</v>
      </c>
      <c r="B144" t="s">
        <v>20</v>
      </c>
      <c r="C144" t="s">
        <v>21</v>
      </c>
      <c r="D144" t="s">
        <v>12</v>
      </c>
      <c r="E144" t="s">
        <v>15</v>
      </c>
      <c r="F144" t="s">
        <v>16</v>
      </c>
      <c r="G144" t="s">
        <v>16</v>
      </c>
      <c r="H144" t="s">
        <v>247</v>
      </c>
      <c r="I144">
        <f t="shared" si="16"/>
        <v>10</v>
      </c>
      <c r="J144" t="s">
        <v>194</v>
      </c>
      <c r="K144" t="s">
        <v>84</v>
      </c>
      <c r="L144" t="str">
        <f t="shared" si="15"/>
        <v>Stress</v>
      </c>
      <c r="Q144" t="s">
        <v>197</v>
      </c>
      <c r="R144" t="s">
        <v>30</v>
      </c>
      <c r="S144" t="s">
        <v>32</v>
      </c>
      <c r="T144" t="s">
        <v>215</v>
      </c>
      <c r="V144" s="1">
        <f>[17]Fan_etal_2007_Fig1!C7</f>
        <v>1.5094339622641499E-7</v>
      </c>
      <c r="Y144"/>
      <c r="Z144" t="s">
        <v>53</v>
      </c>
    </row>
    <row r="145" spans="1:26" x14ac:dyDescent="0.25">
      <c r="A145" t="s">
        <v>90</v>
      </c>
      <c r="B145" t="s">
        <v>20</v>
      </c>
      <c r="C145" t="s">
        <v>21</v>
      </c>
      <c r="D145" t="s">
        <v>12</v>
      </c>
      <c r="E145" t="s">
        <v>15</v>
      </c>
      <c r="F145" t="s">
        <v>16</v>
      </c>
      <c r="G145" t="s">
        <v>16</v>
      </c>
      <c r="H145" t="s">
        <v>247</v>
      </c>
      <c r="I145">
        <f t="shared" si="16"/>
        <v>14</v>
      </c>
      <c r="J145" t="s">
        <v>194</v>
      </c>
      <c r="K145" t="s">
        <v>84</v>
      </c>
      <c r="L145" t="str">
        <f t="shared" si="15"/>
        <v>Stress</v>
      </c>
      <c r="Q145" t="s">
        <v>197</v>
      </c>
      <c r="R145" t="s">
        <v>30</v>
      </c>
      <c r="S145" t="s">
        <v>32</v>
      </c>
      <c r="T145" t="s">
        <v>215</v>
      </c>
      <c r="V145" s="1">
        <f>[17]Fan_etal_2007_Fig1!C8</f>
        <v>1.4280429152793166E-7</v>
      </c>
      <c r="Y145"/>
      <c r="Z145" t="s">
        <v>53</v>
      </c>
    </row>
    <row r="146" spans="1:26" x14ac:dyDescent="0.25">
      <c r="A146" t="s">
        <v>90</v>
      </c>
      <c r="B146" t="s">
        <v>20</v>
      </c>
      <c r="C146" t="s">
        <v>21</v>
      </c>
      <c r="D146" t="s">
        <v>12</v>
      </c>
      <c r="E146" t="s">
        <v>15</v>
      </c>
      <c r="F146" t="s">
        <v>16</v>
      </c>
      <c r="G146" t="s">
        <v>16</v>
      </c>
      <c r="H146" t="s">
        <v>247</v>
      </c>
      <c r="I146">
        <f t="shared" si="16"/>
        <v>18</v>
      </c>
      <c r="J146" t="s">
        <v>194</v>
      </c>
      <c r="K146" t="s">
        <v>84</v>
      </c>
      <c r="L146" t="str">
        <f t="shared" si="15"/>
        <v>Stress</v>
      </c>
      <c r="Q146" t="s">
        <v>197</v>
      </c>
      <c r="R146" t="s">
        <v>30</v>
      </c>
      <c r="S146" t="s">
        <v>32</v>
      </c>
      <c r="T146" t="s">
        <v>215</v>
      </c>
      <c r="V146" s="1">
        <f>[17]Fan_etal_2007_Fig1!C9</f>
        <v>1.3688494265630778E-7</v>
      </c>
      <c r="Y146"/>
      <c r="Z146" t="s">
        <v>53</v>
      </c>
    </row>
    <row r="147" spans="1:26" x14ac:dyDescent="0.25">
      <c r="A147" t="s">
        <v>91</v>
      </c>
      <c r="B147" t="s">
        <v>92</v>
      </c>
      <c r="C147" t="s">
        <v>94</v>
      </c>
      <c r="D147" t="s">
        <v>95</v>
      </c>
      <c r="E147" t="s">
        <v>13</v>
      </c>
      <c r="F147" t="s">
        <v>96</v>
      </c>
      <c r="G147" t="s">
        <v>221</v>
      </c>
      <c r="H147" t="s">
        <v>248</v>
      </c>
      <c r="I147">
        <f>+AVERAGE(10,14)</f>
        <v>12</v>
      </c>
      <c r="Q147" t="s">
        <v>197</v>
      </c>
      <c r="R147" t="s">
        <v>99</v>
      </c>
      <c r="S147" t="s">
        <v>32</v>
      </c>
      <c r="T147" t="s">
        <v>215</v>
      </c>
      <c r="V147" s="1">
        <f>[18]Bramley_etal_2007_Fig4!B2</f>
        <v>1.77503974562798E-7</v>
      </c>
      <c r="Y147"/>
      <c r="Z147" t="s">
        <v>97</v>
      </c>
    </row>
    <row r="148" spans="1:26" x14ac:dyDescent="0.25">
      <c r="A148" t="s">
        <v>91</v>
      </c>
      <c r="B148" t="s">
        <v>92</v>
      </c>
      <c r="C148" t="s">
        <v>94</v>
      </c>
      <c r="D148" t="s">
        <v>95</v>
      </c>
      <c r="E148" t="s">
        <v>13</v>
      </c>
      <c r="F148" t="s">
        <v>96</v>
      </c>
      <c r="G148" t="s">
        <v>221</v>
      </c>
      <c r="H148" t="s">
        <v>248</v>
      </c>
      <c r="I148">
        <f t="shared" ref="I148:I158" si="17">+AVERAGE(10,14)</f>
        <v>12</v>
      </c>
      <c r="Q148" t="s">
        <v>197</v>
      </c>
      <c r="R148" t="s">
        <v>99</v>
      </c>
      <c r="S148" t="s">
        <v>32</v>
      </c>
      <c r="T148" t="s">
        <v>215</v>
      </c>
      <c r="V148" s="1">
        <f>[18]Bramley_etal_2007_Fig4!B3</f>
        <v>4.8410174880763001E-8</v>
      </c>
      <c r="Y148"/>
      <c r="Z148" t="s">
        <v>98</v>
      </c>
    </row>
    <row r="149" spans="1:26" x14ac:dyDescent="0.25">
      <c r="A149" t="s">
        <v>91</v>
      </c>
      <c r="B149" t="s">
        <v>92</v>
      </c>
      <c r="C149" t="s">
        <v>94</v>
      </c>
      <c r="D149" t="s">
        <v>95</v>
      </c>
      <c r="E149" t="s">
        <v>13</v>
      </c>
      <c r="F149" t="s">
        <v>96</v>
      </c>
      <c r="G149" t="s">
        <v>221</v>
      </c>
      <c r="H149" t="s">
        <v>248</v>
      </c>
      <c r="I149">
        <f t="shared" si="17"/>
        <v>12</v>
      </c>
      <c r="Q149" t="s">
        <v>197</v>
      </c>
      <c r="R149" t="s">
        <v>99</v>
      </c>
      <c r="S149" t="s">
        <v>32</v>
      </c>
      <c r="T149" t="s">
        <v>216</v>
      </c>
      <c r="V149" s="1">
        <f>[18]Bramley_etal_2007_Fig4!B4</f>
        <v>2.05882352941176E-8</v>
      </c>
      <c r="Y149"/>
      <c r="Z149" t="s">
        <v>97</v>
      </c>
    </row>
    <row r="150" spans="1:26" x14ac:dyDescent="0.25">
      <c r="A150" t="s">
        <v>91</v>
      </c>
      <c r="B150" t="s">
        <v>93</v>
      </c>
      <c r="C150" t="s">
        <v>94</v>
      </c>
      <c r="D150" t="s">
        <v>95</v>
      </c>
      <c r="E150" t="s">
        <v>13</v>
      </c>
      <c r="F150" t="s">
        <v>96</v>
      </c>
      <c r="G150" t="s">
        <v>221</v>
      </c>
      <c r="H150" t="s">
        <v>248</v>
      </c>
      <c r="I150">
        <f t="shared" si="17"/>
        <v>12</v>
      </c>
      <c r="Q150" t="s">
        <v>197</v>
      </c>
      <c r="R150" t="s">
        <v>99</v>
      </c>
      <c r="S150" t="s">
        <v>32</v>
      </c>
      <c r="T150" t="s">
        <v>215</v>
      </c>
      <c r="V150" s="1">
        <f>[18]Bramley_etal_2007_Fig4!B5</f>
        <v>1.5969793322734399E-7</v>
      </c>
      <c r="Y150"/>
      <c r="Z150" t="s">
        <v>97</v>
      </c>
    </row>
    <row r="151" spans="1:26" x14ac:dyDescent="0.25">
      <c r="A151" t="s">
        <v>91</v>
      </c>
      <c r="B151" t="s">
        <v>93</v>
      </c>
      <c r="C151" t="s">
        <v>94</v>
      </c>
      <c r="D151" t="s">
        <v>95</v>
      </c>
      <c r="E151" t="s">
        <v>13</v>
      </c>
      <c r="F151" t="s">
        <v>96</v>
      </c>
      <c r="G151" t="s">
        <v>221</v>
      </c>
      <c r="H151" t="s">
        <v>248</v>
      </c>
      <c r="I151">
        <f t="shared" si="17"/>
        <v>12</v>
      </c>
      <c r="Q151" t="s">
        <v>197</v>
      </c>
      <c r="R151" t="s">
        <v>99</v>
      </c>
      <c r="S151" t="s">
        <v>32</v>
      </c>
      <c r="T151" t="s">
        <v>215</v>
      </c>
      <c r="V151" s="1">
        <f>[18]Bramley_etal_2007_Fig4!B6</f>
        <v>6.0651828298887094E-8</v>
      </c>
      <c r="Y151"/>
      <c r="Z151" t="s">
        <v>98</v>
      </c>
    </row>
    <row r="152" spans="1:26" x14ac:dyDescent="0.25">
      <c r="A152" t="s">
        <v>91</v>
      </c>
      <c r="B152" t="s">
        <v>93</v>
      </c>
      <c r="C152" t="s">
        <v>94</v>
      </c>
      <c r="D152" t="s">
        <v>95</v>
      </c>
      <c r="E152" t="s">
        <v>13</v>
      </c>
      <c r="F152" t="s">
        <v>96</v>
      </c>
      <c r="G152" t="s">
        <v>221</v>
      </c>
      <c r="H152" t="s">
        <v>248</v>
      </c>
      <c r="I152">
        <f t="shared" si="17"/>
        <v>12</v>
      </c>
      <c r="Q152" t="s">
        <v>197</v>
      </c>
      <c r="R152" t="s">
        <v>99</v>
      </c>
      <c r="S152" t="s">
        <v>32</v>
      </c>
      <c r="T152" t="s">
        <v>216</v>
      </c>
      <c r="V152" s="1">
        <f>[18]Bramley_etal_2007_Fig4!B7</f>
        <v>2.61526232114466E-8</v>
      </c>
      <c r="Y152"/>
      <c r="Z152" t="s">
        <v>97</v>
      </c>
    </row>
    <row r="153" spans="1:26" x14ac:dyDescent="0.25">
      <c r="A153" t="s">
        <v>91</v>
      </c>
      <c r="B153" t="s">
        <v>43</v>
      </c>
      <c r="C153" t="s">
        <v>44</v>
      </c>
      <c r="D153" t="s">
        <v>12</v>
      </c>
      <c r="E153" t="s">
        <v>13</v>
      </c>
      <c r="F153" t="s">
        <v>14</v>
      </c>
      <c r="G153" t="s">
        <v>14</v>
      </c>
      <c r="H153" t="s">
        <v>247</v>
      </c>
      <c r="I153">
        <f t="shared" si="17"/>
        <v>12</v>
      </c>
      <c r="Q153" t="s">
        <v>197</v>
      </c>
      <c r="R153" t="s">
        <v>26</v>
      </c>
      <c r="S153" t="s">
        <v>32</v>
      </c>
      <c r="T153" t="s">
        <v>215</v>
      </c>
      <c r="V153" s="1">
        <f>[18]Bramley_etal_2007_Fig4!B8</f>
        <v>1.9197138314785299E-7</v>
      </c>
      <c r="Y153"/>
      <c r="Z153" t="s">
        <v>97</v>
      </c>
    </row>
    <row r="154" spans="1:26" x14ac:dyDescent="0.25">
      <c r="A154" t="s">
        <v>91</v>
      </c>
      <c r="B154" t="s">
        <v>43</v>
      </c>
      <c r="C154" t="s">
        <v>44</v>
      </c>
      <c r="D154" t="s">
        <v>12</v>
      </c>
      <c r="E154" t="s">
        <v>13</v>
      </c>
      <c r="F154" t="s">
        <v>14</v>
      </c>
      <c r="G154" t="s">
        <v>14</v>
      </c>
      <c r="H154" t="s">
        <v>247</v>
      </c>
      <c r="I154">
        <f t="shared" si="17"/>
        <v>12</v>
      </c>
      <c r="Q154" t="s">
        <v>197</v>
      </c>
      <c r="R154" t="s">
        <v>26</v>
      </c>
      <c r="S154" t="s">
        <v>32</v>
      </c>
      <c r="T154" t="s">
        <v>215</v>
      </c>
      <c r="V154" s="1">
        <f>[18]Bramley_etal_2007_Fig4!B9</f>
        <v>8.0127186009538901E-8</v>
      </c>
      <c r="Y154"/>
      <c r="Z154" t="s">
        <v>98</v>
      </c>
    </row>
    <row r="155" spans="1:26" x14ac:dyDescent="0.25">
      <c r="A155" t="s">
        <v>91</v>
      </c>
      <c r="B155" t="s">
        <v>43</v>
      </c>
      <c r="C155" t="s">
        <v>44</v>
      </c>
      <c r="D155" t="s">
        <v>12</v>
      </c>
      <c r="E155" t="s">
        <v>13</v>
      </c>
      <c r="F155" t="s">
        <v>14</v>
      </c>
      <c r="G155" t="s">
        <v>14</v>
      </c>
      <c r="H155" t="s">
        <v>247</v>
      </c>
      <c r="I155">
        <f t="shared" si="17"/>
        <v>12</v>
      </c>
      <c r="Q155" t="s">
        <v>197</v>
      </c>
      <c r="R155" t="s">
        <v>26</v>
      </c>
      <c r="S155" t="s">
        <v>32</v>
      </c>
      <c r="T155" t="s">
        <v>216</v>
      </c>
      <c r="V155" s="1">
        <f>[18]Bramley_etal_2007_Fig4!B10</f>
        <v>8.1240063593004704E-8</v>
      </c>
      <c r="Y155"/>
      <c r="Z155" t="s">
        <v>97</v>
      </c>
    </row>
    <row r="156" spans="1:26" x14ac:dyDescent="0.25">
      <c r="A156" t="s">
        <v>91</v>
      </c>
      <c r="B156" t="s">
        <v>20</v>
      </c>
      <c r="C156" t="s">
        <v>21</v>
      </c>
      <c r="D156" t="s">
        <v>12</v>
      </c>
      <c r="E156" t="s">
        <v>15</v>
      </c>
      <c r="F156" t="s">
        <v>16</v>
      </c>
      <c r="G156" t="s">
        <v>16</v>
      </c>
      <c r="H156" t="s">
        <v>247</v>
      </c>
      <c r="I156">
        <f t="shared" si="17"/>
        <v>12</v>
      </c>
      <c r="Q156" t="s">
        <v>197</v>
      </c>
      <c r="R156" t="s">
        <v>26</v>
      </c>
      <c r="S156" t="s">
        <v>32</v>
      </c>
      <c r="T156" t="s">
        <v>215</v>
      </c>
      <c r="V156" s="1">
        <f>[18]Bramley_etal_2007_Fig4!B11</f>
        <v>3.2774244833068302E-7</v>
      </c>
      <c r="Y156"/>
      <c r="Z156" t="s">
        <v>97</v>
      </c>
    </row>
    <row r="157" spans="1:26" x14ac:dyDescent="0.25">
      <c r="A157" t="s">
        <v>91</v>
      </c>
      <c r="B157" t="s">
        <v>20</v>
      </c>
      <c r="C157" t="s">
        <v>21</v>
      </c>
      <c r="D157" t="s">
        <v>12</v>
      </c>
      <c r="E157" t="s">
        <v>15</v>
      </c>
      <c r="F157" t="s">
        <v>16</v>
      </c>
      <c r="G157" t="s">
        <v>16</v>
      </c>
      <c r="H157" t="s">
        <v>247</v>
      </c>
      <c r="I157">
        <f t="shared" si="17"/>
        <v>12</v>
      </c>
      <c r="Q157" t="s">
        <v>197</v>
      </c>
      <c r="R157" t="s">
        <v>26</v>
      </c>
      <c r="S157" t="s">
        <v>32</v>
      </c>
      <c r="T157" t="s">
        <v>215</v>
      </c>
      <c r="V157" s="1">
        <f>[18]Bramley_etal_2007_Fig4!B12</f>
        <v>1.5023847376788499E-7</v>
      </c>
      <c r="Y157"/>
      <c r="Z157" t="s">
        <v>98</v>
      </c>
    </row>
    <row r="158" spans="1:26" x14ac:dyDescent="0.25">
      <c r="A158" t="s">
        <v>91</v>
      </c>
      <c r="B158" t="s">
        <v>20</v>
      </c>
      <c r="C158" t="s">
        <v>21</v>
      </c>
      <c r="D158" t="s">
        <v>12</v>
      </c>
      <c r="E158" t="s">
        <v>15</v>
      </c>
      <c r="F158" t="s">
        <v>16</v>
      </c>
      <c r="G158" t="s">
        <v>16</v>
      </c>
      <c r="H158" t="s">
        <v>247</v>
      </c>
      <c r="I158">
        <f t="shared" si="17"/>
        <v>12</v>
      </c>
      <c r="Q158" t="s">
        <v>197</v>
      </c>
      <c r="R158" t="s">
        <v>26</v>
      </c>
      <c r="S158" t="s">
        <v>32</v>
      </c>
      <c r="T158" t="s">
        <v>216</v>
      </c>
      <c r="V158" s="1">
        <f>[18]Bramley_etal_2007_Fig4!B13</f>
        <v>3.1717011128775801E-8</v>
      </c>
      <c r="Y158"/>
      <c r="Z158" t="s">
        <v>97</v>
      </c>
    </row>
    <row r="159" spans="1:26" x14ac:dyDescent="0.25">
      <c r="A159" t="s">
        <v>82</v>
      </c>
      <c r="B159" t="s">
        <v>20</v>
      </c>
      <c r="C159" t="s">
        <v>21</v>
      </c>
      <c r="D159" t="s">
        <v>12</v>
      </c>
      <c r="E159" t="s">
        <v>15</v>
      </c>
      <c r="F159" t="s">
        <v>16</v>
      </c>
      <c r="G159" t="s">
        <v>16</v>
      </c>
      <c r="H159" t="s">
        <v>247</v>
      </c>
      <c r="I159">
        <v>15</v>
      </c>
      <c r="J159" t="s">
        <v>195</v>
      </c>
      <c r="K159" t="s">
        <v>83</v>
      </c>
      <c r="L159" t="str">
        <f t="shared" ref="L159:L172" si="18">+IF(K159="Control","Control","Stress")</f>
        <v>Stress</v>
      </c>
      <c r="M159" t="s">
        <v>17</v>
      </c>
      <c r="N159" t="str">
        <f t="shared" ref="N159:N164" si="19">+IF(M159="Control", "Control", "Stress")</f>
        <v>Control</v>
      </c>
      <c r="Q159" t="s">
        <v>197</v>
      </c>
      <c r="R159" t="s">
        <v>30</v>
      </c>
      <c r="S159" t="s">
        <v>32</v>
      </c>
      <c r="T159" t="s">
        <v>215</v>
      </c>
      <c r="V159" s="1">
        <f>[19]Mu_etal_2006_Fig1a!B2</f>
        <v>9.6649484536082404E-8</v>
      </c>
      <c r="Y159"/>
      <c r="Z159" t="s">
        <v>53</v>
      </c>
    </row>
    <row r="160" spans="1:26" x14ac:dyDescent="0.25">
      <c r="A160" t="s">
        <v>82</v>
      </c>
      <c r="B160" t="s">
        <v>20</v>
      </c>
      <c r="C160" t="s">
        <v>21</v>
      </c>
      <c r="D160" t="s">
        <v>12</v>
      </c>
      <c r="E160" t="s">
        <v>15</v>
      </c>
      <c r="F160" t="s">
        <v>16</v>
      </c>
      <c r="G160" t="s">
        <v>16</v>
      </c>
      <c r="H160" t="s">
        <v>247</v>
      </c>
      <c r="I160">
        <v>15</v>
      </c>
      <c r="J160" t="s">
        <v>195</v>
      </c>
      <c r="K160" t="s">
        <v>83</v>
      </c>
      <c r="L160" t="str">
        <f t="shared" si="18"/>
        <v>Stress</v>
      </c>
      <c r="M160" t="s">
        <v>84</v>
      </c>
      <c r="N160" t="str">
        <f t="shared" si="19"/>
        <v>Stress</v>
      </c>
      <c r="Q160" t="s">
        <v>197</v>
      </c>
      <c r="R160" t="s">
        <v>30</v>
      </c>
      <c r="S160" t="s">
        <v>32</v>
      </c>
      <c r="T160" t="s">
        <v>215</v>
      </c>
      <c r="V160" s="1">
        <f>[19]Mu_etal_2006_Fig1a!B3</f>
        <v>2.08762886597938E-8</v>
      </c>
      <c r="Y160"/>
      <c r="Z160" t="s">
        <v>53</v>
      </c>
    </row>
    <row r="161" spans="1:26" x14ac:dyDescent="0.25">
      <c r="A161" t="s">
        <v>82</v>
      </c>
      <c r="B161" t="s">
        <v>20</v>
      </c>
      <c r="C161" t="s">
        <v>21</v>
      </c>
      <c r="D161" t="s">
        <v>12</v>
      </c>
      <c r="E161" t="s">
        <v>15</v>
      </c>
      <c r="F161" t="s">
        <v>16</v>
      </c>
      <c r="G161" t="s">
        <v>16</v>
      </c>
      <c r="H161" t="s">
        <v>247</v>
      </c>
      <c r="I161">
        <v>15</v>
      </c>
      <c r="J161" t="s">
        <v>195</v>
      </c>
      <c r="K161" t="s">
        <v>83</v>
      </c>
      <c r="L161" t="str">
        <f t="shared" si="18"/>
        <v>Stress</v>
      </c>
      <c r="M161" t="s">
        <v>85</v>
      </c>
      <c r="N161" t="str">
        <f t="shared" si="19"/>
        <v>Stress</v>
      </c>
      <c r="Q161" t="s">
        <v>197</v>
      </c>
      <c r="R161" t="s">
        <v>30</v>
      </c>
      <c r="S161" t="s">
        <v>32</v>
      </c>
      <c r="T161" t="s">
        <v>215</v>
      </c>
      <c r="V161" s="1">
        <f>[19]Mu_etal_2006_Fig1a!B4</f>
        <v>4.21391752577319E-8</v>
      </c>
      <c r="Y161"/>
      <c r="Z161" t="s">
        <v>53</v>
      </c>
    </row>
    <row r="162" spans="1:26" x14ac:dyDescent="0.25">
      <c r="A162" t="s">
        <v>82</v>
      </c>
      <c r="B162" t="s">
        <v>20</v>
      </c>
      <c r="C162" t="s">
        <v>21</v>
      </c>
      <c r="D162" t="s">
        <v>12</v>
      </c>
      <c r="E162" t="s">
        <v>15</v>
      </c>
      <c r="F162" t="s">
        <v>16</v>
      </c>
      <c r="G162" t="s">
        <v>16</v>
      </c>
      <c r="H162" t="s">
        <v>247</v>
      </c>
      <c r="I162">
        <v>15</v>
      </c>
      <c r="J162" t="s">
        <v>195</v>
      </c>
      <c r="K162" t="s">
        <v>17</v>
      </c>
      <c r="L162" t="str">
        <f t="shared" si="18"/>
        <v>Control</v>
      </c>
      <c r="M162" t="s">
        <v>17</v>
      </c>
      <c r="N162" t="str">
        <f t="shared" si="19"/>
        <v>Control</v>
      </c>
      <c r="Q162" t="s">
        <v>197</v>
      </c>
      <c r="R162" t="s">
        <v>30</v>
      </c>
      <c r="S162" t="s">
        <v>32</v>
      </c>
      <c r="T162" t="s">
        <v>215</v>
      </c>
      <c r="V162" s="1">
        <f>[19]Mu_etal_2006_Fig1a!B5</f>
        <v>1.99097938144329E-7</v>
      </c>
      <c r="Y162"/>
      <c r="Z162" t="s">
        <v>53</v>
      </c>
    </row>
    <row r="163" spans="1:26" x14ac:dyDescent="0.25">
      <c r="A163" t="s">
        <v>82</v>
      </c>
      <c r="B163" t="s">
        <v>20</v>
      </c>
      <c r="C163" t="s">
        <v>21</v>
      </c>
      <c r="D163" t="s">
        <v>12</v>
      </c>
      <c r="E163" t="s">
        <v>15</v>
      </c>
      <c r="F163" t="s">
        <v>16</v>
      </c>
      <c r="G163" t="s">
        <v>16</v>
      </c>
      <c r="H163" t="s">
        <v>247</v>
      </c>
      <c r="I163">
        <v>15</v>
      </c>
      <c r="J163" t="s">
        <v>195</v>
      </c>
      <c r="K163" t="s">
        <v>17</v>
      </c>
      <c r="L163" t="str">
        <f t="shared" si="18"/>
        <v>Control</v>
      </c>
      <c r="M163" t="s">
        <v>84</v>
      </c>
      <c r="N163" t="str">
        <f t="shared" si="19"/>
        <v>Stress</v>
      </c>
      <c r="Q163" t="s">
        <v>197</v>
      </c>
      <c r="R163" t="s">
        <v>30</v>
      </c>
      <c r="S163" t="s">
        <v>32</v>
      </c>
      <c r="T163" t="s">
        <v>215</v>
      </c>
      <c r="V163" s="1">
        <f>[19]Mu_etal_2006_Fig1a!B6</f>
        <v>3.6340206185566899E-8</v>
      </c>
      <c r="Y163"/>
      <c r="Z163" t="s">
        <v>53</v>
      </c>
    </row>
    <row r="164" spans="1:26" x14ac:dyDescent="0.25">
      <c r="A164" t="s">
        <v>82</v>
      </c>
      <c r="B164" t="s">
        <v>20</v>
      </c>
      <c r="C164" t="s">
        <v>21</v>
      </c>
      <c r="D164" t="s">
        <v>12</v>
      </c>
      <c r="E164" t="s">
        <v>15</v>
      </c>
      <c r="F164" t="s">
        <v>16</v>
      </c>
      <c r="G164" t="s">
        <v>16</v>
      </c>
      <c r="H164" t="s">
        <v>247</v>
      </c>
      <c r="I164">
        <v>15</v>
      </c>
      <c r="J164" t="s">
        <v>195</v>
      </c>
      <c r="K164" t="s">
        <v>17</v>
      </c>
      <c r="L164" t="str">
        <f t="shared" si="18"/>
        <v>Control</v>
      </c>
      <c r="M164" t="s">
        <v>85</v>
      </c>
      <c r="N164" t="str">
        <f t="shared" si="19"/>
        <v>Stress</v>
      </c>
      <c r="Q164" t="s">
        <v>197</v>
      </c>
      <c r="R164" t="s">
        <v>30</v>
      </c>
      <c r="S164" t="s">
        <v>32</v>
      </c>
      <c r="T164" t="s">
        <v>215</v>
      </c>
      <c r="V164" s="1">
        <f>[19]Mu_etal_2006_Fig1a!B7</f>
        <v>7.5773195876288597E-8</v>
      </c>
      <c r="Y164"/>
      <c r="Z164" t="s">
        <v>53</v>
      </c>
    </row>
    <row r="165" spans="1:26" x14ac:dyDescent="0.25">
      <c r="A165" t="s">
        <v>181</v>
      </c>
      <c r="B165" t="s">
        <v>182</v>
      </c>
      <c r="C165" t="s">
        <v>11</v>
      </c>
      <c r="D165" t="s">
        <v>12</v>
      </c>
      <c r="E165" t="s">
        <v>13</v>
      </c>
      <c r="F165" t="s">
        <v>14</v>
      </c>
      <c r="G165" t="s">
        <v>14</v>
      </c>
      <c r="H165" t="s">
        <v>247</v>
      </c>
      <c r="I165">
        <f>15+AVERAGE(21,27)</f>
        <v>39</v>
      </c>
      <c r="J165" t="s">
        <v>179</v>
      </c>
      <c r="K165" t="s">
        <v>17</v>
      </c>
      <c r="L165" t="str">
        <f t="shared" si="18"/>
        <v>Control</v>
      </c>
      <c r="Q165" t="s">
        <v>197</v>
      </c>
      <c r="R165" t="s">
        <v>45</v>
      </c>
      <c r="S165" t="s">
        <v>32</v>
      </c>
      <c r="T165" t="s">
        <v>215</v>
      </c>
      <c r="V165" s="1">
        <v>5.2000000000000002E-8</v>
      </c>
      <c r="X165">
        <f>+AVERAGE(10,14)</f>
        <v>12</v>
      </c>
      <c r="Y165"/>
      <c r="Z165" t="s">
        <v>22</v>
      </c>
    </row>
    <row r="166" spans="1:26" x14ac:dyDescent="0.25">
      <c r="A166" t="s">
        <v>181</v>
      </c>
      <c r="B166" t="s">
        <v>182</v>
      </c>
      <c r="C166" t="s">
        <v>11</v>
      </c>
      <c r="D166" t="s">
        <v>12</v>
      </c>
      <c r="E166" t="s">
        <v>13</v>
      </c>
      <c r="F166" t="s">
        <v>14</v>
      </c>
      <c r="G166" t="s">
        <v>14</v>
      </c>
      <c r="H166" t="s">
        <v>247</v>
      </c>
      <c r="I166">
        <f t="shared" ref="I166:I172" si="20">15+AVERAGE(21,27)</f>
        <v>39</v>
      </c>
      <c r="J166" t="s">
        <v>179</v>
      </c>
      <c r="K166" t="s">
        <v>180</v>
      </c>
      <c r="L166" t="str">
        <f t="shared" si="18"/>
        <v>Stress</v>
      </c>
      <c r="Q166" t="s">
        <v>197</v>
      </c>
      <c r="R166" t="s">
        <v>45</v>
      </c>
      <c r="S166" t="s">
        <v>32</v>
      </c>
      <c r="T166" t="s">
        <v>215</v>
      </c>
      <c r="V166" s="1">
        <v>5.5999999999999999E-8</v>
      </c>
      <c r="X166">
        <f t="shared" ref="X166:X172" si="21">+AVERAGE(10,14)</f>
        <v>12</v>
      </c>
      <c r="Y166"/>
      <c r="Z166" t="s">
        <v>22</v>
      </c>
    </row>
    <row r="167" spans="1:26" x14ac:dyDescent="0.25">
      <c r="A167" t="s">
        <v>181</v>
      </c>
      <c r="B167" t="s">
        <v>43</v>
      </c>
      <c r="C167" t="s">
        <v>44</v>
      </c>
      <c r="D167" t="s">
        <v>12</v>
      </c>
      <c r="E167" t="s">
        <v>13</v>
      </c>
      <c r="F167" t="s">
        <v>14</v>
      </c>
      <c r="G167" t="s">
        <v>14</v>
      </c>
      <c r="H167" t="s">
        <v>247</v>
      </c>
      <c r="I167">
        <f t="shared" si="20"/>
        <v>39</v>
      </c>
      <c r="J167" t="s">
        <v>179</v>
      </c>
      <c r="K167" t="s">
        <v>17</v>
      </c>
      <c r="L167" t="str">
        <f t="shared" si="18"/>
        <v>Control</v>
      </c>
      <c r="Q167" t="s">
        <v>197</v>
      </c>
      <c r="R167" t="s">
        <v>45</v>
      </c>
      <c r="S167" t="s">
        <v>32</v>
      </c>
      <c r="T167" t="s">
        <v>215</v>
      </c>
      <c r="V167" s="1">
        <v>9.3000000000000012E-8</v>
      </c>
      <c r="X167">
        <f t="shared" si="21"/>
        <v>12</v>
      </c>
      <c r="Y167"/>
      <c r="Z167" t="s">
        <v>22</v>
      </c>
    </row>
    <row r="168" spans="1:26" x14ac:dyDescent="0.25">
      <c r="A168" t="s">
        <v>181</v>
      </c>
      <c r="B168" t="s">
        <v>43</v>
      </c>
      <c r="C168" t="s">
        <v>44</v>
      </c>
      <c r="D168" t="s">
        <v>12</v>
      </c>
      <c r="E168" t="s">
        <v>13</v>
      </c>
      <c r="F168" t="s">
        <v>14</v>
      </c>
      <c r="G168" t="s">
        <v>14</v>
      </c>
      <c r="H168" t="s">
        <v>247</v>
      </c>
      <c r="I168">
        <f t="shared" si="20"/>
        <v>39</v>
      </c>
      <c r="J168" t="s">
        <v>179</v>
      </c>
      <c r="K168" t="s">
        <v>180</v>
      </c>
      <c r="L168" t="str">
        <f t="shared" si="18"/>
        <v>Stress</v>
      </c>
      <c r="Q168" t="s">
        <v>197</v>
      </c>
      <c r="R168" t="s">
        <v>45</v>
      </c>
      <c r="S168" t="s">
        <v>32</v>
      </c>
      <c r="T168" t="s">
        <v>215</v>
      </c>
      <c r="V168" s="1">
        <v>8.6000000000000002E-8</v>
      </c>
      <c r="X168">
        <f t="shared" si="21"/>
        <v>12</v>
      </c>
      <c r="Y168"/>
      <c r="Z168" t="s">
        <v>22</v>
      </c>
    </row>
    <row r="169" spans="1:26" x14ac:dyDescent="0.25">
      <c r="A169" t="s">
        <v>181</v>
      </c>
      <c r="B169" t="s">
        <v>182</v>
      </c>
      <c r="C169" t="s">
        <v>11</v>
      </c>
      <c r="D169" t="s">
        <v>12</v>
      </c>
      <c r="E169" t="s">
        <v>13</v>
      </c>
      <c r="F169" t="s">
        <v>14</v>
      </c>
      <c r="G169" t="s">
        <v>14</v>
      </c>
      <c r="H169" t="s">
        <v>247</v>
      </c>
      <c r="I169">
        <f t="shared" si="20"/>
        <v>39</v>
      </c>
      <c r="J169" t="s">
        <v>179</v>
      </c>
      <c r="K169" t="s">
        <v>17</v>
      </c>
      <c r="L169" t="str">
        <f t="shared" si="18"/>
        <v>Control</v>
      </c>
      <c r="Q169" t="s">
        <v>197</v>
      </c>
      <c r="R169" t="s">
        <v>45</v>
      </c>
      <c r="S169" t="s">
        <v>32</v>
      </c>
      <c r="T169" t="s">
        <v>216</v>
      </c>
      <c r="V169" s="1">
        <v>1E-8</v>
      </c>
      <c r="X169">
        <f t="shared" si="21"/>
        <v>12</v>
      </c>
      <c r="Y169"/>
      <c r="Z169" t="s">
        <v>22</v>
      </c>
    </row>
    <row r="170" spans="1:26" x14ac:dyDescent="0.25">
      <c r="A170" t="s">
        <v>181</v>
      </c>
      <c r="B170" t="s">
        <v>182</v>
      </c>
      <c r="C170" t="s">
        <v>11</v>
      </c>
      <c r="D170" t="s">
        <v>12</v>
      </c>
      <c r="E170" t="s">
        <v>13</v>
      </c>
      <c r="F170" t="s">
        <v>14</v>
      </c>
      <c r="G170" t="s">
        <v>14</v>
      </c>
      <c r="H170" t="s">
        <v>247</v>
      </c>
      <c r="I170">
        <f t="shared" si="20"/>
        <v>39</v>
      </c>
      <c r="J170" t="s">
        <v>179</v>
      </c>
      <c r="K170" t="s">
        <v>180</v>
      </c>
      <c r="L170" t="str">
        <f t="shared" si="18"/>
        <v>Stress</v>
      </c>
      <c r="Q170" t="s">
        <v>197</v>
      </c>
      <c r="R170" t="s">
        <v>45</v>
      </c>
      <c r="S170" t="s">
        <v>32</v>
      </c>
      <c r="T170" t="s">
        <v>216</v>
      </c>
      <c r="V170" s="1">
        <v>1.4E-8</v>
      </c>
      <c r="X170">
        <f t="shared" si="21"/>
        <v>12</v>
      </c>
      <c r="Y170"/>
      <c r="Z170" t="s">
        <v>22</v>
      </c>
    </row>
    <row r="171" spans="1:26" x14ac:dyDescent="0.25">
      <c r="A171" t="s">
        <v>181</v>
      </c>
      <c r="B171" t="s">
        <v>43</v>
      </c>
      <c r="C171" t="s">
        <v>44</v>
      </c>
      <c r="D171" t="s">
        <v>12</v>
      </c>
      <c r="E171" t="s">
        <v>13</v>
      </c>
      <c r="F171" t="s">
        <v>14</v>
      </c>
      <c r="G171" t="s">
        <v>14</v>
      </c>
      <c r="H171" t="s">
        <v>247</v>
      </c>
      <c r="I171">
        <f t="shared" si="20"/>
        <v>39</v>
      </c>
      <c r="J171" t="s">
        <v>179</v>
      </c>
      <c r="K171" t="s">
        <v>17</v>
      </c>
      <c r="L171" t="str">
        <f t="shared" si="18"/>
        <v>Control</v>
      </c>
      <c r="Q171" t="s">
        <v>197</v>
      </c>
      <c r="R171" t="s">
        <v>45</v>
      </c>
      <c r="S171" t="s">
        <v>32</v>
      </c>
      <c r="T171" t="s">
        <v>216</v>
      </c>
      <c r="V171" s="1">
        <v>1.5000000000000002E-8</v>
      </c>
      <c r="X171">
        <f t="shared" si="21"/>
        <v>12</v>
      </c>
      <c r="Y171"/>
      <c r="Z171" t="s">
        <v>22</v>
      </c>
    </row>
    <row r="172" spans="1:26" x14ac:dyDescent="0.25">
      <c r="A172" t="s">
        <v>181</v>
      </c>
      <c r="B172" t="s">
        <v>43</v>
      </c>
      <c r="C172" t="s">
        <v>44</v>
      </c>
      <c r="D172" t="s">
        <v>12</v>
      </c>
      <c r="E172" t="s">
        <v>13</v>
      </c>
      <c r="F172" t="s">
        <v>14</v>
      </c>
      <c r="G172" t="s">
        <v>14</v>
      </c>
      <c r="H172" t="s">
        <v>247</v>
      </c>
      <c r="I172">
        <f t="shared" si="20"/>
        <v>39</v>
      </c>
      <c r="J172" t="s">
        <v>179</v>
      </c>
      <c r="K172" t="s">
        <v>180</v>
      </c>
      <c r="L172" t="str">
        <f t="shared" si="18"/>
        <v>Stress</v>
      </c>
      <c r="Q172" t="s">
        <v>197</v>
      </c>
      <c r="R172" t="s">
        <v>45</v>
      </c>
      <c r="S172" t="s">
        <v>32</v>
      </c>
      <c r="T172" t="s">
        <v>216</v>
      </c>
      <c r="V172" s="1">
        <v>1E-8</v>
      </c>
      <c r="X172">
        <f t="shared" si="21"/>
        <v>12</v>
      </c>
      <c r="Y172"/>
      <c r="Z172" t="s">
        <v>22</v>
      </c>
    </row>
    <row r="173" spans="1:26" x14ac:dyDescent="0.25">
      <c r="A173" t="s">
        <v>100</v>
      </c>
      <c r="B173" t="s">
        <v>92</v>
      </c>
      <c r="C173" t="s">
        <v>94</v>
      </c>
      <c r="D173" t="s">
        <v>95</v>
      </c>
      <c r="E173" t="s">
        <v>13</v>
      </c>
      <c r="G173" t="s">
        <v>221</v>
      </c>
      <c r="H173" t="s">
        <v>248</v>
      </c>
      <c r="I173">
        <f>1*30</f>
        <v>30</v>
      </c>
      <c r="Q173" t="s">
        <v>197</v>
      </c>
      <c r="R173" t="s">
        <v>99</v>
      </c>
      <c r="S173" t="s">
        <v>32</v>
      </c>
      <c r="T173" t="s">
        <v>215</v>
      </c>
      <c r="V173" s="1">
        <v>9.9999999999999995E-7</v>
      </c>
      <c r="Y173"/>
      <c r="Z173" t="s">
        <v>74</v>
      </c>
    </row>
    <row r="174" spans="1:26" x14ac:dyDescent="0.25">
      <c r="A174" t="s">
        <v>101</v>
      </c>
      <c r="B174" t="s">
        <v>43</v>
      </c>
      <c r="C174" t="s">
        <v>44</v>
      </c>
      <c r="D174" t="s">
        <v>12</v>
      </c>
      <c r="E174" t="s">
        <v>13</v>
      </c>
      <c r="F174" t="s">
        <v>14</v>
      </c>
      <c r="G174" t="s">
        <v>14</v>
      </c>
      <c r="H174" t="s">
        <v>247</v>
      </c>
      <c r="I174">
        <v>35</v>
      </c>
      <c r="J174" t="s">
        <v>277</v>
      </c>
      <c r="K174" t="s">
        <v>102</v>
      </c>
      <c r="L174" t="s">
        <v>249</v>
      </c>
      <c r="Q174" t="s">
        <v>197</v>
      </c>
      <c r="R174" t="s">
        <v>26</v>
      </c>
      <c r="S174" t="s">
        <v>32</v>
      </c>
      <c r="T174" t="s">
        <v>215</v>
      </c>
      <c r="V174" s="1">
        <v>2.2400000000000002E-7</v>
      </c>
      <c r="Z174" t="s">
        <v>53</v>
      </c>
    </row>
    <row r="175" spans="1:26" x14ac:dyDescent="0.25">
      <c r="A175" t="s">
        <v>101</v>
      </c>
      <c r="B175" t="s">
        <v>43</v>
      </c>
      <c r="C175" t="s">
        <v>44</v>
      </c>
      <c r="D175" t="s">
        <v>12</v>
      </c>
      <c r="E175" t="s">
        <v>13</v>
      </c>
      <c r="F175" t="s">
        <v>14</v>
      </c>
      <c r="G175" t="s">
        <v>14</v>
      </c>
      <c r="H175" t="s">
        <v>247</v>
      </c>
      <c r="I175">
        <v>35</v>
      </c>
      <c r="J175" t="s">
        <v>277</v>
      </c>
      <c r="K175" t="s">
        <v>103</v>
      </c>
      <c r="L175" t="s">
        <v>249</v>
      </c>
      <c r="Q175" t="s">
        <v>197</v>
      </c>
      <c r="R175" t="s">
        <v>26</v>
      </c>
      <c r="S175" t="s">
        <v>32</v>
      </c>
      <c r="T175" t="s">
        <v>215</v>
      </c>
      <c r="V175" s="1">
        <v>3.3700000000000001E-7</v>
      </c>
      <c r="Z175" t="s">
        <v>53</v>
      </c>
    </row>
    <row r="176" spans="1:26" x14ac:dyDescent="0.25">
      <c r="A176" t="s">
        <v>101</v>
      </c>
      <c r="B176" t="s">
        <v>43</v>
      </c>
      <c r="C176" t="s">
        <v>44</v>
      </c>
      <c r="D176" t="s">
        <v>12</v>
      </c>
      <c r="E176" t="s">
        <v>13</v>
      </c>
      <c r="F176" t="s">
        <v>14</v>
      </c>
      <c r="G176" t="s">
        <v>14</v>
      </c>
      <c r="H176" t="s">
        <v>247</v>
      </c>
      <c r="I176">
        <v>35</v>
      </c>
      <c r="J176" t="s">
        <v>277</v>
      </c>
      <c r="K176" t="s">
        <v>104</v>
      </c>
      <c r="L176" t="s">
        <v>249</v>
      </c>
      <c r="Q176" t="s">
        <v>197</v>
      </c>
      <c r="R176" t="s">
        <v>26</v>
      </c>
      <c r="S176" t="s">
        <v>32</v>
      </c>
      <c r="T176" t="s">
        <v>215</v>
      </c>
      <c r="V176" s="1">
        <v>2.6399999999999998E-7</v>
      </c>
      <c r="Z176" t="s">
        <v>53</v>
      </c>
    </row>
    <row r="177" spans="1:26" x14ac:dyDescent="0.25">
      <c r="A177" t="s">
        <v>101</v>
      </c>
      <c r="B177" t="s">
        <v>43</v>
      </c>
      <c r="C177" t="s">
        <v>44</v>
      </c>
      <c r="D177" t="s">
        <v>12</v>
      </c>
      <c r="E177" t="s">
        <v>13</v>
      </c>
      <c r="F177" t="s">
        <v>14</v>
      </c>
      <c r="G177" t="s">
        <v>14</v>
      </c>
      <c r="H177" t="s">
        <v>247</v>
      </c>
      <c r="I177">
        <v>35</v>
      </c>
      <c r="J177" t="s">
        <v>277</v>
      </c>
      <c r="K177" t="s">
        <v>105</v>
      </c>
      <c r="L177" t="s">
        <v>249</v>
      </c>
      <c r="Q177" t="s">
        <v>197</v>
      </c>
      <c r="R177" t="s">
        <v>26</v>
      </c>
      <c r="S177" t="s">
        <v>32</v>
      </c>
      <c r="T177" t="s">
        <v>215</v>
      </c>
      <c r="V177" s="1">
        <v>5.3899999999999994E-7</v>
      </c>
      <c r="Z177" t="s">
        <v>53</v>
      </c>
    </row>
    <row r="178" spans="1:26" x14ac:dyDescent="0.25">
      <c r="A178" t="s">
        <v>101</v>
      </c>
      <c r="B178" t="s">
        <v>43</v>
      </c>
      <c r="C178" t="s">
        <v>44</v>
      </c>
      <c r="D178" t="s">
        <v>12</v>
      </c>
      <c r="E178" t="s">
        <v>13</v>
      </c>
      <c r="F178" t="s">
        <v>14</v>
      </c>
      <c r="G178" t="s">
        <v>14</v>
      </c>
      <c r="H178" t="s">
        <v>247</v>
      </c>
      <c r="I178">
        <v>35</v>
      </c>
      <c r="J178" t="s">
        <v>277</v>
      </c>
      <c r="K178" t="s">
        <v>106</v>
      </c>
      <c r="L178" t="s">
        <v>249</v>
      </c>
      <c r="Q178" t="s">
        <v>197</v>
      </c>
      <c r="R178" t="s">
        <v>26</v>
      </c>
      <c r="S178" t="s">
        <v>32</v>
      </c>
      <c r="T178" t="s">
        <v>215</v>
      </c>
      <c r="V178" s="1">
        <v>5.2099999999999997E-7</v>
      </c>
      <c r="Z178" t="s">
        <v>53</v>
      </c>
    </row>
    <row r="179" spans="1:26" x14ac:dyDescent="0.25">
      <c r="A179" t="s">
        <v>101</v>
      </c>
      <c r="B179" t="s">
        <v>43</v>
      </c>
      <c r="C179" t="s">
        <v>44</v>
      </c>
      <c r="D179" t="s">
        <v>12</v>
      </c>
      <c r="E179" t="s">
        <v>13</v>
      </c>
      <c r="F179" t="s">
        <v>14</v>
      </c>
      <c r="G179" t="s">
        <v>14</v>
      </c>
      <c r="H179" t="s">
        <v>247</v>
      </c>
      <c r="I179">
        <v>35</v>
      </c>
      <c r="J179" t="s">
        <v>277</v>
      </c>
      <c r="K179" t="s">
        <v>107</v>
      </c>
      <c r="L179" t="s">
        <v>249</v>
      </c>
      <c r="Q179" t="s">
        <v>197</v>
      </c>
      <c r="R179" t="s">
        <v>26</v>
      </c>
      <c r="S179" t="s">
        <v>32</v>
      </c>
      <c r="T179" t="s">
        <v>215</v>
      </c>
      <c r="V179" s="1">
        <v>5.9100000000000004E-7</v>
      </c>
      <c r="Z179" t="s">
        <v>53</v>
      </c>
    </row>
    <row r="180" spans="1:26" x14ac:dyDescent="0.25">
      <c r="A180" t="s">
        <v>108</v>
      </c>
      <c r="B180" t="s">
        <v>109</v>
      </c>
      <c r="C180" t="s">
        <v>110</v>
      </c>
      <c r="D180" t="s">
        <v>111</v>
      </c>
      <c r="E180" t="s">
        <v>112</v>
      </c>
      <c r="G180" t="s">
        <v>113</v>
      </c>
      <c r="H180" t="s">
        <v>113</v>
      </c>
      <c r="I180">
        <v>45</v>
      </c>
      <c r="J180" t="s">
        <v>127</v>
      </c>
      <c r="K180" t="s">
        <v>17</v>
      </c>
      <c r="L180" t="str">
        <f t="shared" ref="L180:L197" si="22">+IF(K180="Control","Control","Stress")</f>
        <v>Control</v>
      </c>
      <c r="M180" t="s">
        <v>17</v>
      </c>
      <c r="N180" t="str">
        <f t="shared" ref="N180:N197" si="23">+IF(M180="Control", "Control", "Stress")</f>
        <v>Control</v>
      </c>
      <c r="Q180" t="s">
        <v>197</v>
      </c>
      <c r="R180" t="s">
        <v>116</v>
      </c>
      <c r="S180" t="s">
        <v>27</v>
      </c>
      <c r="T180" t="s">
        <v>215</v>
      </c>
      <c r="V180" s="1">
        <f>[20]North_etal_2004_Fig2!B2</f>
        <v>1.60553633217993E-7</v>
      </c>
      <c r="W180" s="2"/>
      <c r="X180">
        <f>+AVERAGE(30,35)</f>
        <v>32.5</v>
      </c>
      <c r="Y180">
        <v>3.6</v>
      </c>
      <c r="Z180" t="s">
        <v>115</v>
      </c>
    </row>
    <row r="181" spans="1:26" x14ac:dyDescent="0.25">
      <c r="A181" t="s">
        <v>108</v>
      </c>
      <c r="B181" t="s">
        <v>109</v>
      </c>
      <c r="C181" t="s">
        <v>110</v>
      </c>
      <c r="D181" t="s">
        <v>111</v>
      </c>
      <c r="E181" t="s">
        <v>112</v>
      </c>
      <c r="G181" t="s">
        <v>113</v>
      </c>
      <c r="H181" t="s">
        <v>113</v>
      </c>
      <c r="I181">
        <v>45</v>
      </c>
      <c r="J181" t="s">
        <v>127</v>
      </c>
      <c r="K181" t="s">
        <v>17</v>
      </c>
      <c r="L181" t="str">
        <f t="shared" si="22"/>
        <v>Control</v>
      </c>
      <c r="M181" t="s">
        <v>243</v>
      </c>
      <c r="N181" t="str">
        <f t="shared" si="23"/>
        <v>Stress</v>
      </c>
      <c r="Q181" t="s">
        <v>197</v>
      </c>
      <c r="R181" t="s">
        <v>116</v>
      </c>
      <c r="S181" t="s">
        <v>27</v>
      </c>
      <c r="T181" t="s">
        <v>215</v>
      </c>
      <c r="V181" s="1">
        <f>[20]North_etal_2004_Fig2!B3</f>
        <v>8.0968858131487998E-8</v>
      </c>
      <c r="W181" s="2"/>
      <c r="X181">
        <f t="shared" ref="X181:X197" si="24">+AVERAGE(30,35)</f>
        <v>32.5</v>
      </c>
      <c r="Y181">
        <v>3.6</v>
      </c>
      <c r="Z181" t="s">
        <v>115</v>
      </c>
    </row>
    <row r="182" spans="1:26" x14ac:dyDescent="0.25">
      <c r="A182" t="s">
        <v>108</v>
      </c>
      <c r="B182" t="s">
        <v>109</v>
      </c>
      <c r="C182" t="s">
        <v>110</v>
      </c>
      <c r="D182" t="s">
        <v>111</v>
      </c>
      <c r="E182" t="s">
        <v>112</v>
      </c>
      <c r="G182" t="s">
        <v>113</v>
      </c>
      <c r="H182" t="s">
        <v>113</v>
      </c>
      <c r="I182">
        <v>45</v>
      </c>
      <c r="J182" t="s">
        <v>127</v>
      </c>
      <c r="K182" t="s">
        <v>117</v>
      </c>
      <c r="L182" t="str">
        <f t="shared" si="22"/>
        <v>Stress</v>
      </c>
      <c r="M182" t="s">
        <v>17</v>
      </c>
      <c r="N182" t="str">
        <f t="shared" si="23"/>
        <v>Control</v>
      </c>
      <c r="Q182" t="s">
        <v>197</v>
      </c>
      <c r="R182" t="s">
        <v>116</v>
      </c>
      <c r="S182" t="s">
        <v>27</v>
      </c>
      <c r="T182" t="s">
        <v>215</v>
      </c>
      <c r="V182" s="1">
        <f>[20]North_etal_2004_Fig2!B4</f>
        <v>6.5051903114186895E-8</v>
      </c>
      <c r="W182" s="2"/>
      <c r="X182">
        <f t="shared" si="24"/>
        <v>32.5</v>
      </c>
      <c r="Y182">
        <v>3.6</v>
      </c>
      <c r="Z182" t="s">
        <v>115</v>
      </c>
    </row>
    <row r="183" spans="1:26" x14ac:dyDescent="0.25">
      <c r="A183" t="s">
        <v>108</v>
      </c>
      <c r="B183" t="s">
        <v>109</v>
      </c>
      <c r="C183" t="s">
        <v>110</v>
      </c>
      <c r="D183" t="s">
        <v>111</v>
      </c>
      <c r="E183" t="s">
        <v>112</v>
      </c>
      <c r="G183" t="s">
        <v>113</v>
      </c>
      <c r="H183" t="s">
        <v>113</v>
      </c>
      <c r="I183">
        <v>45</v>
      </c>
      <c r="J183" t="s">
        <v>127</v>
      </c>
      <c r="K183" t="s">
        <v>117</v>
      </c>
      <c r="L183" t="str">
        <f t="shared" si="22"/>
        <v>Stress</v>
      </c>
      <c r="M183" t="s">
        <v>243</v>
      </c>
      <c r="N183" t="str">
        <f t="shared" si="23"/>
        <v>Stress</v>
      </c>
      <c r="Q183" t="s">
        <v>197</v>
      </c>
      <c r="R183" t="s">
        <v>116</v>
      </c>
      <c r="S183" t="s">
        <v>27</v>
      </c>
      <c r="T183" t="s">
        <v>215</v>
      </c>
      <c r="V183" s="1">
        <f>[20]North_etal_2004_Fig2!B5</f>
        <v>7.9584775086505197E-8</v>
      </c>
      <c r="W183" s="2"/>
      <c r="X183">
        <f t="shared" si="24"/>
        <v>32.5</v>
      </c>
      <c r="Y183">
        <v>3.6</v>
      </c>
      <c r="Z183" t="s">
        <v>115</v>
      </c>
    </row>
    <row r="184" spans="1:26" x14ac:dyDescent="0.25">
      <c r="A184" t="s">
        <v>108</v>
      </c>
      <c r="B184" t="s">
        <v>109</v>
      </c>
      <c r="C184" t="s">
        <v>110</v>
      </c>
      <c r="D184" t="s">
        <v>111</v>
      </c>
      <c r="E184" t="s">
        <v>112</v>
      </c>
      <c r="G184" t="s">
        <v>113</v>
      </c>
      <c r="H184" t="s">
        <v>113</v>
      </c>
      <c r="I184">
        <v>45</v>
      </c>
      <c r="J184" t="s">
        <v>127</v>
      </c>
      <c r="K184" t="s">
        <v>17</v>
      </c>
      <c r="L184" t="str">
        <f t="shared" si="22"/>
        <v>Control</v>
      </c>
      <c r="M184" t="s">
        <v>17</v>
      </c>
      <c r="N184" t="str">
        <f t="shared" si="23"/>
        <v>Control</v>
      </c>
      <c r="Q184" t="s">
        <v>197</v>
      </c>
      <c r="R184" t="s">
        <v>116</v>
      </c>
      <c r="S184" t="s">
        <v>114</v>
      </c>
      <c r="T184" t="s">
        <v>215</v>
      </c>
      <c r="V184" s="1">
        <f>[20]North_etal_2004_Fig2!B8</f>
        <v>1.32179930795847E-7</v>
      </c>
      <c r="W184" s="2"/>
      <c r="X184">
        <f t="shared" si="24"/>
        <v>32.5</v>
      </c>
      <c r="Y184">
        <v>3.6</v>
      </c>
      <c r="Z184" t="s">
        <v>115</v>
      </c>
    </row>
    <row r="185" spans="1:26" x14ac:dyDescent="0.25">
      <c r="A185" t="s">
        <v>108</v>
      </c>
      <c r="B185" t="s">
        <v>109</v>
      </c>
      <c r="C185" t="s">
        <v>110</v>
      </c>
      <c r="D185" t="s">
        <v>111</v>
      </c>
      <c r="E185" t="s">
        <v>112</v>
      </c>
      <c r="G185" t="s">
        <v>113</v>
      </c>
      <c r="H185" t="s">
        <v>113</v>
      </c>
      <c r="I185">
        <v>45</v>
      </c>
      <c r="J185" t="s">
        <v>127</v>
      </c>
      <c r="K185" t="s">
        <v>17</v>
      </c>
      <c r="L185" t="str">
        <f t="shared" si="22"/>
        <v>Control</v>
      </c>
      <c r="M185" t="s">
        <v>243</v>
      </c>
      <c r="N185" t="str">
        <f t="shared" si="23"/>
        <v>Stress</v>
      </c>
      <c r="Q185" t="s">
        <v>197</v>
      </c>
      <c r="R185" t="s">
        <v>116</v>
      </c>
      <c r="S185" t="s">
        <v>114</v>
      </c>
      <c r="T185" t="s">
        <v>215</v>
      </c>
      <c r="V185" s="1">
        <f>[20]North_etal_2004_Fig2!B9</f>
        <v>1.51557093425605E-7</v>
      </c>
      <c r="W185" s="2"/>
      <c r="X185">
        <f t="shared" si="24"/>
        <v>32.5</v>
      </c>
      <c r="Y185">
        <v>3.6</v>
      </c>
      <c r="Z185" t="s">
        <v>115</v>
      </c>
    </row>
    <row r="186" spans="1:26" x14ac:dyDescent="0.25">
      <c r="A186" t="s">
        <v>108</v>
      </c>
      <c r="B186" t="s">
        <v>109</v>
      </c>
      <c r="C186" t="s">
        <v>110</v>
      </c>
      <c r="D186" t="s">
        <v>111</v>
      </c>
      <c r="E186" t="s">
        <v>112</v>
      </c>
      <c r="G186" t="s">
        <v>113</v>
      </c>
      <c r="H186" t="s">
        <v>113</v>
      </c>
      <c r="I186">
        <v>45</v>
      </c>
      <c r="J186" t="s">
        <v>127</v>
      </c>
      <c r="K186" t="s">
        <v>117</v>
      </c>
      <c r="L186" t="str">
        <f t="shared" si="22"/>
        <v>Stress</v>
      </c>
      <c r="M186" t="s">
        <v>17</v>
      </c>
      <c r="N186" t="str">
        <f t="shared" si="23"/>
        <v>Control</v>
      </c>
      <c r="Q186" t="s">
        <v>197</v>
      </c>
      <c r="R186" t="s">
        <v>116</v>
      </c>
      <c r="S186" t="s">
        <v>114</v>
      </c>
      <c r="T186" t="s">
        <v>215</v>
      </c>
      <c r="V186" s="1">
        <f>[20]North_etal_2004_Fig2!B10</f>
        <v>6.3667820069204094E-8</v>
      </c>
      <c r="W186" s="2"/>
      <c r="X186">
        <f t="shared" si="24"/>
        <v>32.5</v>
      </c>
      <c r="Y186">
        <v>3.6</v>
      </c>
      <c r="Z186" t="s">
        <v>115</v>
      </c>
    </row>
    <row r="187" spans="1:26" x14ac:dyDescent="0.25">
      <c r="A187" t="s">
        <v>108</v>
      </c>
      <c r="B187" t="s">
        <v>109</v>
      </c>
      <c r="C187" t="s">
        <v>110</v>
      </c>
      <c r="D187" t="s">
        <v>111</v>
      </c>
      <c r="E187" t="s">
        <v>112</v>
      </c>
      <c r="G187" t="s">
        <v>113</v>
      </c>
      <c r="H187" t="s">
        <v>113</v>
      </c>
      <c r="I187">
        <v>45</v>
      </c>
      <c r="J187" t="s">
        <v>127</v>
      </c>
      <c r="K187" t="s">
        <v>117</v>
      </c>
      <c r="L187" t="str">
        <f t="shared" si="22"/>
        <v>Stress</v>
      </c>
      <c r="M187" t="s">
        <v>243</v>
      </c>
      <c r="N187" t="str">
        <f t="shared" si="23"/>
        <v>Stress</v>
      </c>
      <c r="Q187" t="s">
        <v>197</v>
      </c>
      <c r="R187" t="s">
        <v>116</v>
      </c>
      <c r="S187" t="s">
        <v>114</v>
      </c>
      <c r="T187" t="s">
        <v>215</v>
      </c>
      <c r="V187" s="1">
        <f>[20]North_etal_2004_Fig2!B11</f>
        <v>5.2595155709342503E-8</v>
      </c>
      <c r="W187" s="2"/>
      <c r="X187">
        <f t="shared" si="24"/>
        <v>32.5</v>
      </c>
      <c r="Y187">
        <v>3.6</v>
      </c>
      <c r="Z187" t="s">
        <v>115</v>
      </c>
    </row>
    <row r="188" spans="1:26" x14ac:dyDescent="0.25">
      <c r="A188" t="s">
        <v>108</v>
      </c>
      <c r="B188" t="s">
        <v>109</v>
      </c>
      <c r="C188" t="s">
        <v>110</v>
      </c>
      <c r="D188" t="s">
        <v>111</v>
      </c>
      <c r="E188" t="s">
        <v>112</v>
      </c>
      <c r="G188" t="s">
        <v>113</v>
      </c>
      <c r="H188" t="s">
        <v>113</v>
      </c>
      <c r="I188">
        <v>45</v>
      </c>
      <c r="J188" t="s">
        <v>127</v>
      </c>
      <c r="K188" t="s">
        <v>17</v>
      </c>
      <c r="L188" t="str">
        <f t="shared" si="22"/>
        <v>Control</v>
      </c>
      <c r="M188" t="s">
        <v>17</v>
      </c>
      <c r="N188" t="str">
        <f t="shared" si="23"/>
        <v>Control</v>
      </c>
      <c r="Q188" t="s">
        <v>197</v>
      </c>
      <c r="R188" t="s">
        <v>116</v>
      </c>
      <c r="S188" t="s">
        <v>72</v>
      </c>
      <c r="T188" t="s">
        <v>215</v>
      </c>
      <c r="V188" s="1">
        <f>[20]North_etal_2004_Fig2!B14</f>
        <v>2.36301369863013E-7</v>
      </c>
      <c r="W188" s="2"/>
      <c r="X188">
        <f t="shared" si="24"/>
        <v>32.5</v>
      </c>
      <c r="Y188">
        <v>3.6</v>
      </c>
      <c r="Z188" t="s">
        <v>115</v>
      </c>
    </row>
    <row r="189" spans="1:26" x14ac:dyDescent="0.25">
      <c r="A189" t="s">
        <v>108</v>
      </c>
      <c r="B189" t="s">
        <v>109</v>
      </c>
      <c r="C189" t="s">
        <v>110</v>
      </c>
      <c r="D189" t="s">
        <v>111</v>
      </c>
      <c r="E189" t="s">
        <v>112</v>
      </c>
      <c r="G189" t="s">
        <v>113</v>
      </c>
      <c r="H189" t="s">
        <v>113</v>
      </c>
      <c r="I189">
        <v>45</v>
      </c>
      <c r="J189" t="s">
        <v>127</v>
      </c>
      <c r="K189" t="s">
        <v>17</v>
      </c>
      <c r="L189" t="str">
        <f t="shared" si="22"/>
        <v>Control</v>
      </c>
      <c r="M189" t="s">
        <v>243</v>
      </c>
      <c r="N189" t="str">
        <f t="shared" si="23"/>
        <v>Stress</v>
      </c>
      <c r="Q189" t="s">
        <v>197</v>
      </c>
      <c r="R189" t="s">
        <v>116</v>
      </c>
      <c r="S189" t="s">
        <v>72</v>
      </c>
      <c r="T189" t="s">
        <v>215</v>
      </c>
      <c r="V189" s="1">
        <f>[20]North_etal_2004_Fig2!B15</f>
        <v>1.52054794520547E-7</v>
      </c>
      <c r="W189" s="2"/>
      <c r="X189">
        <f t="shared" si="24"/>
        <v>32.5</v>
      </c>
      <c r="Y189">
        <v>3.6</v>
      </c>
      <c r="Z189" t="s">
        <v>115</v>
      </c>
    </row>
    <row r="190" spans="1:26" x14ac:dyDescent="0.25">
      <c r="A190" t="s">
        <v>108</v>
      </c>
      <c r="B190" t="s">
        <v>109</v>
      </c>
      <c r="C190" t="s">
        <v>110</v>
      </c>
      <c r="D190" t="s">
        <v>111</v>
      </c>
      <c r="E190" t="s">
        <v>112</v>
      </c>
      <c r="G190" t="s">
        <v>113</v>
      </c>
      <c r="H190" t="s">
        <v>113</v>
      </c>
      <c r="I190">
        <v>45</v>
      </c>
      <c r="J190" t="s">
        <v>127</v>
      </c>
      <c r="K190" t="s">
        <v>117</v>
      </c>
      <c r="L190" t="str">
        <f t="shared" si="22"/>
        <v>Stress</v>
      </c>
      <c r="M190" t="s">
        <v>17</v>
      </c>
      <c r="N190" t="str">
        <f t="shared" si="23"/>
        <v>Control</v>
      </c>
      <c r="Q190" t="s">
        <v>197</v>
      </c>
      <c r="R190" t="s">
        <v>116</v>
      </c>
      <c r="S190" t="s">
        <v>72</v>
      </c>
      <c r="T190" t="s">
        <v>215</v>
      </c>
      <c r="V190" s="1">
        <f>[20]North_etal_2004_Fig2!B16</f>
        <v>1.7191780821917799E-7</v>
      </c>
      <c r="W190" s="2"/>
      <c r="X190">
        <f t="shared" si="24"/>
        <v>32.5</v>
      </c>
      <c r="Y190">
        <v>3.6</v>
      </c>
      <c r="Z190" t="s">
        <v>115</v>
      </c>
    </row>
    <row r="191" spans="1:26" x14ac:dyDescent="0.25">
      <c r="A191" t="s">
        <v>108</v>
      </c>
      <c r="B191" t="s">
        <v>109</v>
      </c>
      <c r="C191" t="s">
        <v>110</v>
      </c>
      <c r="D191" t="s">
        <v>111</v>
      </c>
      <c r="E191" t="s">
        <v>112</v>
      </c>
      <c r="G191" t="s">
        <v>113</v>
      </c>
      <c r="H191" t="s">
        <v>113</v>
      </c>
      <c r="I191">
        <v>45</v>
      </c>
      <c r="J191" t="s">
        <v>127</v>
      </c>
      <c r="K191" t="s">
        <v>117</v>
      </c>
      <c r="L191" t="str">
        <f t="shared" si="22"/>
        <v>Stress</v>
      </c>
      <c r="M191" t="s">
        <v>243</v>
      </c>
      <c r="N191" t="str">
        <f t="shared" si="23"/>
        <v>Stress</v>
      </c>
      <c r="Q191" t="s">
        <v>197</v>
      </c>
      <c r="R191" t="s">
        <v>116</v>
      </c>
      <c r="S191" t="s">
        <v>72</v>
      </c>
      <c r="T191" t="s">
        <v>215</v>
      </c>
      <c r="V191" s="1">
        <f>[20]North_etal_2004_Fig2!B17</f>
        <v>1.7260273972602699E-7</v>
      </c>
      <c r="W191" s="2"/>
      <c r="X191">
        <f t="shared" si="24"/>
        <v>32.5</v>
      </c>
      <c r="Y191">
        <v>3.6</v>
      </c>
      <c r="Z191" t="s">
        <v>115</v>
      </c>
    </row>
    <row r="192" spans="1:26" x14ac:dyDescent="0.25">
      <c r="A192" t="s">
        <v>108</v>
      </c>
      <c r="B192" t="s">
        <v>109</v>
      </c>
      <c r="C192" t="s">
        <v>110</v>
      </c>
      <c r="D192" t="s">
        <v>111</v>
      </c>
      <c r="E192" t="s">
        <v>112</v>
      </c>
      <c r="G192" t="s">
        <v>113</v>
      </c>
      <c r="H192" t="s">
        <v>113</v>
      </c>
      <c r="I192">
        <v>45</v>
      </c>
      <c r="J192" t="s">
        <v>127</v>
      </c>
      <c r="K192" t="s">
        <v>17</v>
      </c>
      <c r="L192" t="str">
        <f t="shared" si="22"/>
        <v>Control</v>
      </c>
      <c r="M192" t="s">
        <v>17</v>
      </c>
      <c r="N192" t="str">
        <f t="shared" si="23"/>
        <v>Control</v>
      </c>
      <c r="Q192" t="s">
        <v>197</v>
      </c>
      <c r="R192" t="s">
        <v>116</v>
      </c>
      <c r="S192" t="s">
        <v>27</v>
      </c>
      <c r="T192" t="s">
        <v>215</v>
      </c>
      <c r="V192" s="1">
        <f>[21]North_etal_2004_Fig5!B2</f>
        <v>2.10280373831775E-7</v>
      </c>
      <c r="W192" s="2"/>
      <c r="X192">
        <f t="shared" si="24"/>
        <v>32.5</v>
      </c>
      <c r="Y192">
        <v>3.6</v>
      </c>
      <c r="Z192" t="s">
        <v>74</v>
      </c>
    </row>
    <row r="193" spans="1:26" x14ac:dyDescent="0.25">
      <c r="A193" t="s">
        <v>108</v>
      </c>
      <c r="B193" t="s">
        <v>109</v>
      </c>
      <c r="C193" t="s">
        <v>110</v>
      </c>
      <c r="D193" t="s">
        <v>111</v>
      </c>
      <c r="E193" t="s">
        <v>112</v>
      </c>
      <c r="G193" t="s">
        <v>113</v>
      </c>
      <c r="H193" t="s">
        <v>113</v>
      </c>
      <c r="I193">
        <v>45</v>
      </c>
      <c r="J193" t="s">
        <v>127</v>
      </c>
      <c r="K193" t="s">
        <v>17</v>
      </c>
      <c r="L193" t="str">
        <f t="shared" si="22"/>
        <v>Control</v>
      </c>
      <c r="M193" t="s">
        <v>243</v>
      </c>
      <c r="N193" t="str">
        <f t="shared" si="23"/>
        <v>Stress</v>
      </c>
      <c r="Q193" t="s">
        <v>197</v>
      </c>
      <c r="R193" t="s">
        <v>116</v>
      </c>
      <c r="S193" t="s">
        <v>27</v>
      </c>
      <c r="T193" t="s">
        <v>215</v>
      </c>
      <c r="V193" s="1">
        <f>[21]North_etal_2004_Fig5!B3</f>
        <v>9.1121495327102798E-8</v>
      </c>
      <c r="W193" s="2"/>
      <c r="X193">
        <f t="shared" si="24"/>
        <v>32.5</v>
      </c>
      <c r="Y193">
        <v>3.6</v>
      </c>
      <c r="Z193" t="s">
        <v>74</v>
      </c>
    </row>
    <row r="194" spans="1:26" x14ac:dyDescent="0.25">
      <c r="A194" t="s">
        <v>108</v>
      </c>
      <c r="B194" t="s">
        <v>109</v>
      </c>
      <c r="C194" t="s">
        <v>110</v>
      </c>
      <c r="D194" t="s">
        <v>111</v>
      </c>
      <c r="E194" t="s">
        <v>112</v>
      </c>
      <c r="G194" t="s">
        <v>113</v>
      </c>
      <c r="H194" t="s">
        <v>113</v>
      </c>
      <c r="I194">
        <v>45</v>
      </c>
      <c r="J194" t="s">
        <v>127</v>
      </c>
      <c r="K194" t="s">
        <v>117</v>
      </c>
      <c r="L194" t="str">
        <f t="shared" si="22"/>
        <v>Stress</v>
      </c>
      <c r="M194" t="s">
        <v>17</v>
      </c>
      <c r="N194" t="str">
        <f t="shared" si="23"/>
        <v>Control</v>
      </c>
      <c r="Q194" t="s">
        <v>197</v>
      </c>
      <c r="R194" t="s">
        <v>116</v>
      </c>
      <c r="S194" t="s">
        <v>114</v>
      </c>
      <c r="T194" t="s">
        <v>215</v>
      </c>
      <c r="V194" s="1">
        <f>[21]North_etal_2004_Fig5!B4</f>
        <v>1.3888888888888901E-7</v>
      </c>
      <c r="W194" s="2"/>
      <c r="X194">
        <f t="shared" si="24"/>
        <v>32.5</v>
      </c>
      <c r="Y194">
        <v>3.6</v>
      </c>
      <c r="Z194" t="s">
        <v>74</v>
      </c>
    </row>
    <row r="195" spans="1:26" x14ac:dyDescent="0.25">
      <c r="A195" t="s">
        <v>108</v>
      </c>
      <c r="B195" t="s">
        <v>109</v>
      </c>
      <c r="C195" t="s">
        <v>110</v>
      </c>
      <c r="D195" t="s">
        <v>111</v>
      </c>
      <c r="E195" t="s">
        <v>112</v>
      </c>
      <c r="G195" t="s">
        <v>113</v>
      </c>
      <c r="H195" t="s">
        <v>113</v>
      </c>
      <c r="I195">
        <v>45</v>
      </c>
      <c r="J195" t="s">
        <v>127</v>
      </c>
      <c r="K195" t="s">
        <v>117</v>
      </c>
      <c r="L195" t="str">
        <f t="shared" si="22"/>
        <v>Stress</v>
      </c>
      <c r="M195" t="s">
        <v>243</v>
      </c>
      <c r="N195" t="str">
        <f t="shared" si="23"/>
        <v>Stress</v>
      </c>
      <c r="Q195" t="s">
        <v>197</v>
      </c>
      <c r="R195" t="s">
        <v>116</v>
      </c>
      <c r="S195" t="s">
        <v>114</v>
      </c>
      <c r="T195" t="s">
        <v>215</v>
      </c>
      <c r="V195" s="1">
        <f>[21]North_etal_2004_Fig5!B5</f>
        <v>1.59722222222222E-7</v>
      </c>
      <c r="W195" s="2"/>
      <c r="X195">
        <f t="shared" si="24"/>
        <v>32.5</v>
      </c>
      <c r="Y195">
        <v>3.6</v>
      </c>
      <c r="Z195" t="s">
        <v>74</v>
      </c>
    </row>
    <row r="196" spans="1:26" x14ac:dyDescent="0.25">
      <c r="A196" t="s">
        <v>108</v>
      </c>
      <c r="B196" t="s">
        <v>109</v>
      </c>
      <c r="C196" t="s">
        <v>110</v>
      </c>
      <c r="D196" t="s">
        <v>111</v>
      </c>
      <c r="E196" t="s">
        <v>112</v>
      </c>
      <c r="G196" t="s">
        <v>113</v>
      </c>
      <c r="H196" t="s">
        <v>113</v>
      </c>
      <c r="I196">
        <v>45</v>
      </c>
      <c r="J196" t="s">
        <v>127</v>
      </c>
      <c r="K196" t="s">
        <v>17</v>
      </c>
      <c r="L196" t="str">
        <f t="shared" si="22"/>
        <v>Control</v>
      </c>
      <c r="M196" t="s">
        <v>17</v>
      </c>
      <c r="N196" t="str">
        <f t="shared" si="23"/>
        <v>Control</v>
      </c>
      <c r="Q196" t="s">
        <v>197</v>
      </c>
      <c r="R196" t="s">
        <v>116</v>
      </c>
      <c r="S196" t="s">
        <v>72</v>
      </c>
      <c r="T196" t="s">
        <v>215</v>
      </c>
      <c r="V196" s="1">
        <f>[21]North_etal_2004_Fig5!B6</f>
        <v>2.57142857142856E-7</v>
      </c>
      <c r="W196" s="2"/>
      <c r="X196">
        <f t="shared" si="24"/>
        <v>32.5</v>
      </c>
      <c r="Y196">
        <v>3.6</v>
      </c>
      <c r="Z196" t="s">
        <v>74</v>
      </c>
    </row>
    <row r="197" spans="1:26" x14ac:dyDescent="0.25">
      <c r="A197" t="s">
        <v>108</v>
      </c>
      <c r="B197" t="s">
        <v>109</v>
      </c>
      <c r="C197" t="s">
        <v>110</v>
      </c>
      <c r="D197" t="s">
        <v>111</v>
      </c>
      <c r="E197" t="s">
        <v>112</v>
      </c>
      <c r="G197" t="s">
        <v>113</v>
      </c>
      <c r="H197" t="s">
        <v>113</v>
      </c>
      <c r="I197">
        <v>45</v>
      </c>
      <c r="J197" t="s">
        <v>127</v>
      </c>
      <c r="K197" t="s">
        <v>17</v>
      </c>
      <c r="L197" t="str">
        <f t="shared" si="22"/>
        <v>Control</v>
      </c>
      <c r="M197" t="s">
        <v>243</v>
      </c>
      <c r="N197" t="str">
        <f t="shared" si="23"/>
        <v>Stress</v>
      </c>
      <c r="Q197" t="s">
        <v>197</v>
      </c>
      <c r="R197" t="s">
        <v>116</v>
      </c>
      <c r="S197" t="s">
        <v>72</v>
      </c>
      <c r="T197" t="s">
        <v>215</v>
      </c>
      <c r="V197" s="1">
        <f>[21]North_etal_2004_Fig5!B7</f>
        <v>1.63507109004739E-7</v>
      </c>
      <c r="W197" s="2"/>
      <c r="X197">
        <f t="shared" si="24"/>
        <v>32.5</v>
      </c>
      <c r="Y197">
        <v>3.6</v>
      </c>
      <c r="Z197" t="s">
        <v>74</v>
      </c>
    </row>
    <row r="198" spans="1:26" x14ac:dyDescent="0.25">
      <c r="A198" t="s">
        <v>118</v>
      </c>
      <c r="B198" t="s">
        <v>119</v>
      </c>
      <c r="C198" t="s">
        <v>120</v>
      </c>
      <c r="D198" t="s">
        <v>12</v>
      </c>
      <c r="E198" t="s">
        <v>13</v>
      </c>
      <c r="F198" t="s">
        <v>14</v>
      </c>
      <c r="G198" t="s">
        <v>14</v>
      </c>
      <c r="H198" t="s">
        <v>247</v>
      </c>
      <c r="I198">
        <f>+AVERAGE(31,40)</f>
        <v>35.5</v>
      </c>
      <c r="J198" t="s">
        <v>278</v>
      </c>
      <c r="K198" t="s">
        <v>183</v>
      </c>
      <c r="L198" t="s">
        <v>249</v>
      </c>
      <c r="Q198" t="s">
        <v>197</v>
      </c>
      <c r="R198" t="s">
        <v>116</v>
      </c>
      <c r="S198" t="s">
        <v>27</v>
      </c>
      <c r="T198" t="s">
        <v>215</v>
      </c>
      <c r="V198" s="1">
        <v>3.8000000000000003E-8</v>
      </c>
      <c r="W198" s="2"/>
      <c r="X198">
        <f>+AVERAGE(15,20)</f>
        <v>17.5</v>
      </c>
      <c r="Y198">
        <f>+AVERAGE(0.6,1)</f>
        <v>0.8</v>
      </c>
      <c r="Z198" t="s">
        <v>22</v>
      </c>
    </row>
    <row r="199" spans="1:26" x14ac:dyDescent="0.25">
      <c r="A199" t="s">
        <v>118</v>
      </c>
      <c r="B199" t="s">
        <v>119</v>
      </c>
      <c r="C199" t="s">
        <v>120</v>
      </c>
      <c r="D199" t="s">
        <v>12</v>
      </c>
      <c r="E199" t="s">
        <v>13</v>
      </c>
      <c r="F199" t="s">
        <v>14</v>
      </c>
      <c r="G199" t="s">
        <v>14</v>
      </c>
      <c r="H199" t="s">
        <v>247</v>
      </c>
      <c r="I199">
        <f t="shared" ref="I199:I201" si="25">+AVERAGE(31,40)</f>
        <v>35.5</v>
      </c>
      <c r="J199" t="s">
        <v>278</v>
      </c>
      <c r="K199" t="s">
        <v>184</v>
      </c>
      <c r="L199" t="s">
        <v>249</v>
      </c>
      <c r="Q199" t="s">
        <v>197</v>
      </c>
      <c r="R199" t="s">
        <v>116</v>
      </c>
      <c r="S199" t="s">
        <v>27</v>
      </c>
      <c r="T199" t="s">
        <v>215</v>
      </c>
      <c r="V199" s="1">
        <v>4.0000000000000001E-8</v>
      </c>
      <c r="W199" s="2"/>
      <c r="X199">
        <f t="shared" ref="X199:X201" si="26">+AVERAGE(15,20)</f>
        <v>17.5</v>
      </c>
      <c r="Y199">
        <f>+AVERAGE(0.8,1.2)</f>
        <v>1</v>
      </c>
      <c r="Z199" t="s">
        <v>22</v>
      </c>
    </row>
    <row r="200" spans="1:26" x14ac:dyDescent="0.25">
      <c r="A200" t="s">
        <v>118</v>
      </c>
      <c r="B200" t="s">
        <v>119</v>
      </c>
      <c r="C200" t="s">
        <v>120</v>
      </c>
      <c r="D200" t="s">
        <v>12</v>
      </c>
      <c r="E200" t="s">
        <v>13</v>
      </c>
      <c r="F200" t="s">
        <v>14</v>
      </c>
      <c r="G200" t="s">
        <v>14</v>
      </c>
      <c r="H200" t="s">
        <v>247</v>
      </c>
      <c r="I200">
        <f t="shared" si="25"/>
        <v>35.5</v>
      </c>
      <c r="J200" t="s">
        <v>278</v>
      </c>
      <c r="K200" t="s">
        <v>183</v>
      </c>
      <c r="L200" t="s">
        <v>249</v>
      </c>
      <c r="Q200" t="s">
        <v>197</v>
      </c>
      <c r="R200" t="s">
        <v>116</v>
      </c>
      <c r="S200" t="s">
        <v>27</v>
      </c>
      <c r="T200" t="s">
        <v>216</v>
      </c>
      <c r="V200" s="1">
        <v>1.0999999999999999E-8</v>
      </c>
      <c r="W200" s="2"/>
      <c r="X200">
        <f t="shared" si="26"/>
        <v>17.5</v>
      </c>
      <c r="Y200">
        <f>+AVERAGE(0.6,1)</f>
        <v>0.8</v>
      </c>
      <c r="Z200" t="s">
        <v>22</v>
      </c>
    </row>
    <row r="201" spans="1:26" x14ac:dyDescent="0.25">
      <c r="A201" t="s">
        <v>118</v>
      </c>
      <c r="B201" t="s">
        <v>119</v>
      </c>
      <c r="C201" t="s">
        <v>120</v>
      </c>
      <c r="D201" t="s">
        <v>12</v>
      </c>
      <c r="E201" t="s">
        <v>13</v>
      </c>
      <c r="F201" t="s">
        <v>14</v>
      </c>
      <c r="G201" t="s">
        <v>14</v>
      </c>
      <c r="H201" t="s">
        <v>247</v>
      </c>
      <c r="I201">
        <f t="shared" si="25"/>
        <v>35.5</v>
      </c>
      <c r="J201" t="s">
        <v>278</v>
      </c>
      <c r="K201" t="s">
        <v>184</v>
      </c>
      <c r="L201" t="s">
        <v>249</v>
      </c>
      <c r="Q201" t="s">
        <v>197</v>
      </c>
      <c r="R201" t="s">
        <v>116</v>
      </c>
      <c r="S201" t="s">
        <v>27</v>
      </c>
      <c r="T201" t="s">
        <v>216</v>
      </c>
      <c r="V201" s="1">
        <v>1.0999999999999999E-8</v>
      </c>
      <c r="W201" s="2"/>
      <c r="X201">
        <f t="shared" si="26"/>
        <v>17.5</v>
      </c>
      <c r="Y201">
        <f>+AVERAGE(0.8,1.2)</f>
        <v>1</v>
      </c>
      <c r="Z201" t="s">
        <v>22</v>
      </c>
    </row>
    <row r="202" spans="1:26" x14ac:dyDescent="0.25">
      <c r="A202" t="s">
        <v>255</v>
      </c>
      <c r="B202" t="s">
        <v>43</v>
      </c>
      <c r="C202" t="s">
        <v>44</v>
      </c>
      <c r="D202" t="s">
        <v>12</v>
      </c>
      <c r="E202" t="s">
        <v>13</v>
      </c>
      <c r="F202" t="s">
        <v>14</v>
      </c>
      <c r="G202" t="s">
        <v>14</v>
      </c>
      <c r="H202" t="s">
        <v>247</v>
      </c>
      <c r="I202">
        <f>+AVERAGE(3,5)</f>
        <v>4</v>
      </c>
      <c r="J202" t="s">
        <v>256</v>
      </c>
      <c r="K202" t="s">
        <v>17</v>
      </c>
      <c r="L202" t="str">
        <f>+IF(K202="Control","Control","Stress")</f>
        <v>Control</v>
      </c>
      <c r="M202" t="s">
        <v>257</v>
      </c>
      <c r="N202" t="s">
        <v>249</v>
      </c>
      <c r="Q202" t="s">
        <v>197</v>
      </c>
      <c r="R202" t="s">
        <v>26</v>
      </c>
      <c r="S202" t="s">
        <v>32</v>
      </c>
      <c r="T202" t="s">
        <v>216</v>
      </c>
      <c r="V202" s="1">
        <v>8.9999999999999999E-8</v>
      </c>
      <c r="W202" s="2"/>
      <c r="X202">
        <f>+AVERAGE(3,6)</f>
        <v>4.5</v>
      </c>
      <c r="Y202"/>
      <c r="Z202" t="s">
        <v>259</v>
      </c>
    </row>
    <row r="203" spans="1:26" x14ac:dyDescent="0.25">
      <c r="A203" t="s">
        <v>255</v>
      </c>
      <c r="B203" t="s">
        <v>43</v>
      </c>
      <c r="C203" t="s">
        <v>44</v>
      </c>
      <c r="D203" t="s">
        <v>12</v>
      </c>
      <c r="E203" t="s">
        <v>13</v>
      </c>
      <c r="F203" t="s">
        <v>14</v>
      </c>
      <c r="G203" t="s">
        <v>14</v>
      </c>
      <c r="H203" t="s">
        <v>247</v>
      </c>
      <c r="I203">
        <f t="shared" ref="I203:I205" si="27">+AVERAGE(3,5)</f>
        <v>4</v>
      </c>
      <c r="J203" t="s">
        <v>256</v>
      </c>
      <c r="K203" t="s">
        <v>46</v>
      </c>
      <c r="L203" t="str">
        <f>+IF(K203="Control","Control","Stress")</f>
        <v>Stress</v>
      </c>
      <c r="M203" t="s">
        <v>257</v>
      </c>
      <c r="N203" t="s">
        <v>249</v>
      </c>
      <c r="Q203" t="s">
        <v>197</v>
      </c>
      <c r="R203" t="s">
        <v>26</v>
      </c>
      <c r="S203" t="s">
        <v>32</v>
      </c>
      <c r="T203" t="s">
        <v>216</v>
      </c>
      <c r="V203" s="1">
        <v>4.1999999999999999E-8</v>
      </c>
      <c r="W203" s="2"/>
      <c r="X203">
        <f t="shared" ref="X203:X205" si="28">+AVERAGE(3,6)</f>
        <v>4.5</v>
      </c>
      <c r="Y203"/>
      <c r="Z203" t="s">
        <v>259</v>
      </c>
    </row>
    <row r="204" spans="1:26" x14ac:dyDescent="0.25">
      <c r="A204" t="s">
        <v>255</v>
      </c>
      <c r="B204" t="s">
        <v>43</v>
      </c>
      <c r="C204" t="s">
        <v>44</v>
      </c>
      <c r="D204" t="s">
        <v>12</v>
      </c>
      <c r="E204" t="s">
        <v>13</v>
      </c>
      <c r="F204" t="s">
        <v>14</v>
      </c>
      <c r="G204" t="s">
        <v>14</v>
      </c>
      <c r="H204" t="s">
        <v>247</v>
      </c>
      <c r="I204">
        <f t="shared" si="27"/>
        <v>4</v>
      </c>
      <c r="J204" t="s">
        <v>256</v>
      </c>
      <c r="K204" t="s">
        <v>17</v>
      </c>
      <c r="L204" t="str">
        <f>+IF(K204="Control","Control","Stress")</f>
        <v>Control</v>
      </c>
      <c r="M204" t="s">
        <v>258</v>
      </c>
      <c r="N204" t="s">
        <v>249</v>
      </c>
      <c r="Q204" t="s">
        <v>197</v>
      </c>
      <c r="R204" t="s">
        <v>26</v>
      </c>
      <c r="S204" t="s">
        <v>32</v>
      </c>
      <c r="T204" t="s">
        <v>216</v>
      </c>
      <c r="V204" s="1">
        <v>1.8E-7</v>
      </c>
      <c r="W204" s="2"/>
      <c r="X204">
        <f t="shared" si="28"/>
        <v>4.5</v>
      </c>
      <c r="Y204"/>
      <c r="Z204" t="s">
        <v>259</v>
      </c>
    </row>
    <row r="205" spans="1:26" x14ac:dyDescent="0.25">
      <c r="A205" t="s">
        <v>255</v>
      </c>
      <c r="B205" t="s">
        <v>43</v>
      </c>
      <c r="C205" t="s">
        <v>44</v>
      </c>
      <c r="D205" t="s">
        <v>12</v>
      </c>
      <c r="E205" t="s">
        <v>13</v>
      </c>
      <c r="F205" t="s">
        <v>14</v>
      </c>
      <c r="G205" t="s">
        <v>14</v>
      </c>
      <c r="H205" t="s">
        <v>247</v>
      </c>
      <c r="I205">
        <f t="shared" si="27"/>
        <v>4</v>
      </c>
      <c r="J205" t="s">
        <v>256</v>
      </c>
      <c r="K205" t="s">
        <v>46</v>
      </c>
      <c r="L205" t="str">
        <f>+IF(K205="Control","Control","Stress")</f>
        <v>Stress</v>
      </c>
      <c r="M205" t="s">
        <v>258</v>
      </c>
      <c r="N205" t="s">
        <v>249</v>
      </c>
      <c r="Q205" t="s">
        <v>197</v>
      </c>
      <c r="R205" t="s">
        <v>26</v>
      </c>
      <c r="S205" t="s">
        <v>32</v>
      </c>
      <c r="T205" t="s">
        <v>216</v>
      </c>
      <c r="V205" s="1">
        <v>2.9999999999999997E-8</v>
      </c>
      <c r="W205" s="2"/>
      <c r="X205">
        <f t="shared" si="28"/>
        <v>4.5</v>
      </c>
      <c r="Y205"/>
      <c r="Z205" t="s">
        <v>259</v>
      </c>
    </row>
    <row r="206" spans="1:26" x14ac:dyDescent="0.25">
      <c r="A206" t="s">
        <v>121</v>
      </c>
      <c r="B206" t="s">
        <v>119</v>
      </c>
      <c r="C206" t="s">
        <v>120</v>
      </c>
      <c r="D206" t="s">
        <v>12</v>
      </c>
      <c r="E206" t="s">
        <v>13</v>
      </c>
      <c r="F206" t="s">
        <v>14</v>
      </c>
      <c r="G206" t="s">
        <v>14</v>
      </c>
      <c r="H206" t="s">
        <v>247</v>
      </c>
      <c r="I206">
        <f>+AVERAGE(31,40)</f>
        <v>35.5</v>
      </c>
      <c r="J206" t="s">
        <v>279</v>
      </c>
      <c r="K206" t="s">
        <v>187</v>
      </c>
      <c r="L206" t="s">
        <v>249</v>
      </c>
      <c r="M206" t="s">
        <v>184</v>
      </c>
      <c r="N206" t="s">
        <v>249</v>
      </c>
      <c r="Q206" t="s">
        <v>197</v>
      </c>
      <c r="R206" t="s">
        <v>45</v>
      </c>
      <c r="S206" t="s">
        <v>27</v>
      </c>
      <c r="T206" t="s">
        <v>215</v>
      </c>
      <c r="V206" s="1">
        <v>4.7000000000000004E-8</v>
      </c>
      <c r="W206" s="2"/>
      <c r="X206">
        <f>+AVERAGE(12.5,13.5)</f>
        <v>13</v>
      </c>
      <c r="Y206">
        <f>+AVERAGE(0.7,1.2)</f>
        <v>0.95</v>
      </c>
      <c r="Z206" t="s">
        <v>22</v>
      </c>
    </row>
    <row r="207" spans="1:26" x14ac:dyDescent="0.25">
      <c r="A207" t="s">
        <v>121</v>
      </c>
      <c r="B207" t="s">
        <v>119</v>
      </c>
      <c r="C207" t="s">
        <v>120</v>
      </c>
      <c r="D207" t="s">
        <v>12</v>
      </c>
      <c r="E207" t="s">
        <v>13</v>
      </c>
      <c r="F207" t="s">
        <v>14</v>
      </c>
      <c r="G207" t="s">
        <v>14</v>
      </c>
      <c r="H207" t="s">
        <v>247</v>
      </c>
      <c r="I207">
        <f t="shared" ref="I207:I213" si="29">+AVERAGE(31,40)</f>
        <v>35.5</v>
      </c>
      <c r="J207" t="s">
        <v>279</v>
      </c>
      <c r="K207" t="s">
        <v>187</v>
      </c>
      <c r="L207" t="s">
        <v>249</v>
      </c>
      <c r="M207" t="s">
        <v>183</v>
      </c>
      <c r="N207" t="s">
        <v>249</v>
      </c>
      <c r="Q207" t="s">
        <v>197</v>
      </c>
      <c r="R207" t="s">
        <v>45</v>
      </c>
      <c r="S207" t="s">
        <v>27</v>
      </c>
      <c r="T207" t="s">
        <v>215</v>
      </c>
      <c r="V207" s="1">
        <v>4.9999999999999998E-8</v>
      </c>
      <c r="W207" s="2"/>
      <c r="X207">
        <f t="shared" ref="X207:X213" si="30">+AVERAGE(12.5,13.5)</f>
        <v>13</v>
      </c>
      <c r="Y207">
        <f>+AVERAGE(0.5,0.9)</f>
        <v>0.7</v>
      </c>
      <c r="Z207" t="s">
        <v>22</v>
      </c>
    </row>
    <row r="208" spans="1:26" x14ac:dyDescent="0.25">
      <c r="A208" t="s">
        <v>121</v>
      </c>
      <c r="B208" t="s">
        <v>119</v>
      </c>
      <c r="C208" t="s">
        <v>120</v>
      </c>
      <c r="D208" t="s">
        <v>12</v>
      </c>
      <c r="E208" t="s">
        <v>13</v>
      </c>
      <c r="F208" t="s">
        <v>14</v>
      </c>
      <c r="G208" t="s">
        <v>14</v>
      </c>
      <c r="H208" t="s">
        <v>247</v>
      </c>
      <c r="I208">
        <f t="shared" si="29"/>
        <v>35.5</v>
      </c>
      <c r="J208" t="s">
        <v>279</v>
      </c>
      <c r="K208" t="s">
        <v>188</v>
      </c>
      <c r="L208" t="s">
        <v>249</v>
      </c>
      <c r="M208" t="s">
        <v>184</v>
      </c>
      <c r="N208" t="s">
        <v>249</v>
      </c>
      <c r="Q208" t="s">
        <v>197</v>
      </c>
      <c r="R208" t="s">
        <v>45</v>
      </c>
      <c r="S208" t="s">
        <v>27</v>
      </c>
      <c r="T208" t="s">
        <v>215</v>
      </c>
      <c r="V208" s="1">
        <v>3.1E-8</v>
      </c>
      <c r="W208" s="2"/>
      <c r="X208">
        <f t="shared" si="30"/>
        <v>13</v>
      </c>
      <c r="Y208">
        <f t="shared" ref="Y208" si="31">+AVERAGE(0.7,1.2)</f>
        <v>0.95</v>
      </c>
      <c r="Z208" t="s">
        <v>22</v>
      </c>
    </row>
    <row r="209" spans="1:26" x14ac:dyDescent="0.25">
      <c r="A209" t="s">
        <v>121</v>
      </c>
      <c r="B209" t="s">
        <v>119</v>
      </c>
      <c r="C209" t="s">
        <v>120</v>
      </c>
      <c r="D209" t="s">
        <v>12</v>
      </c>
      <c r="E209" t="s">
        <v>13</v>
      </c>
      <c r="F209" t="s">
        <v>14</v>
      </c>
      <c r="G209" t="s">
        <v>14</v>
      </c>
      <c r="H209" t="s">
        <v>247</v>
      </c>
      <c r="I209">
        <f t="shared" si="29"/>
        <v>35.5</v>
      </c>
      <c r="J209" t="s">
        <v>279</v>
      </c>
      <c r="K209" t="s">
        <v>188</v>
      </c>
      <c r="L209" t="s">
        <v>249</v>
      </c>
      <c r="M209" t="s">
        <v>183</v>
      </c>
      <c r="N209" t="s">
        <v>249</v>
      </c>
      <c r="Q209" t="s">
        <v>197</v>
      </c>
      <c r="R209" t="s">
        <v>45</v>
      </c>
      <c r="S209" t="s">
        <v>27</v>
      </c>
      <c r="T209" t="s">
        <v>215</v>
      </c>
      <c r="V209" s="1">
        <v>2.2999999999999998E-8</v>
      </c>
      <c r="W209" s="2"/>
      <c r="X209">
        <f t="shared" si="30"/>
        <v>13</v>
      </c>
      <c r="Y209">
        <f t="shared" ref="Y209" si="32">+AVERAGE(0.5,0.9)</f>
        <v>0.7</v>
      </c>
      <c r="Z209" t="s">
        <v>22</v>
      </c>
    </row>
    <row r="210" spans="1:26" x14ac:dyDescent="0.25">
      <c r="A210" t="s">
        <v>121</v>
      </c>
      <c r="B210" t="s">
        <v>119</v>
      </c>
      <c r="C210" t="s">
        <v>120</v>
      </c>
      <c r="D210" t="s">
        <v>12</v>
      </c>
      <c r="E210" t="s">
        <v>13</v>
      </c>
      <c r="F210" t="s">
        <v>14</v>
      </c>
      <c r="G210" t="s">
        <v>14</v>
      </c>
      <c r="H210" t="s">
        <v>247</v>
      </c>
      <c r="I210">
        <f t="shared" si="29"/>
        <v>35.5</v>
      </c>
      <c r="J210" t="s">
        <v>279</v>
      </c>
      <c r="K210" t="s">
        <v>187</v>
      </c>
      <c r="L210" t="s">
        <v>249</v>
      </c>
      <c r="M210" t="s">
        <v>184</v>
      </c>
      <c r="N210" t="s">
        <v>249</v>
      </c>
      <c r="Q210" t="s">
        <v>197</v>
      </c>
      <c r="R210" t="s">
        <v>45</v>
      </c>
      <c r="S210" t="s">
        <v>27</v>
      </c>
      <c r="T210" t="s">
        <v>216</v>
      </c>
      <c r="V210" s="1">
        <v>4.0000000000000001E-8</v>
      </c>
      <c r="W210" s="2"/>
      <c r="X210">
        <f t="shared" si="30"/>
        <v>13</v>
      </c>
      <c r="Y210">
        <f t="shared" ref="Y210" si="33">+AVERAGE(0.7,1.2)</f>
        <v>0.95</v>
      </c>
      <c r="Z210" t="s">
        <v>22</v>
      </c>
    </row>
    <row r="211" spans="1:26" x14ac:dyDescent="0.25">
      <c r="A211" t="s">
        <v>121</v>
      </c>
      <c r="B211" t="s">
        <v>119</v>
      </c>
      <c r="C211" t="s">
        <v>120</v>
      </c>
      <c r="D211" t="s">
        <v>12</v>
      </c>
      <c r="E211" t="s">
        <v>13</v>
      </c>
      <c r="F211" t="s">
        <v>14</v>
      </c>
      <c r="G211" t="s">
        <v>14</v>
      </c>
      <c r="H211" t="s">
        <v>247</v>
      </c>
      <c r="I211">
        <f t="shared" si="29"/>
        <v>35.5</v>
      </c>
      <c r="J211" t="s">
        <v>279</v>
      </c>
      <c r="K211" t="s">
        <v>187</v>
      </c>
      <c r="L211" t="s">
        <v>249</v>
      </c>
      <c r="M211" t="s">
        <v>183</v>
      </c>
      <c r="N211" t="s">
        <v>249</v>
      </c>
      <c r="Q211" t="s">
        <v>197</v>
      </c>
      <c r="R211" t="s">
        <v>45</v>
      </c>
      <c r="S211" t="s">
        <v>27</v>
      </c>
      <c r="T211" t="s">
        <v>216</v>
      </c>
      <c r="V211" s="1">
        <v>9.199999999999999E-8</v>
      </c>
      <c r="W211" s="2"/>
      <c r="X211">
        <f t="shared" si="30"/>
        <v>13</v>
      </c>
      <c r="Y211">
        <f t="shared" ref="Y211" si="34">+AVERAGE(0.5,0.9)</f>
        <v>0.7</v>
      </c>
      <c r="Z211" t="s">
        <v>22</v>
      </c>
    </row>
    <row r="212" spans="1:26" x14ac:dyDescent="0.25">
      <c r="A212" t="s">
        <v>121</v>
      </c>
      <c r="B212" t="s">
        <v>119</v>
      </c>
      <c r="C212" t="s">
        <v>120</v>
      </c>
      <c r="D212" t="s">
        <v>12</v>
      </c>
      <c r="E212" t="s">
        <v>13</v>
      </c>
      <c r="F212" t="s">
        <v>14</v>
      </c>
      <c r="G212" t="s">
        <v>14</v>
      </c>
      <c r="H212" t="s">
        <v>247</v>
      </c>
      <c r="I212">
        <f t="shared" si="29"/>
        <v>35.5</v>
      </c>
      <c r="J212" t="s">
        <v>279</v>
      </c>
      <c r="K212" t="s">
        <v>188</v>
      </c>
      <c r="L212" t="s">
        <v>249</v>
      </c>
      <c r="M212" t="s">
        <v>184</v>
      </c>
      <c r="N212" t="s">
        <v>249</v>
      </c>
      <c r="Q212" t="s">
        <v>197</v>
      </c>
      <c r="R212" t="s">
        <v>45</v>
      </c>
      <c r="S212" t="s">
        <v>27</v>
      </c>
      <c r="T212" t="s">
        <v>216</v>
      </c>
      <c r="V212" s="1">
        <v>2E-8</v>
      </c>
      <c r="W212" s="2"/>
      <c r="X212">
        <f t="shared" si="30"/>
        <v>13</v>
      </c>
      <c r="Y212">
        <f t="shared" ref="Y212" si="35">+AVERAGE(0.7,1.2)</f>
        <v>0.95</v>
      </c>
      <c r="Z212" t="s">
        <v>22</v>
      </c>
    </row>
    <row r="213" spans="1:26" x14ac:dyDescent="0.25">
      <c r="A213" t="s">
        <v>121</v>
      </c>
      <c r="B213" t="s">
        <v>119</v>
      </c>
      <c r="C213" t="s">
        <v>120</v>
      </c>
      <c r="D213" t="s">
        <v>12</v>
      </c>
      <c r="E213" t="s">
        <v>13</v>
      </c>
      <c r="F213" t="s">
        <v>14</v>
      </c>
      <c r="G213" t="s">
        <v>14</v>
      </c>
      <c r="H213" t="s">
        <v>247</v>
      </c>
      <c r="I213">
        <f t="shared" si="29"/>
        <v>35.5</v>
      </c>
      <c r="J213" t="s">
        <v>279</v>
      </c>
      <c r="K213" t="s">
        <v>188</v>
      </c>
      <c r="L213" t="s">
        <v>249</v>
      </c>
      <c r="M213" t="s">
        <v>183</v>
      </c>
      <c r="N213" t="s">
        <v>249</v>
      </c>
      <c r="Q213" t="s">
        <v>197</v>
      </c>
      <c r="R213" t="s">
        <v>45</v>
      </c>
      <c r="S213" t="s">
        <v>27</v>
      </c>
      <c r="T213" t="s">
        <v>216</v>
      </c>
      <c r="V213" s="1">
        <v>2.1000000000000003E-8</v>
      </c>
      <c r="W213" s="2"/>
      <c r="X213">
        <f t="shared" si="30"/>
        <v>13</v>
      </c>
      <c r="Y213">
        <f t="shared" ref="Y213" si="36">+AVERAGE(0.5,0.9)</f>
        <v>0.7</v>
      </c>
      <c r="Z213" t="s">
        <v>22</v>
      </c>
    </row>
    <row r="214" spans="1:26" x14ac:dyDescent="0.25">
      <c r="A214" t="s">
        <v>122</v>
      </c>
      <c r="B214" t="s">
        <v>123</v>
      </c>
      <c r="C214" t="s">
        <v>124</v>
      </c>
      <c r="D214" t="s">
        <v>125</v>
      </c>
      <c r="E214" t="s">
        <v>112</v>
      </c>
      <c r="G214" t="s">
        <v>113</v>
      </c>
      <c r="H214" t="s">
        <v>113</v>
      </c>
      <c r="I214">
        <f>30+45</f>
        <v>75</v>
      </c>
      <c r="J214" t="s">
        <v>127</v>
      </c>
      <c r="K214" t="s">
        <v>17</v>
      </c>
      <c r="L214" t="str">
        <f t="shared" ref="L214:L225" si="37">+IF(K214="Control","Control","Stress")</f>
        <v>Control</v>
      </c>
      <c r="M214" t="s">
        <v>17</v>
      </c>
      <c r="N214" t="str">
        <f t="shared" ref="N214:N221" si="38">+IF(M214="Control", "Control", "Stress")</f>
        <v>Control</v>
      </c>
      <c r="Q214" t="s">
        <v>197</v>
      </c>
      <c r="R214" t="s">
        <v>116</v>
      </c>
      <c r="S214" t="s">
        <v>27</v>
      </c>
      <c r="T214" t="s">
        <v>215</v>
      </c>
      <c r="V214" s="1">
        <f>[22]Martre_etal_2001_Fig3!B2</f>
        <v>3.8828828828828801E-7</v>
      </c>
      <c r="W214" s="2"/>
      <c r="X214">
        <f>+AVERAGE(6,8)</f>
        <v>7</v>
      </c>
      <c r="Y214">
        <v>1.8</v>
      </c>
      <c r="Z214" t="s">
        <v>52</v>
      </c>
    </row>
    <row r="215" spans="1:26" x14ac:dyDescent="0.25">
      <c r="A215" t="s">
        <v>122</v>
      </c>
      <c r="B215" t="s">
        <v>123</v>
      </c>
      <c r="C215" t="s">
        <v>124</v>
      </c>
      <c r="D215" t="s">
        <v>125</v>
      </c>
      <c r="E215" t="s">
        <v>112</v>
      </c>
      <c r="G215" t="s">
        <v>113</v>
      </c>
      <c r="H215" t="s">
        <v>113</v>
      </c>
      <c r="I215">
        <f t="shared" ref="I215:I225" si="39">30+45</f>
        <v>75</v>
      </c>
      <c r="J215" t="s">
        <v>127</v>
      </c>
      <c r="K215" t="s">
        <v>17</v>
      </c>
      <c r="L215" t="str">
        <f t="shared" si="37"/>
        <v>Control</v>
      </c>
      <c r="M215" t="s">
        <v>243</v>
      </c>
      <c r="N215" t="str">
        <f t="shared" si="38"/>
        <v>Stress</v>
      </c>
      <c r="Q215" t="s">
        <v>197</v>
      </c>
      <c r="R215" t="s">
        <v>116</v>
      </c>
      <c r="S215" t="s">
        <v>27</v>
      </c>
      <c r="T215" t="s">
        <v>215</v>
      </c>
      <c r="V215" s="1">
        <f>[22]Martre_etal_2001_Fig3!B3</f>
        <v>2.6576576576576503E-7</v>
      </c>
      <c r="W215" s="2"/>
      <c r="X215">
        <f t="shared" ref="X215:X224" si="40">+AVERAGE(6,8)</f>
        <v>7</v>
      </c>
      <c r="Y215">
        <v>1.8</v>
      </c>
      <c r="Z215" t="s">
        <v>52</v>
      </c>
    </row>
    <row r="216" spans="1:26" x14ac:dyDescent="0.25">
      <c r="A216" t="s">
        <v>122</v>
      </c>
      <c r="B216" t="s">
        <v>123</v>
      </c>
      <c r="C216" t="s">
        <v>124</v>
      </c>
      <c r="D216" t="s">
        <v>125</v>
      </c>
      <c r="E216" t="s">
        <v>112</v>
      </c>
      <c r="G216" t="s">
        <v>113</v>
      </c>
      <c r="H216" t="s">
        <v>113</v>
      </c>
      <c r="I216">
        <f t="shared" si="39"/>
        <v>75</v>
      </c>
      <c r="J216" t="s">
        <v>127</v>
      </c>
      <c r="K216" t="s">
        <v>117</v>
      </c>
      <c r="L216" t="str">
        <f t="shared" si="37"/>
        <v>Stress</v>
      </c>
      <c r="M216" t="s">
        <v>17</v>
      </c>
      <c r="N216" t="str">
        <f t="shared" si="38"/>
        <v>Control</v>
      </c>
      <c r="Q216" t="s">
        <v>197</v>
      </c>
      <c r="R216" t="s">
        <v>116</v>
      </c>
      <c r="S216" t="s">
        <v>27</v>
      </c>
      <c r="T216" t="s">
        <v>215</v>
      </c>
      <c r="V216" s="1">
        <f>[22]Martre_etal_2001_Fig3!B4</f>
        <v>1.5855855855855801E-7</v>
      </c>
      <c r="W216" s="2"/>
      <c r="X216">
        <f t="shared" si="40"/>
        <v>7</v>
      </c>
      <c r="Y216">
        <v>1.8</v>
      </c>
      <c r="Z216" t="s">
        <v>52</v>
      </c>
    </row>
    <row r="217" spans="1:26" x14ac:dyDescent="0.25">
      <c r="A217" t="s">
        <v>122</v>
      </c>
      <c r="B217" t="s">
        <v>123</v>
      </c>
      <c r="C217" t="s">
        <v>124</v>
      </c>
      <c r="D217" t="s">
        <v>125</v>
      </c>
      <c r="E217" t="s">
        <v>112</v>
      </c>
      <c r="G217" t="s">
        <v>113</v>
      </c>
      <c r="H217" t="s">
        <v>113</v>
      </c>
      <c r="I217">
        <f t="shared" si="39"/>
        <v>75</v>
      </c>
      <c r="J217" t="s">
        <v>127</v>
      </c>
      <c r="K217" t="s">
        <v>117</v>
      </c>
      <c r="L217" t="str">
        <f t="shared" si="37"/>
        <v>Stress</v>
      </c>
      <c r="M217" t="s">
        <v>243</v>
      </c>
      <c r="N217" t="str">
        <f t="shared" si="38"/>
        <v>Stress</v>
      </c>
      <c r="Q217" t="s">
        <v>197</v>
      </c>
      <c r="R217" t="s">
        <v>116</v>
      </c>
      <c r="S217" t="s">
        <v>27</v>
      </c>
      <c r="T217" t="s">
        <v>215</v>
      </c>
      <c r="V217" s="1">
        <f>[22]Martre_etal_2001_Fig3!B5</f>
        <v>1.6396396396396301E-7</v>
      </c>
      <c r="W217" s="2"/>
      <c r="X217">
        <f t="shared" si="40"/>
        <v>7</v>
      </c>
      <c r="Y217">
        <v>1.8</v>
      </c>
      <c r="Z217" t="s">
        <v>52</v>
      </c>
    </row>
    <row r="218" spans="1:26" x14ac:dyDescent="0.25">
      <c r="A218" t="s">
        <v>122</v>
      </c>
      <c r="B218" t="s">
        <v>123</v>
      </c>
      <c r="C218" t="s">
        <v>124</v>
      </c>
      <c r="D218" t="s">
        <v>125</v>
      </c>
      <c r="E218" t="s">
        <v>112</v>
      </c>
      <c r="G218" t="s">
        <v>113</v>
      </c>
      <c r="H218" t="s">
        <v>113</v>
      </c>
      <c r="I218">
        <f t="shared" si="39"/>
        <v>75</v>
      </c>
      <c r="J218" t="s">
        <v>127</v>
      </c>
      <c r="K218" t="s">
        <v>17</v>
      </c>
      <c r="L218" t="str">
        <f t="shared" si="37"/>
        <v>Control</v>
      </c>
      <c r="M218" t="s">
        <v>17</v>
      </c>
      <c r="N218" t="str">
        <f t="shared" si="38"/>
        <v>Control</v>
      </c>
      <c r="Q218" t="s">
        <v>197</v>
      </c>
      <c r="R218" t="s">
        <v>116</v>
      </c>
      <c r="S218" t="s">
        <v>114</v>
      </c>
      <c r="T218" t="s">
        <v>215</v>
      </c>
      <c r="V218" s="1">
        <f>[22]Martre_etal_2001_Fig3!B6</f>
        <v>5.6706443914081203E-7</v>
      </c>
      <c r="W218" s="2"/>
      <c r="X218">
        <f t="shared" si="40"/>
        <v>7</v>
      </c>
      <c r="Y218">
        <v>1.8</v>
      </c>
      <c r="Z218" t="s">
        <v>52</v>
      </c>
    </row>
    <row r="219" spans="1:26" x14ac:dyDescent="0.25">
      <c r="A219" t="s">
        <v>122</v>
      </c>
      <c r="B219" t="s">
        <v>123</v>
      </c>
      <c r="C219" t="s">
        <v>124</v>
      </c>
      <c r="D219" t="s">
        <v>125</v>
      </c>
      <c r="E219" t="s">
        <v>112</v>
      </c>
      <c r="G219" t="s">
        <v>113</v>
      </c>
      <c r="H219" t="s">
        <v>113</v>
      </c>
      <c r="I219">
        <f t="shared" si="39"/>
        <v>75</v>
      </c>
      <c r="J219" t="s">
        <v>127</v>
      </c>
      <c r="K219" t="s">
        <v>17</v>
      </c>
      <c r="L219" t="str">
        <f t="shared" si="37"/>
        <v>Control</v>
      </c>
      <c r="M219" t="s">
        <v>243</v>
      </c>
      <c r="N219" t="str">
        <f t="shared" si="38"/>
        <v>Stress</v>
      </c>
      <c r="Q219" t="s">
        <v>197</v>
      </c>
      <c r="R219" t="s">
        <v>116</v>
      </c>
      <c r="S219" t="s">
        <v>114</v>
      </c>
      <c r="T219" t="s">
        <v>215</v>
      </c>
      <c r="V219" s="1">
        <f>[22]Martre_etal_2001_Fig3!B7</f>
        <v>5.9713603818615702E-7</v>
      </c>
      <c r="W219" s="2"/>
      <c r="X219">
        <f t="shared" si="40"/>
        <v>7</v>
      </c>
      <c r="Y219">
        <v>1.8</v>
      </c>
      <c r="Z219" t="s">
        <v>52</v>
      </c>
    </row>
    <row r="220" spans="1:26" x14ac:dyDescent="0.25">
      <c r="A220" t="s">
        <v>122</v>
      </c>
      <c r="B220" t="s">
        <v>123</v>
      </c>
      <c r="C220" t="s">
        <v>124</v>
      </c>
      <c r="D220" t="s">
        <v>125</v>
      </c>
      <c r="E220" t="s">
        <v>112</v>
      </c>
      <c r="G220" t="s">
        <v>113</v>
      </c>
      <c r="H220" t="s">
        <v>113</v>
      </c>
      <c r="I220">
        <f t="shared" si="39"/>
        <v>75</v>
      </c>
      <c r="J220" t="s">
        <v>127</v>
      </c>
      <c r="K220" t="s">
        <v>117</v>
      </c>
      <c r="L220" t="str">
        <f t="shared" si="37"/>
        <v>Stress</v>
      </c>
      <c r="M220" t="s">
        <v>17</v>
      </c>
      <c r="N220" t="str">
        <f t="shared" si="38"/>
        <v>Control</v>
      </c>
      <c r="Q220" t="s">
        <v>197</v>
      </c>
      <c r="R220" t="s">
        <v>116</v>
      </c>
      <c r="S220" t="s">
        <v>114</v>
      </c>
      <c r="T220" t="s">
        <v>215</v>
      </c>
      <c r="V220" s="1">
        <f>[22]Martre_etal_2001_Fig3!B8</f>
        <v>1.56085918854415E-7</v>
      </c>
      <c r="W220" s="2"/>
      <c r="X220">
        <f t="shared" si="40"/>
        <v>7</v>
      </c>
      <c r="Y220">
        <v>1.8</v>
      </c>
      <c r="Z220" t="s">
        <v>52</v>
      </c>
    </row>
    <row r="221" spans="1:26" x14ac:dyDescent="0.25">
      <c r="A221" t="s">
        <v>122</v>
      </c>
      <c r="B221" t="s">
        <v>123</v>
      </c>
      <c r="C221" t="s">
        <v>124</v>
      </c>
      <c r="D221" t="s">
        <v>125</v>
      </c>
      <c r="E221" t="s">
        <v>112</v>
      </c>
      <c r="G221" t="s">
        <v>113</v>
      </c>
      <c r="H221" t="s">
        <v>113</v>
      </c>
      <c r="I221">
        <f t="shared" si="39"/>
        <v>75</v>
      </c>
      <c r="J221" t="s">
        <v>127</v>
      </c>
      <c r="K221" t="s">
        <v>117</v>
      </c>
      <c r="L221" t="str">
        <f t="shared" si="37"/>
        <v>Stress</v>
      </c>
      <c r="M221" t="s">
        <v>243</v>
      </c>
      <c r="N221" t="str">
        <f t="shared" si="38"/>
        <v>Stress</v>
      </c>
      <c r="Q221" t="s">
        <v>197</v>
      </c>
      <c r="R221" t="s">
        <v>116</v>
      </c>
      <c r="S221" t="s">
        <v>114</v>
      </c>
      <c r="T221" t="s">
        <v>215</v>
      </c>
      <c r="V221" s="1">
        <f>[22]Martre_etal_2001_Fig3!B9</f>
        <v>1.60381861575178E-7</v>
      </c>
      <c r="W221" s="2"/>
      <c r="X221">
        <f t="shared" si="40"/>
        <v>7</v>
      </c>
      <c r="Y221">
        <v>1.8</v>
      </c>
      <c r="Z221" t="s">
        <v>52</v>
      </c>
    </row>
    <row r="222" spans="1:26" x14ac:dyDescent="0.25">
      <c r="A222" t="s">
        <v>122</v>
      </c>
      <c r="B222" t="s">
        <v>123</v>
      </c>
      <c r="C222" t="s">
        <v>124</v>
      </c>
      <c r="D222" t="s">
        <v>125</v>
      </c>
      <c r="E222" t="s">
        <v>112</v>
      </c>
      <c r="G222" t="s">
        <v>113</v>
      </c>
      <c r="H222" t="s">
        <v>113</v>
      </c>
      <c r="I222">
        <f t="shared" si="39"/>
        <v>75</v>
      </c>
      <c r="J222" t="s">
        <v>117</v>
      </c>
      <c r="K222" t="s">
        <v>17</v>
      </c>
      <c r="L222" t="str">
        <f t="shared" si="37"/>
        <v>Control</v>
      </c>
      <c r="Q222" t="s">
        <v>197</v>
      </c>
      <c r="R222" t="s">
        <v>116</v>
      </c>
      <c r="S222" t="s">
        <v>27</v>
      </c>
      <c r="T222" t="s">
        <v>215</v>
      </c>
      <c r="V222" s="1">
        <f>[23]Martre_etal_2001_Fig5!B2</f>
        <v>3.47328244274809E-7</v>
      </c>
      <c r="W222" s="2"/>
      <c r="X222">
        <f t="shared" si="40"/>
        <v>7</v>
      </c>
      <c r="Y222">
        <v>1.8</v>
      </c>
      <c r="Z222" t="s">
        <v>74</v>
      </c>
    </row>
    <row r="223" spans="1:26" x14ac:dyDescent="0.25">
      <c r="A223" t="s">
        <v>122</v>
      </c>
      <c r="B223" t="s">
        <v>123</v>
      </c>
      <c r="C223" t="s">
        <v>124</v>
      </c>
      <c r="D223" t="s">
        <v>125</v>
      </c>
      <c r="E223" t="s">
        <v>112</v>
      </c>
      <c r="G223" t="s">
        <v>113</v>
      </c>
      <c r="H223" t="s">
        <v>113</v>
      </c>
      <c r="I223">
        <f t="shared" si="39"/>
        <v>75</v>
      </c>
      <c r="J223" t="s">
        <v>117</v>
      </c>
      <c r="K223" t="s">
        <v>117</v>
      </c>
      <c r="L223" t="str">
        <f t="shared" si="37"/>
        <v>Stress</v>
      </c>
      <c r="Q223" t="s">
        <v>197</v>
      </c>
      <c r="R223" t="s">
        <v>116</v>
      </c>
      <c r="S223" t="s">
        <v>27</v>
      </c>
      <c r="T223" t="s">
        <v>215</v>
      </c>
      <c r="V223" s="1">
        <f>[23]Martre_etal_2001_Fig5!B3</f>
        <v>6.6793893129770905E-8</v>
      </c>
      <c r="W223" s="2"/>
      <c r="X223">
        <f t="shared" si="40"/>
        <v>7</v>
      </c>
      <c r="Y223">
        <v>1.8</v>
      </c>
      <c r="Z223" t="s">
        <v>74</v>
      </c>
    </row>
    <row r="224" spans="1:26" x14ac:dyDescent="0.25">
      <c r="A224" t="s">
        <v>122</v>
      </c>
      <c r="B224" t="s">
        <v>123</v>
      </c>
      <c r="C224" t="s">
        <v>124</v>
      </c>
      <c r="D224" t="s">
        <v>125</v>
      </c>
      <c r="E224" t="s">
        <v>112</v>
      </c>
      <c r="G224" t="s">
        <v>113</v>
      </c>
      <c r="H224" t="s">
        <v>113</v>
      </c>
      <c r="I224">
        <f t="shared" si="39"/>
        <v>75</v>
      </c>
      <c r="J224" t="s">
        <v>117</v>
      </c>
      <c r="K224" t="s">
        <v>17</v>
      </c>
      <c r="L224" t="str">
        <f t="shared" si="37"/>
        <v>Control</v>
      </c>
      <c r="Q224" t="s">
        <v>197</v>
      </c>
      <c r="R224" t="s">
        <v>116</v>
      </c>
      <c r="S224" t="s">
        <v>114</v>
      </c>
      <c r="T224" t="s">
        <v>215</v>
      </c>
      <c r="V224" s="1">
        <f>[23]Martre_etal_2001_Fig5!B4</f>
        <v>8.0818965517241303E-7</v>
      </c>
      <c r="W224" s="2"/>
      <c r="X224">
        <f t="shared" si="40"/>
        <v>7</v>
      </c>
      <c r="Y224">
        <v>1.8</v>
      </c>
      <c r="Z224" t="s">
        <v>74</v>
      </c>
    </row>
    <row r="225" spans="1:26" x14ac:dyDescent="0.25">
      <c r="A225" t="s">
        <v>122</v>
      </c>
      <c r="B225" t="s">
        <v>123</v>
      </c>
      <c r="C225" t="s">
        <v>124</v>
      </c>
      <c r="D225" t="s">
        <v>125</v>
      </c>
      <c r="E225" t="s">
        <v>112</v>
      </c>
      <c r="G225" t="s">
        <v>113</v>
      </c>
      <c r="H225" t="s">
        <v>113</v>
      </c>
      <c r="I225">
        <f t="shared" si="39"/>
        <v>75</v>
      </c>
      <c r="J225" t="s">
        <v>117</v>
      </c>
      <c r="K225" t="s">
        <v>117</v>
      </c>
      <c r="L225" t="str">
        <f t="shared" si="37"/>
        <v>Stress</v>
      </c>
      <c r="Q225" t="s">
        <v>197</v>
      </c>
      <c r="R225" t="s">
        <v>116</v>
      </c>
      <c r="S225" t="s">
        <v>114</v>
      </c>
      <c r="T225" t="s">
        <v>215</v>
      </c>
      <c r="V225" s="1">
        <f>[23]Martre_etal_2001_Fig5!B5</f>
        <v>1.6163793103448101E-7</v>
      </c>
      <c r="W225" s="2"/>
      <c r="X225">
        <v>7</v>
      </c>
      <c r="Y225">
        <v>1.8</v>
      </c>
      <c r="Z225" t="s">
        <v>74</v>
      </c>
    </row>
    <row r="226" spans="1:26" x14ac:dyDescent="0.25">
      <c r="A226" t="s">
        <v>126</v>
      </c>
      <c r="B226" t="s">
        <v>20</v>
      </c>
      <c r="C226" t="s">
        <v>21</v>
      </c>
      <c r="D226" t="s">
        <v>12</v>
      </c>
      <c r="E226" t="s">
        <v>15</v>
      </c>
      <c r="F226" t="s">
        <v>16</v>
      </c>
      <c r="G226" t="s">
        <v>16</v>
      </c>
      <c r="H226" t="s">
        <v>247</v>
      </c>
      <c r="I226">
        <v>7</v>
      </c>
      <c r="J226" t="s">
        <v>280</v>
      </c>
      <c r="K226" t="s">
        <v>187</v>
      </c>
      <c r="L226" t="s">
        <v>249</v>
      </c>
      <c r="Q226" t="s">
        <v>198</v>
      </c>
      <c r="R226" t="s">
        <v>30</v>
      </c>
      <c r="S226" t="s">
        <v>71</v>
      </c>
      <c r="T226" t="s">
        <v>215</v>
      </c>
      <c r="V226" s="1">
        <v>8.4999999999999994E-8</v>
      </c>
      <c r="W226">
        <v>4.08</v>
      </c>
      <c r="X226">
        <v>13.8</v>
      </c>
      <c r="Y226" s="3"/>
      <c r="Z226" t="s">
        <v>22</v>
      </c>
    </row>
    <row r="227" spans="1:26" x14ac:dyDescent="0.25">
      <c r="A227" t="s">
        <v>126</v>
      </c>
      <c r="B227" t="s">
        <v>20</v>
      </c>
      <c r="C227" t="s">
        <v>21</v>
      </c>
      <c r="D227" t="s">
        <v>12</v>
      </c>
      <c r="E227" t="s">
        <v>15</v>
      </c>
      <c r="F227" t="s">
        <v>16</v>
      </c>
      <c r="G227" t="s">
        <v>16</v>
      </c>
      <c r="H227" t="s">
        <v>247</v>
      </c>
      <c r="I227">
        <v>6.7</v>
      </c>
      <c r="J227" t="s">
        <v>280</v>
      </c>
      <c r="K227" t="s">
        <v>187</v>
      </c>
      <c r="L227" t="s">
        <v>249</v>
      </c>
      <c r="Q227" t="s">
        <v>197</v>
      </c>
      <c r="R227" t="s">
        <v>30</v>
      </c>
      <c r="S227" t="s">
        <v>71</v>
      </c>
      <c r="T227" t="s">
        <v>215</v>
      </c>
      <c r="V227" s="1">
        <v>1.7600000000000001E-7</v>
      </c>
      <c r="W227">
        <v>3.59</v>
      </c>
      <c r="X227">
        <v>13.819999999999999</v>
      </c>
      <c r="Y227" s="3"/>
      <c r="Z227" t="s">
        <v>22</v>
      </c>
    </row>
    <row r="228" spans="1:26" x14ac:dyDescent="0.25">
      <c r="A228" t="s">
        <v>126</v>
      </c>
      <c r="B228" t="s">
        <v>20</v>
      </c>
      <c r="C228" t="s">
        <v>21</v>
      </c>
      <c r="D228" t="s">
        <v>12</v>
      </c>
      <c r="E228" t="s">
        <v>15</v>
      </c>
      <c r="F228" t="s">
        <v>16</v>
      </c>
      <c r="G228" t="s">
        <v>16</v>
      </c>
      <c r="H228" t="s">
        <v>247</v>
      </c>
      <c r="I228">
        <v>6</v>
      </c>
      <c r="J228" t="s">
        <v>280</v>
      </c>
      <c r="K228" t="s">
        <v>187</v>
      </c>
      <c r="L228" t="s">
        <v>249</v>
      </c>
      <c r="Q228" t="s">
        <v>199</v>
      </c>
      <c r="R228" t="s">
        <v>30</v>
      </c>
      <c r="S228" t="s">
        <v>71</v>
      </c>
      <c r="T228" t="s">
        <v>215</v>
      </c>
      <c r="V228" s="1">
        <v>3.0199999999999998E-7</v>
      </c>
      <c r="W228">
        <v>3.41</v>
      </c>
      <c r="X228">
        <v>14.6</v>
      </c>
      <c r="Y228" s="3"/>
      <c r="Z228" t="s">
        <v>22</v>
      </c>
    </row>
    <row r="229" spans="1:26" x14ac:dyDescent="0.25">
      <c r="A229" t="s">
        <v>126</v>
      </c>
      <c r="B229" t="s">
        <v>20</v>
      </c>
      <c r="C229" t="s">
        <v>21</v>
      </c>
      <c r="D229" t="s">
        <v>12</v>
      </c>
      <c r="E229" t="s">
        <v>15</v>
      </c>
      <c r="F229" t="s">
        <v>16</v>
      </c>
      <c r="G229" t="s">
        <v>16</v>
      </c>
      <c r="H229" t="s">
        <v>247</v>
      </c>
      <c r="I229">
        <v>8</v>
      </c>
      <c r="J229" t="s">
        <v>280</v>
      </c>
      <c r="K229" t="s">
        <v>188</v>
      </c>
      <c r="L229" t="s">
        <v>249</v>
      </c>
      <c r="Q229" t="s">
        <v>198</v>
      </c>
      <c r="R229" t="s">
        <v>30</v>
      </c>
      <c r="S229" t="s">
        <v>71</v>
      </c>
      <c r="T229" t="s">
        <v>215</v>
      </c>
      <c r="V229" s="1">
        <v>4.8E-8</v>
      </c>
      <c r="W229">
        <v>4.01</v>
      </c>
      <c r="X229">
        <v>15.8</v>
      </c>
      <c r="Y229" s="3"/>
      <c r="Z229" t="s">
        <v>22</v>
      </c>
    </row>
    <row r="230" spans="1:26" x14ac:dyDescent="0.25">
      <c r="A230" t="s">
        <v>126</v>
      </c>
      <c r="B230" t="s">
        <v>20</v>
      </c>
      <c r="C230" t="s">
        <v>21</v>
      </c>
      <c r="D230" t="s">
        <v>12</v>
      </c>
      <c r="E230" t="s">
        <v>15</v>
      </c>
      <c r="F230" t="s">
        <v>16</v>
      </c>
      <c r="G230" t="s">
        <v>16</v>
      </c>
      <c r="H230" t="s">
        <v>247</v>
      </c>
      <c r="I230">
        <v>7.3</v>
      </c>
      <c r="J230" t="s">
        <v>280</v>
      </c>
      <c r="K230" t="s">
        <v>188</v>
      </c>
      <c r="L230" t="s">
        <v>249</v>
      </c>
      <c r="Q230" t="s">
        <v>197</v>
      </c>
      <c r="R230" t="s">
        <v>30</v>
      </c>
      <c r="S230" t="s">
        <v>71</v>
      </c>
      <c r="T230" t="s">
        <v>215</v>
      </c>
      <c r="V230" s="1">
        <v>1.14E-7</v>
      </c>
      <c r="W230">
        <v>3.41</v>
      </c>
      <c r="X230">
        <v>14.24</v>
      </c>
      <c r="Y230" s="3"/>
      <c r="Z230" t="s">
        <v>22</v>
      </c>
    </row>
    <row r="231" spans="1:26" x14ac:dyDescent="0.25">
      <c r="A231" t="s">
        <v>126</v>
      </c>
      <c r="B231" t="s">
        <v>20</v>
      </c>
      <c r="C231" t="s">
        <v>21</v>
      </c>
      <c r="D231" t="s">
        <v>12</v>
      </c>
      <c r="E231" t="s">
        <v>15</v>
      </c>
      <c r="F231" t="s">
        <v>16</v>
      </c>
      <c r="G231" t="s">
        <v>16</v>
      </c>
      <c r="H231" t="s">
        <v>247</v>
      </c>
      <c r="I231">
        <v>6</v>
      </c>
      <c r="J231" t="s">
        <v>280</v>
      </c>
      <c r="K231" t="s">
        <v>188</v>
      </c>
      <c r="L231" t="s">
        <v>249</v>
      </c>
      <c r="Q231" t="s">
        <v>199</v>
      </c>
      <c r="R231" t="s">
        <v>30</v>
      </c>
      <c r="S231" t="s">
        <v>71</v>
      </c>
      <c r="T231" t="s">
        <v>215</v>
      </c>
      <c r="V231" s="1">
        <v>2.2500000000000002E-7</v>
      </c>
      <c r="W231">
        <v>3.85</v>
      </c>
      <c r="X231">
        <v>13.7</v>
      </c>
      <c r="Y231" s="3"/>
      <c r="Z231" t="s">
        <v>22</v>
      </c>
    </row>
    <row r="232" spans="1:26" x14ac:dyDescent="0.25">
      <c r="A232" t="s">
        <v>126</v>
      </c>
      <c r="B232" t="s">
        <v>20</v>
      </c>
      <c r="C232" t="s">
        <v>21</v>
      </c>
      <c r="D232" t="s">
        <v>12</v>
      </c>
      <c r="E232" t="s">
        <v>15</v>
      </c>
      <c r="F232" t="s">
        <v>16</v>
      </c>
      <c r="G232" t="s">
        <v>16</v>
      </c>
      <c r="H232" t="s">
        <v>247</v>
      </c>
      <c r="I232">
        <v>7</v>
      </c>
      <c r="J232" t="s">
        <v>280</v>
      </c>
      <c r="K232" t="s">
        <v>187</v>
      </c>
      <c r="L232" t="s">
        <v>249</v>
      </c>
      <c r="Q232" t="s">
        <v>198</v>
      </c>
      <c r="R232" t="s">
        <v>30</v>
      </c>
      <c r="S232" t="s">
        <v>71</v>
      </c>
      <c r="T232" t="s">
        <v>216</v>
      </c>
      <c r="V232" s="1">
        <v>2.3000000000000003E-9</v>
      </c>
      <c r="W232">
        <v>4.08</v>
      </c>
      <c r="X232">
        <v>13.8</v>
      </c>
      <c r="Y232" s="3"/>
      <c r="Z232" t="s">
        <v>22</v>
      </c>
    </row>
    <row r="233" spans="1:26" x14ac:dyDescent="0.25">
      <c r="A233" t="s">
        <v>126</v>
      </c>
      <c r="B233" t="s">
        <v>20</v>
      </c>
      <c r="C233" t="s">
        <v>21</v>
      </c>
      <c r="D233" t="s">
        <v>12</v>
      </c>
      <c r="E233" t="s">
        <v>15</v>
      </c>
      <c r="F233" t="s">
        <v>16</v>
      </c>
      <c r="G233" t="s">
        <v>16</v>
      </c>
      <c r="H233" t="s">
        <v>247</v>
      </c>
      <c r="I233">
        <v>6.7</v>
      </c>
      <c r="J233" t="s">
        <v>280</v>
      </c>
      <c r="K233" t="s">
        <v>187</v>
      </c>
      <c r="L233" t="s">
        <v>249</v>
      </c>
      <c r="Q233" t="s">
        <v>197</v>
      </c>
      <c r="R233" t="s">
        <v>30</v>
      </c>
      <c r="S233" t="s">
        <v>71</v>
      </c>
      <c r="T233" t="s">
        <v>216</v>
      </c>
      <c r="V233" s="1">
        <v>9.0000000000000012E-9</v>
      </c>
      <c r="W233">
        <v>3.59</v>
      </c>
      <c r="X233">
        <v>13.819999999999999</v>
      </c>
      <c r="Y233" s="3"/>
      <c r="Z233" t="s">
        <v>22</v>
      </c>
    </row>
    <row r="234" spans="1:26" x14ac:dyDescent="0.25">
      <c r="A234" t="s">
        <v>126</v>
      </c>
      <c r="B234" t="s">
        <v>20</v>
      </c>
      <c r="C234" t="s">
        <v>21</v>
      </c>
      <c r="D234" t="s">
        <v>12</v>
      </c>
      <c r="E234" t="s">
        <v>15</v>
      </c>
      <c r="F234" t="s">
        <v>16</v>
      </c>
      <c r="G234" t="s">
        <v>16</v>
      </c>
      <c r="H234" t="s">
        <v>247</v>
      </c>
      <c r="I234">
        <v>7</v>
      </c>
      <c r="J234" t="s">
        <v>280</v>
      </c>
      <c r="K234" t="s">
        <v>187</v>
      </c>
      <c r="L234" t="s">
        <v>249</v>
      </c>
      <c r="Q234" t="s">
        <v>199</v>
      </c>
      <c r="R234" t="s">
        <v>30</v>
      </c>
      <c r="S234" t="s">
        <v>71</v>
      </c>
      <c r="T234" t="s">
        <v>216</v>
      </c>
      <c r="V234" s="1">
        <v>1.5700000000000002E-8</v>
      </c>
      <c r="W234">
        <v>4.3899999999999997</v>
      </c>
      <c r="X234">
        <v>15.5</v>
      </c>
      <c r="Y234" s="3"/>
      <c r="Z234" t="s">
        <v>22</v>
      </c>
    </row>
    <row r="235" spans="1:26" x14ac:dyDescent="0.25">
      <c r="A235" t="s">
        <v>126</v>
      </c>
      <c r="B235" t="s">
        <v>20</v>
      </c>
      <c r="C235" t="s">
        <v>21</v>
      </c>
      <c r="D235" t="s">
        <v>12</v>
      </c>
      <c r="E235" t="s">
        <v>15</v>
      </c>
      <c r="F235" t="s">
        <v>16</v>
      </c>
      <c r="G235" t="s">
        <v>16</v>
      </c>
      <c r="H235" t="s">
        <v>247</v>
      </c>
      <c r="I235">
        <v>7</v>
      </c>
      <c r="J235" t="s">
        <v>280</v>
      </c>
      <c r="K235" t="s">
        <v>188</v>
      </c>
      <c r="L235" t="s">
        <v>249</v>
      </c>
      <c r="Q235" t="s">
        <v>198</v>
      </c>
      <c r="R235" t="s">
        <v>30</v>
      </c>
      <c r="S235" t="s">
        <v>71</v>
      </c>
      <c r="T235" t="s">
        <v>216</v>
      </c>
      <c r="V235" s="1">
        <v>6.2000000000000001E-9</v>
      </c>
      <c r="W235">
        <v>0.83</v>
      </c>
      <c r="X235">
        <v>12.1</v>
      </c>
      <c r="Y235" s="3"/>
      <c r="Z235" t="s">
        <v>22</v>
      </c>
    </row>
    <row r="236" spans="1:26" x14ac:dyDescent="0.25">
      <c r="A236" t="s">
        <v>126</v>
      </c>
      <c r="B236" t="s">
        <v>20</v>
      </c>
      <c r="C236" t="s">
        <v>21</v>
      </c>
      <c r="D236" t="s">
        <v>12</v>
      </c>
      <c r="E236" t="s">
        <v>15</v>
      </c>
      <c r="F236" t="s">
        <v>16</v>
      </c>
      <c r="G236" t="s">
        <v>16</v>
      </c>
      <c r="H236" t="s">
        <v>247</v>
      </c>
      <c r="I236">
        <v>7.3</v>
      </c>
      <c r="J236" t="s">
        <v>280</v>
      </c>
      <c r="K236" t="s">
        <v>188</v>
      </c>
      <c r="L236" t="s">
        <v>249</v>
      </c>
      <c r="Q236" t="s">
        <v>197</v>
      </c>
      <c r="R236" t="s">
        <v>30</v>
      </c>
      <c r="S236" t="s">
        <v>71</v>
      </c>
      <c r="T236" t="s">
        <v>216</v>
      </c>
      <c r="V236" s="1">
        <v>1.1000000000000001E-8</v>
      </c>
      <c r="W236">
        <v>3.41</v>
      </c>
      <c r="X236">
        <v>14.24</v>
      </c>
      <c r="Y236" s="3"/>
      <c r="Z236" t="s">
        <v>22</v>
      </c>
    </row>
    <row r="237" spans="1:26" x14ac:dyDescent="0.25">
      <c r="A237" t="s">
        <v>126</v>
      </c>
      <c r="B237" t="s">
        <v>20</v>
      </c>
      <c r="C237" t="s">
        <v>21</v>
      </c>
      <c r="D237" t="s">
        <v>12</v>
      </c>
      <c r="E237" t="s">
        <v>15</v>
      </c>
      <c r="F237" t="s">
        <v>16</v>
      </c>
      <c r="G237" t="s">
        <v>16</v>
      </c>
      <c r="H237" t="s">
        <v>247</v>
      </c>
      <c r="I237">
        <v>7</v>
      </c>
      <c r="J237" t="s">
        <v>280</v>
      </c>
      <c r="K237" t="s">
        <v>188</v>
      </c>
      <c r="L237" t="s">
        <v>249</v>
      </c>
      <c r="Q237" t="s">
        <v>199</v>
      </c>
      <c r="R237" t="s">
        <v>30</v>
      </c>
      <c r="S237" t="s">
        <v>71</v>
      </c>
      <c r="T237" t="s">
        <v>216</v>
      </c>
      <c r="V237" s="1">
        <v>1.9099999999999999E-8</v>
      </c>
      <c r="W237">
        <v>4.05</v>
      </c>
      <c r="X237">
        <v>16.899999999999999</v>
      </c>
      <c r="Y237" s="3"/>
      <c r="Z237" t="s">
        <v>22</v>
      </c>
    </row>
    <row r="238" spans="1:26" x14ac:dyDescent="0.25">
      <c r="A238" t="s">
        <v>128</v>
      </c>
      <c r="B238" t="s">
        <v>109</v>
      </c>
      <c r="C238" t="s">
        <v>110</v>
      </c>
      <c r="D238" t="s">
        <v>111</v>
      </c>
      <c r="E238" t="s">
        <v>112</v>
      </c>
      <c r="G238" t="s">
        <v>113</v>
      </c>
      <c r="H238" t="s">
        <v>113</v>
      </c>
      <c r="I238">
        <f>+AVERAGE(1.5,2.5)*30+45</f>
        <v>105</v>
      </c>
      <c r="J238" t="s">
        <v>127</v>
      </c>
      <c r="K238" t="s">
        <v>17</v>
      </c>
      <c r="L238" t="str">
        <f t="shared" ref="L238:L278" si="41">+IF(K238="Control","Control","Stress")</f>
        <v>Control</v>
      </c>
      <c r="M238" t="s">
        <v>17</v>
      </c>
      <c r="N238" t="str">
        <f>+IF(M238="Control", "Control", "Stress")</f>
        <v>Control</v>
      </c>
      <c r="Q238" t="s">
        <v>197</v>
      </c>
      <c r="R238" t="s">
        <v>116</v>
      </c>
      <c r="S238" t="s">
        <v>27</v>
      </c>
      <c r="T238" t="s">
        <v>215</v>
      </c>
      <c r="V238" s="1">
        <f>'[24]North&amp;Nobel_2000_Fig4'!B2</f>
        <v>1.4791666666666601E-7</v>
      </c>
      <c r="X238">
        <v>7</v>
      </c>
      <c r="Y238"/>
      <c r="Z238" t="s">
        <v>52</v>
      </c>
    </row>
    <row r="239" spans="1:26" x14ac:dyDescent="0.25">
      <c r="A239" t="s">
        <v>128</v>
      </c>
      <c r="B239" t="s">
        <v>109</v>
      </c>
      <c r="C239" t="s">
        <v>110</v>
      </c>
      <c r="D239" t="s">
        <v>111</v>
      </c>
      <c r="E239" t="s">
        <v>112</v>
      </c>
      <c r="G239" t="s">
        <v>113</v>
      </c>
      <c r="H239" t="s">
        <v>113</v>
      </c>
      <c r="I239">
        <f t="shared" ref="I239:I241" si="42">+AVERAGE(1.5,2.5)*30+45</f>
        <v>105</v>
      </c>
      <c r="J239" t="s">
        <v>127</v>
      </c>
      <c r="K239" t="s">
        <v>17</v>
      </c>
      <c r="L239" t="str">
        <f t="shared" si="41"/>
        <v>Control</v>
      </c>
      <c r="M239" t="s">
        <v>243</v>
      </c>
      <c r="N239" t="str">
        <f>+IF(M239="Control", "Control", "Stress")</f>
        <v>Stress</v>
      </c>
      <c r="Q239" t="s">
        <v>197</v>
      </c>
      <c r="R239" t="s">
        <v>116</v>
      </c>
      <c r="S239" t="s">
        <v>27</v>
      </c>
      <c r="T239" t="s">
        <v>215</v>
      </c>
      <c r="V239" s="1">
        <f>'[24]North&amp;Nobel_2000_Fig4'!B3</f>
        <v>7.0535714285714204E-8</v>
      </c>
      <c r="X239">
        <v>7</v>
      </c>
      <c r="Y239"/>
      <c r="Z239" t="s">
        <v>52</v>
      </c>
    </row>
    <row r="240" spans="1:26" x14ac:dyDescent="0.25">
      <c r="A240" t="s">
        <v>128</v>
      </c>
      <c r="B240" t="s">
        <v>109</v>
      </c>
      <c r="C240" t="s">
        <v>110</v>
      </c>
      <c r="D240" t="s">
        <v>111</v>
      </c>
      <c r="E240" t="s">
        <v>112</v>
      </c>
      <c r="G240" t="s">
        <v>113</v>
      </c>
      <c r="H240" t="s">
        <v>113</v>
      </c>
      <c r="I240">
        <f t="shared" si="42"/>
        <v>105</v>
      </c>
      <c r="J240" t="s">
        <v>127</v>
      </c>
      <c r="K240" t="s">
        <v>117</v>
      </c>
      <c r="L240" t="str">
        <f t="shared" si="41"/>
        <v>Stress</v>
      </c>
      <c r="M240" t="s">
        <v>17</v>
      </c>
      <c r="N240" t="str">
        <f>+IF(M240="Control", "Control", "Stress")</f>
        <v>Control</v>
      </c>
      <c r="Q240" t="s">
        <v>197</v>
      </c>
      <c r="R240" t="s">
        <v>116</v>
      </c>
      <c r="S240" t="s">
        <v>27</v>
      </c>
      <c r="T240" t="s">
        <v>215</v>
      </c>
      <c r="V240" s="1">
        <f>'[24]North&amp;Nobel_2000_Fig4'!B4</f>
        <v>5.4166666666666602E-8</v>
      </c>
      <c r="X240">
        <v>7</v>
      </c>
      <c r="Y240"/>
      <c r="Z240" t="s">
        <v>52</v>
      </c>
    </row>
    <row r="241" spans="1:26" x14ac:dyDescent="0.25">
      <c r="A241" t="s">
        <v>128</v>
      </c>
      <c r="B241" t="s">
        <v>109</v>
      </c>
      <c r="C241" t="s">
        <v>110</v>
      </c>
      <c r="D241" t="s">
        <v>111</v>
      </c>
      <c r="E241" t="s">
        <v>112</v>
      </c>
      <c r="G241" t="s">
        <v>113</v>
      </c>
      <c r="H241" t="s">
        <v>113</v>
      </c>
      <c r="I241">
        <f t="shared" si="42"/>
        <v>105</v>
      </c>
      <c r="J241" t="s">
        <v>127</v>
      </c>
      <c r="K241" t="s">
        <v>117</v>
      </c>
      <c r="L241" t="str">
        <f t="shared" si="41"/>
        <v>Stress</v>
      </c>
      <c r="M241" t="s">
        <v>243</v>
      </c>
      <c r="N241" t="str">
        <f>+IF(M241="Control", "Control", "Stress")</f>
        <v>Stress</v>
      </c>
      <c r="Q241" t="s">
        <v>197</v>
      </c>
      <c r="R241" t="s">
        <v>116</v>
      </c>
      <c r="S241" t="s">
        <v>27</v>
      </c>
      <c r="T241" t="s">
        <v>215</v>
      </c>
      <c r="V241" s="1">
        <f>'[24]North&amp;Nobel_2000_Fig4'!B5</f>
        <v>4.8809523809523802E-8</v>
      </c>
      <c r="X241">
        <v>7</v>
      </c>
      <c r="Y241"/>
      <c r="Z241" t="s">
        <v>52</v>
      </c>
    </row>
    <row r="242" spans="1:26" x14ac:dyDescent="0.25">
      <c r="A242" t="s">
        <v>129</v>
      </c>
      <c r="B242" t="s">
        <v>130</v>
      </c>
      <c r="C242" t="s">
        <v>131</v>
      </c>
      <c r="D242" t="s">
        <v>132</v>
      </c>
      <c r="E242" t="s">
        <v>13</v>
      </c>
      <c r="G242" t="s">
        <v>222</v>
      </c>
      <c r="H242" t="s">
        <v>248</v>
      </c>
      <c r="I242">
        <f>+AVERAGE(9,10)</f>
        <v>9.5</v>
      </c>
      <c r="J242" t="s">
        <v>51</v>
      </c>
      <c r="K242" t="s">
        <v>17</v>
      </c>
      <c r="L242" t="str">
        <f t="shared" si="41"/>
        <v>Control</v>
      </c>
      <c r="Q242" t="s">
        <v>197</v>
      </c>
      <c r="R242" t="s">
        <v>45</v>
      </c>
      <c r="S242" t="s">
        <v>27</v>
      </c>
      <c r="T242" t="s">
        <v>215</v>
      </c>
      <c r="V242" s="1">
        <f>[25]Barrowclough_etal_2000_Fig3a!B2</f>
        <v>1.4870317002881801E-7</v>
      </c>
      <c r="Y242"/>
      <c r="Z242" t="s">
        <v>133</v>
      </c>
    </row>
    <row r="243" spans="1:26" x14ac:dyDescent="0.25">
      <c r="A243" t="s">
        <v>129</v>
      </c>
      <c r="B243" t="s">
        <v>130</v>
      </c>
      <c r="C243" t="s">
        <v>131</v>
      </c>
      <c r="D243" t="s">
        <v>132</v>
      </c>
      <c r="E243" t="s">
        <v>13</v>
      </c>
      <c r="G243" t="s">
        <v>222</v>
      </c>
      <c r="H243" t="s">
        <v>248</v>
      </c>
      <c r="I243">
        <f t="shared" ref="I243:I247" si="43">+AVERAGE(9,10)</f>
        <v>9.5</v>
      </c>
      <c r="J243" t="s">
        <v>51</v>
      </c>
      <c r="K243" t="s">
        <v>17</v>
      </c>
      <c r="L243" t="str">
        <f t="shared" si="41"/>
        <v>Control</v>
      </c>
      <c r="Q243" t="s">
        <v>197</v>
      </c>
      <c r="R243" t="s">
        <v>45</v>
      </c>
      <c r="S243" t="s">
        <v>114</v>
      </c>
      <c r="T243" t="s">
        <v>215</v>
      </c>
      <c r="V243" s="1">
        <f>[25]Barrowclough_etal_2000_Fig3a!B3</f>
        <v>2.3948126801152702E-7</v>
      </c>
      <c r="Y243"/>
      <c r="Z243" t="s">
        <v>133</v>
      </c>
    </row>
    <row r="244" spans="1:26" x14ac:dyDescent="0.25">
      <c r="A244" t="s">
        <v>129</v>
      </c>
      <c r="B244" t="s">
        <v>130</v>
      </c>
      <c r="C244" t="s">
        <v>131</v>
      </c>
      <c r="D244" t="s">
        <v>132</v>
      </c>
      <c r="E244" t="s">
        <v>13</v>
      </c>
      <c r="G244" t="s">
        <v>222</v>
      </c>
      <c r="H244" t="s">
        <v>248</v>
      </c>
      <c r="I244">
        <f t="shared" si="43"/>
        <v>9.5</v>
      </c>
      <c r="J244" t="s">
        <v>51</v>
      </c>
      <c r="K244" t="s">
        <v>17</v>
      </c>
      <c r="L244" t="str">
        <f t="shared" si="41"/>
        <v>Control</v>
      </c>
      <c r="Q244" t="s">
        <v>197</v>
      </c>
      <c r="R244" t="s">
        <v>45</v>
      </c>
      <c r="S244" t="s">
        <v>72</v>
      </c>
      <c r="T244" t="s">
        <v>215</v>
      </c>
      <c r="V244" s="1">
        <f>[25]Barrowclough_etal_2000_Fig3a!B4</f>
        <v>2.7925072046109502E-7</v>
      </c>
      <c r="Y244"/>
      <c r="Z244" t="s">
        <v>133</v>
      </c>
    </row>
    <row r="245" spans="1:26" x14ac:dyDescent="0.25">
      <c r="A245" t="s">
        <v>129</v>
      </c>
      <c r="B245" t="s">
        <v>130</v>
      </c>
      <c r="C245" t="s">
        <v>131</v>
      </c>
      <c r="D245" t="s">
        <v>132</v>
      </c>
      <c r="E245" t="s">
        <v>13</v>
      </c>
      <c r="G245" t="s">
        <v>222</v>
      </c>
      <c r="H245" t="s">
        <v>248</v>
      </c>
      <c r="I245">
        <f t="shared" si="43"/>
        <v>9.5</v>
      </c>
      <c r="J245" t="s">
        <v>51</v>
      </c>
      <c r="K245" t="s">
        <v>243</v>
      </c>
      <c r="L245" t="str">
        <f t="shared" si="41"/>
        <v>Stress</v>
      </c>
      <c r="Q245" t="s">
        <v>197</v>
      </c>
      <c r="R245" t="s">
        <v>45</v>
      </c>
      <c r="S245" t="s">
        <v>27</v>
      </c>
      <c r="T245" t="s">
        <v>215</v>
      </c>
      <c r="V245" s="1">
        <f>[25]Barrowclough_etal_2000_Fig3a!B5</f>
        <v>8.6455331412103802E-8</v>
      </c>
      <c r="Y245"/>
      <c r="Z245" t="s">
        <v>133</v>
      </c>
    </row>
    <row r="246" spans="1:26" x14ac:dyDescent="0.25">
      <c r="A246" t="s">
        <v>129</v>
      </c>
      <c r="B246" t="s">
        <v>130</v>
      </c>
      <c r="C246" t="s">
        <v>131</v>
      </c>
      <c r="D246" t="s">
        <v>132</v>
      </c>
      <c r="E246" t="s">
        <v>13</v>
      </c>
      <c r="G246" t="s">
        <v>222</v>
      </c>
      <c r="H246" t="s">
        <v>248</v>
      </c>
      <c r="I246">
        <f t="shared" si="43"/>
        <v>9.5</v>
      </c>
      <c r="J246" t="s">
        <v>51</v>
      </c>
      <c r="K246" t="s">
        <v>243</v>
      </c>
      <c r="L246" t="str">
        <f t="shared" si="41"/>
        <v>Stress</v>
      </c>
      <c r="Q246" t="s">
        <v>197</v>
      </c>
      <c r="R246" t="s">
        <v>45</v>
      </c>
      <c r="S246" t="s">
        <v>114</v>
      </c>
      <c r="T246" t="s">
        <v>215</v>
      </c>
      <c r="V246" s="1">
        <f>[25]Barrowclough_etal_2000_Fig3a!B6</f>
        <v>8.6455331412103696E-8</v>
      </c>
      <c r="Y246"/>
      <c r="Z246" t="s">
        <v>133</v>
      </c>
    </row>
    <row r="247" spans="1:26" x14ac:dyDescent="0.25">
      <c r="A247" t="s">
        <v>129</v>
      </c>
      <c r="B247" t="s">
        <v>130</v>
      </c>
      <c r="C247" t="s">
        <v>131</v>
      </c>
      <c r="D247" t="s">
        <v>132</v>
      </c>
      <c r="E247" t="s">
        <v>13</v>
      </c>
      <c r="G247" t="s">
        <v>222</v>
      </c>
      <c r="H247" t="s">
        <v>248</v>
      </c>
      <c r="I247">
        <f t="shared" si="43"/>
        <v>9.5</v>
      </c>
      <c r="J247" t="s">
        <v>51</v>
      </c>
      <c r="K247" t="s">
        <v>243</v>
      </c>
      <c r="L247" t="str">
        <f t="shared" si="41"/>
        <v>Stress</v>
      </c>
      <c r="Q247" t="s">
        <v>197</v>
      </c>
      <c r="R247" t="s">
        <v>45</v>
      </c>
      <c r="S247" t="s">
        <v>72</v>
      </c>
      <c r="T247" t="s">
        <v>215</v>
      </c>
      <c r="V247" s="1">
        <f>[25]Barrowclough_etal_2000_Fig3a!B7</f>
        <v>7.3487031700288097E-8</v>
      </c>
      <c r="Y247"/>
      <c r="Z247" t="s">
        <v>133</v>
      </c>
    </row>
    <row r="248" spans="1:26" x14ac:dyDescent="0.25">
      <c r="A248" t="s">
        <v>134</v>
      </c>
      <c r="B248" t="s">
        <v>20</v>
      </c>
      <c r="C248" t="s">
        <v>21</v>
      </c>
      <c r="D248" t="s">
        <v>12</v>
      </c>
      <c r="E248" t="s">
        <v>15</v>
      </c>
      <c r="F248" t="s">
        <v>16</v>
      </c>
      <c r="G248" t="s">
        <v>16</v>
      </c>
      <c r="H248" t="s">
        <v>247</v>
      </c>
      <c r="I248">
        <f>+AVERAGE(6,7)</f>
        <v>6.5</v>
      </c>
      <c r="J248" t="s">
        <v>135</v>
      </c>
      <c r="K248" t="s">
        <v>17</v>
      </c>
      <c r="L248" t="str">
        <f t="shared" si="41"/>
        <v>Control</v>
      </c>
      <c r="Q248" t="s">
        <v>197</v>
      </c>
      <c r="R248" t="s">
        <v>30</v>
      </c>
      <c r="S248" t="s">
        <v>32</v>
      </c>
      <c r="T248" t="s">
        <v>215</v>
      </c>
      <c r="V248" s="1">
        <v>5.0999999999999999E-7</v>
      </c>
      <c r="X248">
        <f>+AVERAGE(9.4,15.1)</f>
        <v>12.25</v>
      </c>
      <c r="Y248"/>
      <c r="Z248" t="s">
        <v>22</v>
      </c>
    </row>
    <row r="249" spans="1:26" x14ac:dyDescent="0.25">
      <c r="A249" t="s">
        <v>134</v>
      </c>
      <c r="B249" t="s">
        <v>20</v>
      </c>
      <c r="C249" t="s">
        <v>21</v>
      </c>
      <c r="D249" t="s">
        <v>12</v>
      </c>
      <c r="E249" t="s">
        <v>15</v>
      </c>
      <c r="F249" t="s">
        <v>16</v>
      </c>
      <c r="G249" t="s">
        <v>16</v>
      </c>
      <c r="H249" t="s">
        <v>247</v>
      </c>
      <c r="I249">
        <f t="shared" ref="I249:I257" si="44">+AVERAGE(6,7)</f>
        <v>6.5</v>
      </c>
      <c r="J249" t="s">
        <v>135</v>
      </c>
      <c r="K249" t="s">
        <v>135</v>
      </c>
      <c r="L249" t="str">
        <f t="shared" si="41"/>
        <v>Stress</v>
      </c>
      <c r="Q249" t="s">
        <v>197</v>
      </c>
      <c r="R249" t="s">
        <v>30</v>
      </c>
      <c r="S249" t="s">
        <v>32</v>
      </c>
      <c r="T249" t="s">
        <v>215</v>
      </c>
      <c r="V249" s="1">
        <v>3.9999999999999998E-7</v>
      </c>
      <c r="X249">
        <f t="shared" ref="X249:X257" si="45">+AVERAGE(9.4,15.1)</f>
        <v>12.25</v>
      </c>
      <c r="Y249"/>
      <c r="Z249" t="s">
        <v>22</v>
      </c>
    </row>
    <row r="250" spans="1:26" x14ac:dyDescent="0.25">
      <c r="A250" t="s">
        <v>134</v>
      </c>
      <c r="B250" t="s">
        <v>20</v>
      </c>
      <c r="C250" t="s">
        <v>21</v>
      </c>
      <c r="D250" t="s">
        <v>12</v>
      </c>
      <c r="E250" t="s">
        <v>15</v>
      </c>
      <c r="F250" t="s">
        <v>16</v>
      </c>
      <c r="G250" t="s">
        <v>16</v>
      </c>
      <c r="H250" t="s">
        <v>247</v>
      </c>
      <c r="I250">
        <f t="shared" si="44"/>
        <v>6.5</v>
      </c>
      <c r="J250" t="s">
        <v>135</v>
      </c>
      <c r="K250" t="s">
        <v>17</v>
      </c>
      <c r="L250" t="str">
        <f t="shared" si="41"/>
        <v>Control</v>
      </c>
      <c r="Q250" t="s">
        <v>197</v>
      </c>
      <c r="R250" t="s">
        <v>30</v>
      </c>
      <c r="S250" t="s">
        <v>32</v>
      </c>
      <c r="T250" t="s">
        <v>215</v>
      </c>
      <c r="V250" s="1">
        <v>2.2999999999999999E-7</v>
      </c>
      <c r="X250">
        <f t="shared" si="45"/>
        <v>12.25</v>
      </c>
      <c r="Y250"/>
      <c r="Z250" t="s">
        <v>22</v>
      </c>
    </row>
    <row r="251" spans="1:26" x14ac:dyDescent="0.25">
      <c r="A251" t="s">
        <v>134</v>
      </c>
      <c r="B251" t="s">
        <v>20</v>
      </c>
      <c r="C251" t="s">
        <v>21</v>
      </c>
      <c r="D251" t="s">
        <v>12</v>
      </c>
      <c r="E251" t="s">
        <v>15</v>
      </c>
      <c r="F251" t="s">
        <v>16</v>
      </c>
      <c r="G251" t="s">
        <v>16</v>
      </c>
      <c r="H251" t="s">
        <v>247</v>
      </c>
      <c r="I251">
        <f t="shared" si="44"/>
        <v>6.5</v>
      </c>
      <c r="J251" t="s">
        <v>135</v>
      </c>
      <c r="K251" t="s">
        <v>135</v>
      </c>
      <c r="L251" t="str">
        <f t="shared" si="41"/>
        <v>Stress</v>
      </c>
      <c r="Q251" t="s">
        <v>197</v>
      </c>
      <c r="R251" t="s">
        <v>30</v>
      </c>
      <c r="S251" t="s">
        <v>32</v>
      </c>
      <c r="T251" t="s">
        <v>215</v>
      </c>
      <c r="V251" s="1">
        <v>1.6E-7</v>
      </c>
      <c r="X251">
        <f t="shared" si="45"/>
        <v>12.25</v>
      </c>
      <c r="Y251"/>
      <c r="Z251" t="s">
        <v>22</v>
      </c>
    </row>
    <row r="252" spans="1:26" x14ac:dyDescent="0.25">
      <c r="A252" t="s">
        <v>134</v>
      </c>
      <c r="B252" t="s">
        <v>20</v>
      </c>
      <c r="C252" t="s">
        <v>21</v>
      </c>
      <c r="D252" t="s">
        <v>12</v>
      </c>
      <c r="E252" t="s">
        <v>15</v>
      </c>
      <c r="F252" t="s">
        <v>16</v>
      </c>
      <c r="G252" t="s">
        <v>16</v>
      </c>
      <c r="H252" t="s">
        <v>247</v>
      </c>
      <c r="I252">
        <f t="shared" si="44"/>
        <v>6.5</v>
      </c>
      <c r="J252" t="s">
        <v>135</v>
      </c>
      <c r="K252" t="s">
        <v>17</v>
      </c>
      <c r="L252" t="str">
        <f t="shared" si="41"/>
        <v>Control</v>
      </c>
      <c r="Q252" t="s">
        <v>197</v>
      </c>
      <c r="R252" t="s">
        <v>30</v>
      </c>
      <c r="S252" t="s">
        <v>32</v>
      </c>
      <c r="T252" t="s">
        <v>215</v>
      </c>
      <c r="V252" s="1">
        <v>5.6999999999999994E-7</v>
      </c>
      <c r="X252">
        <f t="shared" si="45"/>
        <v>12.25</v>
      </c>
      <c r="Y252"/>
      <c r="Z252" t="s">
        <v>22</v>
      </c>
    </row>
    <row r="253" spans="1:26" x14ac:dyDescent="0.25">
      <c r="A253" t="s">
        <v>134</v>
      </c>
      <c r="B253" t="s">
        <v>20</v>
      </c>
      <c r="C253" t="s">
        <v>21</v>
      </c>
      <c r="D253" t="s">
        <v>12</v>
      </c>
      <c r="E253" t="s">
        <v>15</v>
      </c>
      <c r="F253" t="s">
        <v>16</v>
      </c>
      <c r="G253" t="s">
        <v>16</v>
      </c>
      <c r="H253" t="s">
        <v>247</v>
      </c>
      <c r="I253">
        <f t="shared" si="44"/>
        <v>6.5</v>
      </c>
      <c r="J253" t="s">
        <v>135</v>
      </c>
      <c r="K253" t="s">
        <v>135</v>
      </c>
      <c r="L253" t="str">
        <f t="shared" si="41"/>
        <v>Stress</v>
      </c>
      <c r="Q253" t="s">
        <v>197</v>
      </c>
      <c r="R253" t="s">
        <v>30</v>
      </c>
      <c r="S253" t="s">
        <v>32</v>
      </c>
      <c r="T253" t="s">
        <v>215</v>
      </c>
      <c r="V253" s="1">
        <v>4.5999999999999999E-7</v>
      </c>
      <c r="X253">
        <f t="shared" si="45"/>
        <v>12.25</v>
      </c>
      <c r="Y253"/>
      <c r="Z253" t="s">
        <v>22</v>
      </c>
    </row>
    <row r="254" spans="1:26" x14ac:dyDescent="0.25">
      <c r="A254" t="s">
        <v>134</v>
      </c>
      <c r="B254" t="s">
        <v>20</v>
      </c>
      <c r="C254" t="s">
        <v>21</v>
      </c>
      <c r="D254" t="s">
        <v>12</v>
      </c>
      <c r="E254" t="s">
        <v>15</v>
      </c>
      <c r="F254" t="s">
        <v>16</v>
      </c>
      <c r="G254" t="s">
        <v>16</v>
      </c>
      <c r="H254" t="s">
        <v>247</v>
      </c>
      <c r="I254">
        <f t="shared" si="44"/>
        <v>6.5</v>
      </c>
      <c r="J254" t="s">
        <v>135</v>
      </c>
      <c r="K254" t="s">
        <v>17</v>
      </c>
      <c r="L254" t="str">
        <f t="shared" si="41"/>
        <v>Control</v>
      </c>
      <c r="Q254" t="s">
        <v>197</v>
      </c>
      <c r="R254" t="s">
        <v>30</v>
      </c>
      <c r="S254" t="s">
        <v>32</v>
      </c>
      <c r="T254" t="s">
        <v>215</v>
      </c>
      <c r="V254" s="1">
        <v>1.1000000000000001E-6</v>
      </c>
      <c r="X254">
        <f t="shared" si="45"/>
        <v>12.25</v>
      </c>
      <c r="Y254"/>
      <c r="Z254" t="s">
        <v>22</v>
      </c>
    </row>
    <row r="255" spans="1:26" x14ac:dyDescent="0.25">
      <c r="A255" t="s">
        <v>134</v>
      </c>
      <c r="B255" t="s">
        <v>20</v>
      </c>
      <c r="C255" t="s">
        <v>21</v>
      </c>
      <c r="D255" t="s">
        <v>12</v>
      </c>
      <c r="E255" t="s">
        <v>15</v>
      </c>
      <c r="F255" t="s">
        <v>16</v>
      </c>
      <c r="G255" t="s">
        <v>16</v>
      </c>
      <c r="H255" t="s">
        <v>247</v>
      </c>
      <c r="I255">
        <f t="shared" si="44"/>
        <v>6.5</v>
      </c>
      <c r="J255" t="s">
        <v>135</v>
      </c>
      <c r="K255" t="s">
        <v>135</v>
      </c>
      <c r="L255" t="str">
        <f t="shared" si="41"/>
        <v>Stress</v>
      </c>
      <c r="Q255" t="s">
        <v>197</v>
      </c>
      <c r="R255" t="s">
        <v>30</v>
      </c>
      <c r="S255" t="s">
        <v>32</v>
      </c>
      <c r="T255" t="s">
        <v>215</v>
      </c>
      <c r="V255" s="1">
        <v>6.9999999999999997E-7</v>
      </c>
      <c r="X255">
        <f t="shared" si="45"/>
        <v>12.25</v>
      </c>
      <c r="Y255"/>
      <c r="Z255" t="s">
        <v>22</v>
      </c>
    </row>
    <row r="256" spans="1:26" x14ac:dyDescent="0.25">
      <c r="A256" t="s">
        <v>134</v>
      </c>
      <c r="B256" t="s">
        <v>20</v>
      </c>
      <c r="C256" t="s">
        <v>21</v>
      </c>
      <c r="D256" t="s">
        <v>12</v>
      </c>
      <c r="E256" t="s">
        <v>15</v>
      </c>
      <c r="F256" t="s">
        <v>16</v>
      </c>
      <c r="G256" t="s">
        <v>16</v>
      </c>
      <c r="H256" t="s">
        <v>247</v>
      </c>
      <c r="I256">
        <f t="shared" si="44"/>
        <v>6.5</v>
      </c>
      <c r="J256" t="s">
        <v>135</v>
      </c>
      <c r="K256" t="s">
        <v>17</v>
      </c>
      <c r="L256" t="str">
        <f t="shared" si="41"/>
        <v>Control</v>
      </c>
      <c r="Q256" t="s">
        <v>197</v>
      </c>
      <c r="R256" t="s">
        <v>30</v>
      </c>
      <c r="S256" t="s">
        <v>32</v>
      </c>
      <c r="T256" t="s">
        <v>216</v>
      </c>
      <c r="V256">
        <f>+AVERAGE(0.0172,0.0245)*0.000001</f>
        <v>2.0849999999999998E-8</v>
      </c>
      <c r="X256">
        <f t="shared" si="45"/>
        <v>12.25</v>
      </c>
      <c r="Y256"/>
      <c r="Z256" t="s">
        <v>22</v>
      </c>
    </row>
    <row r="257" spans="1:26" x14ac:dyDescent="0.25">
      <c r="A257" t="s">
        <v>134</v>
      </c>
      <c r="B257" t="s">
        <v>20</v>
      </c>
      <c r="C257" t="s">
        <v>21</v>
      </c>
      <c r="D257" t="s">
        <v>12</v>
      </c>
      <c r="E257" t="s">
        <v>15</v>
      </c>
      <c r="F257" t="s">
        <v>16</v>
      </c>
      <c r="G257" t="s">
        <v>16</v>
      </c>
      <c r="H257" t="s">
        <v>247</v>
      </c>
      <c r="I257">
        <f t="shared" si="44"/>
        <v>6.5</v>
      </c>
      <c r="J257" t="s">
        <v>135</v>
      </c>
      <c r="K257" t="s">
        <v>135</v>
      </c>
      <c r="L257" t="str">
        <f t="shared" si="41"/>
        <v>Stress</v>
      </c>
      <c r="Q257" t="s">
        <v>197</v>
      </c>
      <c r="R257" t="s">
        <v>30</v>
      </c>
      <c r="S257" t="s">
        <v>32</v>
      </c>
      <c r="T257" t="s">
        <v>216</v>
      </c>
      <c r="V257">
        <f>+AVERAGE(0.0138,0.0197)*0.000001</f>
        <v>1.6750000000000001E-8</v>
      </c>
      <c r="X257">
        <f t="shared" si="45"/>
        <v>12.25</v>
      </c>
      <c r="Y257"/>
      <c r="Z257" t="s">
        <v>22</v>
      </c>
    </row>
    <row r="258" spans="1:26" x14ac:dyDescent="0.25">
      <c r="A258" t="s">
        <v>136</v>
      </c>
      <c r="B258" t="s">
        <v>142</v>
      </c>
      <c r="C258" t="s">
        <v>124</v>
      </c>
      <c r="D258" t="s">
        <v>125</v>
      </c>
      <c r="E258" t="s">
        <v>112</v>
      </c>
      <c r="G258" t="s">
        <v>113</v>
      </c>
      <c r="H258" t="s">
        <v>113</v>
      </c>
      <c r="I258">
        <f>14+7+7</f>
        <v>28</v>
      </c>
      <c r="J258" t="s">
        <v>117</v>
      </c>
      <c r="K258" t="s">
        <v>17</v>
      </c>
      <c r="L258" t="str">
        <f t="shared" si="41"/>
        <v>Control</v>
      </c>
      <c r="Q258" t="s">
        <v>197</v>
      </c>
      <c r="R258" t="s">
        <v>116</v>
      </c>
      <c r="S258" t="s">
        <v>27</v>
      </c>
      <c r="T258" t="s">
        <v>215</v>
      </c>
      <c r="V258" s="1">
        <f>[26]Dubrovsky_etal_1998_Fig4!B2</f>
        <v>2.42530755711775E-7</v>
      </c>
      <c r="X258">
        <v>5</v>
      </c>
      <c r="Y258"/>
      <c r="Z258" t="s">
        <v>52</v>
      </c>
    </row>
    <row r="259" spans="1:26" x14ac:dyDescent="0.25">
      <c r="A259" t="s">
        <v>136</v>
      </c>
      <c r="B259" t="s">
        <v>142</v>
      </c>
      <c r="C259" t="s">
        <v>124</v>
      </c>
      <c r="D259" t="s">
        <v>125</v>
      </c>
      <c r="E259" t="s">
        <v>112</v>
      </c>
      <c r="G259" t="s">
        <v>113</v>
      </c>
      <c r="H259" t="s">
        <v>113</v>
      </c>
      <c r="I259">
        <f>14+7+7</f>
        <v>28</v>
      </c>
      <c r="J259" t="s">
        <v>117</v>
      </c>
      <c r="K259" t="s">
        <v>137</v>
      </c>
      <c r="L259" t="str">
        <f t="shared" si="41"/>
        <v>Stress</v>
      </c>
      <c r="Q259" t="s">
        <v>197</v>
      </c>
      <c r="R259" t="s">
        <v>116</v>
      </c>
      <c r="S259" t="s">
        <v>27</v>
      </c>
      <c r="T259" t="s">
        <v>215</v>
      </c>
      <c r="V259" s="1">
        <f>[26]Dubrovsky_etal_1998_Fig4!B3</f>
        <v>1.14938488576449E-7</v>
      </c>
      <c r="X259">
        <v>5</v>
      </c>
      <c r="Y259"/>
      <c r="Z259" t="s">
        <v>52</v>
      </c>
    </row>
    <row r="260" spans="1:26" x14ac:dyDescent="0.25">
      <c r="A260" t="s">
        <v>136</v>
      </c>
      <c r="B260" t="s">
        <v>142</v>
      </c>
      <c r="C260" t="s">
        <v>124</v>
      </c>
      <c r="D260" t="s">
        <v>125</v>
      </c>
      <c r="E260" t="s">
        <v>112</v>
      </c>
      <c r="G260" t="s">
        <v>113</v>
      </c>
      <c r="H260" t="s">
        <v>113</v>
      </c>
      <c r="I260">
        <f>14+14</f>
        <v>28</v>
      </c>
      <c r="J260" t="s">
        <v>117</v>
      </c>
      <c r="K260" t="s">
        <v>138</v>
      </c>
      <c r="L260" t="str">
        <f t="shared" si="41"/>
        <v>Stress</v>
      </c>
      <c r="Q260" t="s">
        <v>197</v>
      </c>
      <c r="R260" t="s">
        <v>116</v>
      </c>
      <c r="S260" t="s">
        <v>27</v>
      </c>
      <c r="T260" t="s">
        <v>215</v>
      </c>
      <c r="V260" s="1">
        <f>[26]Dubrovsky_etal_1998_Fig4!B5</f>
        <v>1.3339191564147599E-7</v>
      </c>
      <c r="X260">
        <v>5</v>
      </c>
      <c r="Y260"/>
      <c r="Z260" t="s">
        <v>52</v>
      </c>
    </row>
    <row r="261" spans="1:26" x14ac:dyDescent="0.25">
      <c r="A261" t="s">
        <v>139</v>
      </c>
      <c r="B261" t="s">
        <v>10</v>
      </c>
      <c r="C261" t="s">
        <v>11</v>
      </c>
      <c r="D261" t="s">
        <v>12</v>
      </c>
      <c r="E261" t="s">
        <v>13</v>
      </c>
      <c r="F261" t="s">
        <v>14</v>
      </c>
      <c r="G261" t="s">
        <v>14</v>
      </c>
      <c r="H261" t="s">
        <v>247</v>
      </c>
      <c r="I261">
        <f>1+AVERAGE(4,5)</f>
        <v>5.5</v>
      </c>
      <c r="J261" t="s">
        <v>236</v>
      </c>
      <c r="K261" t="s">
        <v>17</v>
      </c>
      <c r="L261" t="str">
        <f t="shared" si="41"/>
        <v>Control</v>
      </c>
      <c r="M261" t="s">
        <v>17</v>
      </c>
      <c r="N261" t="str">
        <f t="shared" ref="N261:N270" si="46">+IF(M261="Control", "Control", "Stress")</f>
        <v>Control</v>
      </c>
      <c r="Q261" t="s">
        <v>197</v>
      </c>
      <c r="R261" t="s">
        <v>26</v>
      </c>
      <c r="S261" t="s">
        <v>27</v>
      </c>
      <c r="T261" t="s">
        <v>216</v>
      </c>
      <c r="V261" s="1">
        <v>4.0000000000000001E-8</v>
      </c>
      <c r="W261" s="1"/>
      <c r="Y261"/>
      <c r="Z261" t="s">
        <v>140</v>
      </c>
    </row>
    <row r="262" spans="1:26" x14ac:dyDescent="0.25">
      <c r="A262" t="s">
        <v>139</v>
      </c>
      <c r="B262" t="s">
        <v>10</v>
      </c>
      <c r="C262" t="s">
        <v>11</v>
      </c>
      <c r="D262" t="s">
        <v>12</v>
      </c>
      <c r="E262" t="s">
        <v>13</v>
      </c>
      <c r="F262" t="s">
        <v>14</v>
      </c>
      <c r="G262" t="s">
        <v>14</v>
      </c>
      <c r="H262" t="s">
        <v>247</v>
      </c>
      <c r="I262">
        <f t="shared" ref="I262:I264" si="47">1+AVERAGE(4,5)</f>
        <v>5.5</v>
      </c>
      <c r="J262" t="s">
        <v>236</v>
      </c>
      <c r="K262" t="s">
        <v>243</v>
      </c>
      <c r="L262" t="str">
        <f t="shared" si="41"/>
        <v>Stress</v>
      </c>
      <c r="M262" t="s">
        <v>17</v>
      </c>
      <c r="N262" t="str">
        <f t="shared" si="46"/>
        <v>Control</v>
      </c>
      <c r="Q262" t="s">
        <v>197</v>
      </c>
      <c r="R262" t="s">
        <v>26</v>
      </c>
      <c r="S262" t="s">
        <v>27</v>
      </c>
      <c r="T262" t="s">
        <v>216</v>
      </c>
      <c r="V262" s="1">
        <v>6.9999999999999998E-9</v>
      </c>
      <c r="Y262"/>
      <c r="Z262" t="s">
        <v>140</v>
      </c>
    </row>
    <row r="263" spans="1:26" x14ac:dyDescent="0.25">
      <c r="A263" t="s">
        <v>139</v>
      </c>
      <c r="B263" t="s">
        <v>10</v>
      </c>
      <c r="C263" t="s">
        <v>11</v>
      </c>
      <c r="D263" t="s">
        <v>12</v>
      </c>
      <c r="E263" t="s">
        <v>13</v>
      </c>
      <c r="F263" t="s">
        <v>14</v>
      </c>
      <c r="G263" t="s">
        <v>14</v>
      </c>
      <c r="H263" t="s">
        <v>247</v>
      </c>
      <c r="I263">
        <f t="shared" si="47"/>
        <v>5.5</v>
      </c>
      <c r="J263" t="s">
        <v>236</v>
      </c>
      <c r="K263" t="s">
        <v>17</v>
      </c>
      <c r="L263" t="str">
        <f t="shared" si="41"/>
        <v>Control</v>
      </c>
      <c r="M263" t="s">
        <v>214</v>
      </c>
      <c r="N263" t="str">
        <f t="shared" si="46"/>
        <v>Stress</v>
      </c>
      <c r="Q263" t="s">
        <v>197</v>
      </c>
      <c r="R263" t="s">
        <v>26</v>
      </c>
      <c r="S263" t="s">
        <v>27</v>
      </c>
      <c r="T263" t="s">
        <v>216</v>
      </c>
      <c r="V263" s="1">
        <v>2.2000000000000001E-7</v>
      </c>
      <c r="Y263"/>
      <c r="Z263" t="s">
        <v>140</v>
      </c>
    </row>
    <row r="264" spans="1:26" x14ac:dyDescent="0.25">
      <c r="A264" t="s">
        <v>139</v>
      </c>
      <c r="B264" t="s">
        <v>10</v>
      </c>
      <c r="C264" t="s">
        <v>11</v>
      </c>
      <c r="D264" t="s">
        <v>12</v>
      </c>
      <c r="E264" t="s">
        <v>13</v>
      </c>
      <c r="F264" t="s">
        <v>14</v>
      </c>
      <c r="G264" t="s">
        <v>14</v>
      </c>
      <c r="H264" t="s">
        <v>247</v>
      </c>
      <c r="I264">
        <f t="shared" si="47"/>
        <v>5.5</v>
      </c>
      <c r="J264" t="s">
        <v>236</v>
      </c>
      <c r="K264" t="s">
        <v>243</v>
      </c>
      <c r="L264" t="str">
        <f t="shared" si="41"/>
        <v>Stress</v>
      </c>
      <c r="M264" t="s">
        <v>214</v>
      </c>
      <c r="N264" t="str">
        <f t="shared" si="46"/>
        <v>Stress</v>
      </c>
      <c r="Q264" t="s">
        <v>197</v>
      </c>
      <c r="R264" t="s">
        <v>26</v>
      </c>
      <c r="S264" t="s">
        <v>27</v>
      </c>
      <c r="T264" t="s">
        <v>216</v>
      </c>
      <c r="V264" s="1">
        <v>1.2E-8</v>
      </c>
      <c r="Y264"/>
      <c r="Z264" t="s">
        <v>140</v>
      </c>
    </row>
    <row r="265" spans="1:26" x14ac:dyDescent="0.25">
      <c r="A265" t="s">
        <v>175</v>
      </c>
      <c r="B265" t="s">
        <v>10</v>
      </c>
      <c r="C265" t="s">
        <v>11</v>
      </c>
      <c r="D265" t="s">
        <v>12</v>
      </c>
      <c r="E265" t="s">
        <v>13</v>
      </c>
      <c r="F265" t="s">
        <v>14</v>
      </c>
      <c r="G265" t="s">
        <v>14</v>
      </c>
      <c r="H265" t="s">
        <v>247</v>
      </c>
      <c r="I265">
        <f>7+1</f>
        <v>8</v>
      </c>
      <c r="J265" t="s">
        <v>238</v>
      </c>
      <c r="K265" t="s">
        <v>17</v>
      </c>
      <c r="L265" t="str">
        <f t="shared" si="41"/>
        <v>Control</v>
      </c>
      <c r="M265" t="s">
        <v>17</v>
      </c>
      <c r="N265" t="str">
        <f t="shared" si="46"/>
        <v>Control</v>
      </c>
      <c r="O265" t="s">
        <v>200</v>
      </c>
      <c r="P265" t="s">
        <v>249</v>
      </c>
      <c r="Q265" t="s">
        <v>197</v>
      </c>
      <c r="R265" t="s">
        <v>45</v>
      </c>
      <c r="S265" t="s">
        <v>32</v>
      </c>
      <c r="T265" t="s">
        <v>215</v>
      </c>
      <c r="V265" s="1">
        <v>4.7999999999999996E-7</v>
      </c>
      <c r="Y265"/>
      <c r="Z265" t="s">
        <v>22</v>
      </c>
    </row>
    <row r="266" spans="1:26" x14ac:dyDescent="0.25">
      <c r="A266" t="s">
        <v>175</v>
      </c>
      <c r="B266" t="s">
        <v>10</v>
      </c>
      <c r="C266" t="s">
        <v>11</v>
      </c>
      <c r="D266" t="s">
        <v>12</v>
      </c>
      <c r="E266" t="s">
        <v>13</v>
      </c>
      <c r="F266" t="s">
        <v>14</v>
      </c>
      <c r="G266" t="s">
        <v>14</v>
      </c>
      <c r="H266" t="s">
        <v>247</v>
      </c>
      <c r="I266">
        <f t="shared" ref="I266:I270" si="48">7+1</f>
        <v>8</v>
      </c>
      <c r="J266" t="s">
        <v>238</v>
      </c>
      <c r="K266" t="s">
        <v>202</v>
      </c>
      <c r="L266" t="str">
        <f t="shared" si="41"/>
        <v>Stress</v>
      </c>
      <c r="M266" t="s">
        <v>17</v>
      </c>
      <c r="N266" t="str">
        <f t="shared" si="46"/>
        <v>Control</v>
      </c>
      <c r="O266" t="s">
        <v>200</v>
      </c>
      <c r="P266" t="s">
        <v>249</v>
      </c>
      <c r="Q266" t="s">
        <v>197</v>
      </c>
      <c r="R266" t="s">
        <v>45</v>
      </c>
      <c r="S266" t="s">
        <v>32</v>
      </c>
      <c r="T266" t="s">
        <v>215</v>
      </c>
      <c r="V266" s="1">
        <v>1.8999999999999998E-7</v>
      </c>
      <c r="Y266"/>
      <c r="Z266" t="s">
        <v>22</v>
      </c>
    </row>
    <row r="267" spans="1:26" x14ac:dyDescent="0.25">
      <c r="A267" t="s">
        <v>175</v>
      </c>
      <c r="B267" t="s">
        <v>10</v>
      </c>
      <c r="C267" t="s">
        <v>11</v>
      </c>
      <c r="D267" t="s">
        <v>12</v>
      </c>
      <c r="E267" t="s">
        <v>13</v>
      </c>
      <c r="F267" t="s">
        <v>14</v>
      </c>
      <c r="G267" t="s">
        <v>14</v>
      </c>
      <c r="H267" t="s">
        <v>247</v>
      </c>
      <c r="I267">
        <f t="shared" si="48"/>
        <v>8</v>
      </c>
      <c r="J267" t="s">
        <v>238</v>
      </c>
      <c r="K267" t="s">
        <v>202</v>
      </c>
      <c r="L267" t="str">
        <f t="shared" si="41"/>
        <v>Stress</v>
      </c>
      <c r="M267" t="s">
        <v>237</v>
      </c>
      <c r="N267" t="str">
        <f t="shared" si="46"/>
        <v>Stress</v>
      </c>
      <c r="O267" t="s">
        <v>200</v>
      </c>
      <c r="P267" t="s">
        <v>249</v>
      </c>
      <c r="Q267" t="s">
        <v>197</v>
      </c>
      <c r="R267" t="s">
        <v>45</v>
      </c>
      <c r="S267" t="s">
        <v>32</v>
      </c>
      <c r="T267" t="s">
        <v>215</v>
      </c>
      <c r="V267" s="1">
        <v>8.0000000000000002E-8</v>
      </c>
      <c r="Y267"/>
      <c r="Z267" t="s">
        <v>22</v>
      </c>
    </row>
    <row r="268" spans="1:26" x14ac:dyDescent="0.25">
      <c r="A268" t="s">
        <v>175</v>
      </c>
      <c r="B268" t="s">
        <v>10</v>
      </c>
      <c r="C268" t="s">
        <v>11</v>
      </c>
      <c r="D268" t="s">
        <v>12</v>
      </c>
      <c r="E268" t="s">
        <v>13</v>
      </c>
      <c r="F268" t="s">
        <v>14</v>
      </c>
      <c r="G268" t="s">
        <v>14</v>
      </c>
      <c r="H268" t="s">
        <v>247</v>
      </c>
      <c r="I268">
        <f t="shared" si="48"/>
        <v>8</v>
      </c>
      <c r="J268" t="s">
        <v>238</v>
      </c>
      <c r="K268" t="s">
        <v>17</v>
      </c>
      <c r="L268" t="str">
        <f t="shared" si="41"/>
        <v>Control</v>
      </c>
      <c r="M268" t="s">
        <v>17</v>
      </c>
      <c r="N268" t="str">
        <f t="shared" si="46"/>
        <v>Control</v>
      </c>
      <c r="O268" t="s">
        <v>201</v>
      </c>
      <c r="P268" t="s">
        <v>249</v>
      </c>
      <c r="Q268" t="s">
        <v>197</v>
      </c>
      <c r="R268" t="s">
        <v>45</v>
      </c>
      <c r="S268" t="s">
        <v>32</v>
      </c>
      <c r="T268" t="s">
        <v>215</v>
      </c>
      <c r="V268" s="1">
        <v>2.1E-7</v>
      </c>
      <c r="Y268"/>
      <c r="Z268" t="s">
        <v>22</v>
      </c>
    </row>
    <row r="269" spans="1:26" x14ac:dyDescent="0.25">
      <c r="A269" t="s">
        <v>175</v>
      </c>
      <c r="B269" t="s">
        <v>10</v>
      </c>
      <c r="C269" t="s">
        <v>11</v>
      </c>
      <c r="D269" t="s">
        <v>12</v>
      </c>
      <c r="E269" t="s">
        <v>13</v>
      </c>
      <c r="F269" t="s">
        <v>14</v>
      </c>
      <c r="G269" t="s">
        <v>14</v>
      </c>
      <c r="H269" t="s">
        <v>247</v>
      </c>
      <c r="I269">
        <f t="shared" si="48"/>
        <v>8</v>
      </c>
      <c r="J269" t="s">
        <v>238</v>
      </c>
      <c r="K269" t="s">
        <v>202</v>
      </c>
      <c r="L269" t="str">
        <f t="shared" si="41"/>
        <v>Stress</v>
      </c>
      <c r="M269" t="s">
        <v>17</v>
      </c>
      <c r="N269" t="str">
        <f t="shared" si="46"/>
        <v>Control</v>
      </c>
      <c r="O269" t="s">
        <v>201</v>
      </c>
      <c r="P269" t="s">
        <v>249</v>
      </c>
      <c r="Q269" t="s">
        <v>197</v>
      </c>
      <c r="R269" t="s">
        <v>45</v>
      </c>
      <c r="S269" t="s">
        <v>32</v>
      </c>
      <c r="T269" t="s">
        <v>215</v>
      </c>
      <c r="V269" s="1">
        <v>2.1E-7</v>
      </c>
      <c r="Y269"/>
      <c r="Z269" t="s">
        <v>22</v>
      </c>
    </row>
    <row r="270" spans="1:26" x14ac:dyDescent="0.25">
      <c r="A270" t="s">
        <v>175</v>
      </c>
      <c r="B270" t="s">
        <v>10</v>
      </c>
      <c r="C270" t="s">
        <v>11</v>
      </c>
      <c r="D270" t="s">
        <v>12</v>
      </c>
      <c r="E270" t="s">
        <v>13</v>
      </c>
      <c r="F270" t="s">
        <v>14</v>
      </c>
      <c r="G270" t="s">
        <v>14</v>
      </c>
      <c r="H270" t="s">
        <v>247</v>
      </c>
      <c r="I270">
        <f t="shared" si="48"/>
        <v>8</v>
      </c>
      <c r="J270" t="s">
        <v>238</v>
      </c>
      <c r="K270" t="s">
        <v>202</v>
      </c>
      <c r="L270" t="str">
        <f t="shared" si="41"/>
        <v>Stress</v>
      </c>
      <c r="M270" t="s">
        <v>237</v>
      </c>
      <c r="N270" t="str">
        <f t="shared" si="46"/>
        <v>Stress</v>
      </c>
      <c r="O270" t="s">
        <v>201</v>
      </c>
      <c r="P270" t="s">
        <v>249</v>
      </c>
      <c r="Q270" t="s">
        <v>197</v>
      </c>
      <c r="R270" t="s">
        <v>45</v>
      </c>
      <c r="S270" t="s">
        <v>32</v>
      </c>
      <c r="T270" t="s">
        <v>215</v>
      </c>
      <c r="V270" s="1">
        <v>1.6999999999999999E-7</v>
      </c>
      <c r="Y270"/>
      <c r="Z270" t="s">
        <v>22</v>
      </c>
    </row>
    <row r="271" spans="1:26" x14ac:dyDescent="0.25">
      <c r="A271" t="s">
        <v>141</v>
      </c>
      <c r="B271" t="s">
        <v>142</v>
      </c>
      <c r="C271" t="s">
        <v>124</v>
      </c>
      <c r="D271" t="s">
        <v>125</v>
      </c>
      <c r="E271" t="s">
        <v>112</v>
      </c>
      <c r="G271" t="s">
        <v>113</v>
      </c>
      <c r="H271" t="s">
        <v>113</v>
      </c>
      <c r="I271">
        <v>40</v>
      </c>
      <c r="J271" t="s">
        <v>117</v>
      </c>
      <c r="K271" t="s">
        <v>17</v>
      </c>
      <c r="L271" t="str">
        <f t="shared" si="41"/>
        <v>Control</v>
      </c>
      <c r="Q271" t="s">
        <v>197</v>
      </c>
      <c r="R271" t="s">
        <v>143</v>
      </c>
      <c r="S271" t="s">
        <v>27</v>
      </c>
      <c r="T271" t="s">
        <v>215</v>
      </c>
      <c r="V271" s="1">
        <f>'[27]North&amp;Nobel_1996_Fig2a'!B2</f>
        <v>1.8146341463414599E-7</v>
      </c>
      <c r="Y271"/>
      <c r="Z271" t="s">
        <v>52</v>
      </c>
    </row>
    <row r="272" spans="1:26" x14ac:dyDescent="0.25">
      <c r="A272" t="s">
        <v>141</v>
      </c>
      <c r="B272" t="s">
        <v>142</v>
      </c>
      <c r="C272" t="s">
        <v>124</v>
      </c>
      <c r="D272" t="s">
        <v>125</v>
      </c>
      <c r="E272" t="s">
        <v>112</v>
      </c>
      <c r="G272" t="s">
        <v>113</v>
      </c>
      <c r="H272" t="s">
        <v>113</v>
      </c>
      <c r="I272">
        <v>40</v>
      </c>
      <c r="J272" t="s">
        <v>117</v>
      </c>
      <c r="K272" t="s">
        <v>117</v>
      </c>
      <c r="L272" t="str">
        <f t="shared" si="41"/>
        <v>Stress</v>
      </c>
      <c r="Q272" t="s">
        <v>197</v>
      </c>
      <c r="R272" t="s">
        <v>143</v>
      </c>
      <c r="S272" t="s">
        <v>27</v>
      </c>
      <c r="T272" t="s">
        <v>215</v>
      </c>
      <c r="V272" s="1">
        <f>'[27]North&amp;Nobel_1996_Fig2a'!B3</f>
        <v>1.45853658536585E-7</v>
      </c>
      <c r="Y272"/>
      <c r="Z272" t="s">
        <v>52</v>
      </c>
    </row>
    <row r="273" spans="1:26" x14ac:dyDescent="0.25">
      <c r="A273" t="s">
        <v>141</v>
      </c>
      <c r="B273" t="s">
        <v>142</v>
      </c>
      <c r="C273" t="s">
        <v>124</v>
      </c>
      <c r="D273" t="s">
        <v>125</v>
      </c>
      <c r="E273" t="s">
        <v>112</v>
      </c>
      <c r="G273" t="s">
        <v>113</v>
      </c>
      <c r="H273" t="s">
        <v>113</v>
      </c>
      <c r="I273">
        <v>40</v>
      </c>
      <c r="J273" t="s">
        <v>117</v>
      </c>
      <c r="K273" t="s">
        <v>17</v>
      </c>
      <c r="L273" t="str">
        <f t="shared" si="41"/>
        <v>Control</v>
      </c>
      <c r="Q273" t="s">
        <v>197</v>
      </c>
      <c r="R273" t="s">
        <v>143</v>
      </c>
      <c r="S273" t="s">
        <v>114</v>
      </c>
      <c r="T273" t="s">
        <v>215</v>
      </c>
      <c r="V273" s="1">
        <f>'[27]North&amp;Nobel_1996_Fig2a'!B5</f>
        <v>2.3853658536585298E-7</v>
      </c>
      <c r="Y273"/>
      <c r="Z273" t="s">
        <v>52</v>
      </c>
    </row>
    <row r="274" spans="1:26" x14ac:dyDescent="0.25">
      <c r="A274" t="s">
        <v>141</v>
      </c>
      <c r="B274" t="s">
        <v>142</v>
      </c>
      <c r="C274" t="s">
        <v>124</v>
      </c>
      <c r="D274" t="s">
        <v>125</v>
      </c>
      <c r="E274" t="s">
        <v>112</v>
      </c>
      <c r="G274" t="s">
        <v>113</v>
      </c>
      <c r="H274" t="s">
        <v>113</v>
      </c>
      <c r="I274">
        <v>40</v>
      </c>
      <c r="J274" t="s">
        <v>117</v>
      </c>
      <c r="K274" t="s">
        <v>117</v>
      </c>
      <c r="L274" t="str">
        <f t="shared" si="41"/>
        <v>Stress</v>
      </c>
      <c r="Q274" t="s">
        <v>197</v>
      </c>
      <c r="R274" t="s">
        <v>143</v>
      </c>
      <c r="S274" t="s">
        <v>114</v>
      </c>
      <c r="T274" t="s">
        <v>215</v>
      </c>
      <c r="V274" s="1">
        <f>'[27]North&amp;Nobel_1996_Fig2a'!B6</f>
        <v>4.2926829268292703E-8</v>
      </c>
      <c r="Y274"/>
      <c r="Z274" t="s">
        <v>52</v>
      </c>
    </row>
    <row r="275" spans="1:26" x14ac:dyDescent="0.25">
      <c r="A275" t="s">
        <v>141</v>
      </c>
      <c r="B275" t="s">
        <v>142</v>
      </c>
      <c r="C275" t="s">
        <v>124</v>
      </c>
      <c r="D275" t="s">
        <v>125</v>
      </c>
      <c r="E275" t="s">
        <v>112</v>
      </c>
      <c r="G275" t="s">
        <v>113</v>
      </c>
      <c r="H275" t="s">
        <v>113</v>
      </c>
      <c r="I275">
        <v>40</v>
      </c>
      <c r="J275" t="s">
        <v>117</v>
      </c>
      <c r="K275" t="s">
        <v>17</v>
      </c>
      <c r="L275" t="str">
        <f t="shared" si="41"/>
        <v>Control</v>
      </c>
      <c r="Q275" t="s">
        <v>197</v>
      </c>
      <c r="R275" t="s">
        <v>143</v>
      </c>
      <c r="S275" t="s">
        <v>27</v>
      </c>
      <c r="T275" t="s">
        <v>215</v>
      </c>
      <c r="V275" s="1">
        <f>'[28]North&amp;Nobel_1996_Fig3'!A2</f>
        <v>1.8421052631578901E-7</v>
      </c>
      <c r="Y275"/>
      <c r="Z275" t="s">
        <v>74</v>
      </c>
    </row>
    <row r="276" spans="1:26" x14ac:dyDescent="0.25">
      <c r="A276" t="s">
        <v>141</v>
      </c>
      <c r="B276" t="s">
        <v>142</v>
      </c>
      <c r="C276" t="s">
        <v>124</v>
      </c>
      <c r="D276" t="s">
        <v>125</v>
      </c>
      <c r="E276" t="s">
        <v>112</v>
      </c>
      <c r="G276" t="s">
        <v>113</v>
      </c>
      <c r="H276" t="s">
        <v>113</v>
      </c>
      <c r="I276">
        <v>40</v>
      </c>
      <c r="J276" t="s">
        <v>117</v>
      </c>
      <c r="K276" t="s">
        <v>117</v>
      </c>
      <c r="L276" t="str">
        <f t="shared" si="41"/>
        <v>Stress</v>
      </c>
      <c r="Q276" t="s">
        <v>197</v>
      </c>
      <c r="R276" t="s">
        <v>143</v>
      </c>
      <c r="S276" t="s">
        <v>27</v>
      </c>
      <c r="T276" t="s">
        <v>215</v>
      </c>
      <c r="V276" s="1">
        <f>'[28]North&amp;Nobel_1996_Fig3'!A3</f>
        <v>1.7204301075268699E-7</v>
      </c>
      <c r="Y276"/>
      <c r="Z276" t="s">
        <v>74</v>
      </c>
    </row>
    <row r="277" spans="1:26" x14ac:dyDescent="0.25">
      <c r="A277" t="s">
        <v>141</v>
      </c>
      <c r="B277" t="s">
        <v>142</v>
      </c>
      <c r="C277" t="s">
        <v>124</v>
      </c>
      <c r="D277" t="s">
        <v>125</v>
      </c>
      <c r="E277" t="s">
        <v>112</v>
      </c>
      <c r="G277" t="s">
        <v>113</v>
      </c>
      <c r="H277" t="s">
        <v>113</v>
      </c>
      <c r="I277">
        <v>40</v>
      </c>
      <c r="J277" t="s">
        <v>117</v>
      </c>
      <c r="K277" t="s">
        <v>17</v>
      </c>
      <c r="L277" t="str">
        <f t="shared" si="41"/>
        <v>Control</v>
      </c>
      <c r="Q277" t="s">
        <v>197</v>
      </c>
      <c r="R277" t="s">
        <v>143</v>
      </c>
      <c r="S277" t="s">
        <v>114</v>
      </c>
      <c r="T277" t="s">
        <v>215</v>
      </c>
      <c r="V277" s="1">
        <f>'[28]North&amp;Nobel_1996_Fig3'!A5</f>
        <v>2.4736842105263099E-7</v>
      </c>
      <c r="Y277"/>
      <c r="Z277" t="s">
        <v>74</v>
      </c>
    </row>
    <row r="278" spans="1:26" x14ac:dyDescent="0.25">
      <c r="A278" t="s">
        <v>141</v>
      </c>
      <c r="B278" t="s">
        <v>142</v>
      </c>
      <c r="C278" t="s">
        <v>124</v>
      </c>
      <c r="D278" t="s">
        <v>125</v>
      </c>
      <c r="E278" t="s">
        <v>112</v>
      </c>
      <c r="G278" t="s">
        <v>113</v>
      </c>
      <c r="H278" t="s">
        <v>113</v>
      </c>
      <c r="I278">
        <v>40</v>
      </c>
      <c r="J278" t="s">
        <v>117</v>
      </c>
      <c r="K278" t="s">
        <v>117</v>
      </c>
      <c r="L278" t="str">
        <f t="shared" si="41"/>
        <v>Stress</v>
      </c>
      <c r="Q278" t="s">
        <v>197</v>
      </c>
      <c r="R278" t="s">
        <v>143</v>
      </c>
      <c r="S278" t="s">
        <v>114</v>
      </c>
      <c r="T278" t="s">
        <v>215</v>
      </c>
      <c r="V278" s="1">
        <f>'[28]North&amp;Nobel_1996_Fig3'!A6</f>
        <v>3.7634408602150298E-8</v>
      </c>
      <c r="Y278"/>
      <c r="Z278" t="s">
        <v>74</v>
      </c>
    </row>
    <row r="279" spans="1:26" x14ac:dyDescent="0.25">
      <c r="A279" t="s">
        <v>144</v>
      </c>
      <c r="B279" t="s">
        <v>20</v>
      </c>
      <c r="C279" t="s">
        <v>21</v>
      </c>
      <c r="D279" t="s">
        <v>12</v>
      </c>
      <c r="E279" t="s">
        <v>15</v>
      </c>
      <c r="F279" t="s">
        <v>16</v>
      </c>
      <c r="G279" t="s">
        <v>16</v>
      </c>
      <c r="H279" t="s">
        <v>247</v>
      </c>
      <c r="I279">
        <f>+AVERAGE(10,14)</f>
        <v>12</v>
      </c>
      <c r="Q279" t="s">
        <v>197</v>
      </c>
      <c r="R279" t="s">
        <v>30</v>
      </c>
      <c r="S279" t="s">
        <v>27</v>
      </c>
      <c r="T279" t="s">
        <v>215</v>
      </c>
      <c r="V279" s="1">
        <f>[29]Frensch_etal_1996_Fig2a!B2</f>
        <v>2.3500771936526101E-7</v>
      </c>
      <c r="Y279"/>
      <c r="Z279" t="s">
        <v>22</v>
      </c>
    </row>
    <row r="280" spans="1:26" x14ac:dyDescent="0.25">
      <c r="A280" t="s">
        <v>144</v>
      </c>
      <c r="B280" t="s">
        <v>20</v>
      </c>
      <c r="C280" t="s">
        <v>21</v>
      </c>
      <c r="D280" t="s">
        <v>12</v>
      </c>
      <c r="E280" t="s">
        <v>15</v>
      </c>
      <c r="F280" t="s">
        <v>16</v>
      </c>
      <c r="G280" t="s">
        <v>16</v>
      </c>
      <c r="H280" t="s">
        <v>247</v>
      </c>
      <c r="I280">
        <f t="shared" ref="I280:I284" si="49">+AVERAGE(10,14)</f>
        <v>12</v>
      </c>
      <c r="Q280" t="s">
        <v>197</v>
      </c>
      <c r="R280" t="s">
        <v>30</v>
      </c>
      <c r="S280" t="s">
        <v>114</v>
      </c>
      <c r="T280" t="s">
        <v>215</v>
      </c>
      <c r="V280" s="1">
        <f>[29]Frensch_etal_1996_Fig2a!B3</f>
        <v>2.0639991086918401E-7</v>
      </c>
      <c r="Y280"/>
      <c r="Z280" t="s">
        <v>22</v>
      </c>
    </row>
    <row r="281" spans="1:26" x14ac:dyDescent="0.25">
      <c r="A281" t="s">
        <v>144</v>
      </c>
      <c r="B281" t="s">
        <v>20</v>
      </c>
      <c r="C281" t="s">
        <v>21</v>
      </c>
      <c r="D281" t="s">
        <v>12</v>
      </c>
      <c r="E281" t="s">
        <v>15</v>
      </c>
      <c r="F281" t="s">
        <v>16</v>
      </c>
      <c r="G281" t="s">
        <v>16</v>
      </c>
      <c r="H281" t="s">
        <v>247</v>
      </c>
      <c r="I281">
        <f t="shared" si="49"/>
        <v>12</v>
      </c>
      <c r="Q281" t="s">
        <v>197</v>
      </c>
      <c r="R281" t="s">
        <v>30</v>
      </c>
      <c r="S281" t="s">
        <v>72</v>
      </c>
      <c r="T281" t="s">
        <v>215</v>
      </c>
      <c r="V281" s="1">
        <f>[29]Frensch_etal_1996_Fig2a!B4</f>
        <v>2.6422989383883199E-7</v>
      </c>
      <c r="Y281"/>
      <c r="Z281" t="s">
        <v>22</v>
      </c>
    </row>
    <row r="282" spans="1:26" x14ac:dyDescent="0.25">
      <c r="A282" t="s">
        <v>144</v>
      </c>
      <c r="B282" t="s">
        <v>20</v>
      </c>
      <c r="C282" t="s">
        <v>21</v>
      </c>
      <c r="D282" t="s">
        <v>12</v>
      </c>
      <c r="E282" t="s">
        <v>15</v>
      </c>
      <c r="F282" t="s">
        <v>16</v>
      </c>
      <c r="G282" t="s">
        <v>16</v>
      </c>
      <c r="H282" t="s">
        <v>247</v>
      </c>
      <c r="I282">
        <f>+AVERAGE(10,14)</f>
        <v>12</v>
      </c>
      <c r="Q282" t="s">
        <v>197</v>
      </c>
      <c r="R282" t="s">
        <v>30</v>
      </c>
      <c r="S282" t="s">
        <v>27</v>
      </c>
      <c r="T282" t="s">
        <v>216</v>
      </c>
      <c r="V282" s="1">
        <f>[29]Frensch_etal_1996_Fig2a!B5</f>
        <v>4.70557567466065E-8</v>
      </c>
      <c r="Y282"/>
      <c r="Z282" t="s">
        <v>22</v>
      </c>
    </row>
    <row r="283" spans="1:26" x14ac:dyDescent="0.25">
      <c r="A283" t="s">
        <v>144</v>
      </c>
      <c r="B283" t="s">
        <v>20</v>
      </c>
      <c r="C283" t="s">
        <v>21</v>
      </c>
      <c r="D283" t="s">
        <v>12</v>
      </c>
      <c r="E283" t="s">
        <v>15</v>
      </c>
      <c r="F283" t="s">
        <v>16</v>
      </c>
      <c r="G283" t="s">
        <v>16</v>
      </c>
      <c r="H283" t="s">
        <v>247</v>
      </c>
      <c r="I283">
        <f t="shared" si="49"/>
        <v>12</v>
      </c>
      <c r="Q283" t="s">
        <v>197</v>
      </c>
      <c r="R283" t="s">
        <v>30</v>
      </c>
      <c r="S283" t="s">
        <v>114</v>
      </c>
      <c r="T283" t="s">
        <v>216</v>
      </c>
      <c r="V283" s="1">
        <f>[29]Frensch_etal_1996_Fig2a!B6</f>
        <v>2.1905478208773601E-8</v>
      </c>
      <c r="Y283"/>
      <c r="Z283" t="s">
        <v>22</v>
      </c>
    </row>
    <row r="284" spans="1:26" x14ac:dyDescent="0.25">
      <c r="A284" t="s">
        <v>144</v>
      </c>
      <c r="B284" t="s">
        <v>20</v>
      </c>
      <c r="C284" t="s">
        <v>21</v>
      </c>
      <c r="D284" t="s">
        <v>12</v>
      </c>
      <c r="E284" t="s">
        <v>15</v>
      </c>
      <c r="F284" t="s">
        <v>16</v>
      </c>
      <c r="G284" t="s">
        <v>16</v>
      </c>
      <c r="H284" t="s">
        <v>247</v>
      </c>
      <c r="I284">
        <f t="shared" si="49"/>
        <v>12</v>
      </c>
      <c r="Q284" t="s">
        <v>197</v>
      </c>
      <c r="R284" t="s">
        <v>30</v>
      </c>
      <c r="S284" t="s">
        <v>72</v>
      </c>
      <c r="T284" t="s">
        <v>216</v>
      </c>
      <c r="V284" s="1">
        <f>[29]Frensch_etal_1996_Fig2a!B7</f>
        <v>1.08525448432496E-8</v>
      </c>
      <c r="Y284"/>
      <c r="Z284" t="s">
        <v>22</v>
      </c>
    </row>
    <row r="285" spans="1:26" x14ac:dyDescent="0.25">
      <c r="A285" t="s">
        <v>145</v>
      </c>
      <c r="B285" t="s">
        <v>20</v>
      </c>
      <c r="C285" t="s">
        <v>21</v>
      </c>
      <c r="D285" t="s">
        <v>12</v>
      </c>
      <c r="E285" t="s">
        <v>15</v>
      </c>
      <c r="F285" t="s">
        <v>16</v>
      </c>
      <c r="G285" t="s">
        <v>16</v>
      </c>
      <c r="H285" t="s">
        <v>247</v>
      </c>
      <c r="I285">
        <f>+AVERAGE(7,14)</f>
        <v>10.5</v>
      </c>
      <c r="J285" t="s">
        <v>203</v>
      </c>
      <c r="K285" t="s">
        <v>17</v>
      </c>
      <c r="L285" t="str">
        <f t="shared" ref="L285:L298" si="50">+IF(K285="Control","Control","Stress")</f>
        <v>Control</v>
      </c>
      <c r="Q285" t="s">
        <v>198</v>
      </c>
      <c r="R285" t="s">
        <v>30</v>
      </c>
      <c r="S285" t="s">
        <v>32</v>
      </c>
      <c r="T285" t="s">
        <v>215</v>
      </c>
      <c r="V285" s="1">
        <v>8.0000000000000002E-8</v>
      </c>
      <c r="W285" s="2"/>
      <c r="X285">
        <f>+AVERAGE(8.9, 17.4)</f>
        <v>13.149999999999999</v>
      </c>
      <c r="Y285">
        <f>+AVERAGE(0.78,1.28)</f>
        <v>1.03</v>
      </c>
      <c r="Z285" t="s">
        <v>22</v>
      </c>
    </row>
    <row r="286" spans="1:26" x14ac:dyDescent="0.25">
      <c r="A286" t="s">
        <v>145</v>
      </c>
      <c r="B286" t="s">
        <v>20</v>
      </c>
      <c r="C286" t="s">
        <v>21</v>
      </c>
      <c r="D286" t="s">
        <v>12</v>
      </c>
      <c r="E286" t="s">
        <v>15</v>
      </c>
      <c r="F286" t="s">
        <v>16</v>
      </c>
      <c r="G286" t="s">
        <v>16</v>
      </c>
      <c r="H286" t="s">
        <v>247</v>
      </c>
      <c r="I286">
        <f t="shared" ref="I286:I296" si="51">+AVERAGE(7,14)</f>
        <v>10.5</v>
      </c>
      <c r="J286" t="s">
        <v>203</v>
      </c>
      <c r="K286" t="s">
        <v>17</v>
      </c>
      <c r="L286" t="str">
        <f t="shared" si="50"/>
        <v>Control</v>
      </c>
      <c r="Q286" t="s">
        <v>197</v>
      </c>
      <c r="R286" t="s">
        <v>30</v>
      </c>
      <c r="S286" t="s">
        <v>32</v>
      </c>
      <c r="T286" t="s">
        <v>215</v>
      </c>
      <c r="V286" s="1">
        <v>2.7000000000000001E-7</v>
      </c>
      <c r="W286" s="2"/>
      <c r="X286">
        <f t="shared" ref="X286:X296" si="52">+AVERAGE(8.9, 17.4)</f>
        <v>13.149999999999999</v>
      </c>
      <c r="Y286">
        <f t="shared" ref="Y286:Y296" si="53">+AVERAGE(0.78,1.28)</f>
        <v>1.03</v>
      </c>
      <c r="Z286" t="s">
        <v>22</v>
      </c>
    </row>
    <row r="287" spans="1:26" x14ac:dyDescent="0.25">
      <c r="A287" t="s">
        <v>145</v>
      </c>
      <c r="B287" t="s">
        <v>20</v>
      </c>
      <c r="C287" t="s">
        <v>21</v>
      </c>
      <c r="D287" t="s">
        <v>12</v>
      </c>
      <c r="E287" t="s">
        <v>15</v>
      </c>
      <c r="F287" t="s">
        <v>16</v>
      </c>
      <c r="G287" t="s">
        <v>16</v>
      </c>
      <c r="H287" t="s">
        <v>247</v>
      </c>
      <c r="I287">
        <f t="shared" si="51"/>
        <v>10.5</v>
      </c>
      <c r="J287" t="s">
        <v>203</v>
      </c>
      <c r="K287" t="s">
        <v>17</v>
      </c>
      <c r="L287" t="str">
        <f t="shared" si="50"/>
        <v>Control</v>
      </c>
      <c r="Q287" t="s">
        <v>199</v>
      </c>
      <c r="R287" t="s">
        <v>30</v>
      </c>
      <c r="S287" t="s">
        <v>32</v>
      </c>
      <c r="T287" t="s">
        <v>215</v>
      </c>
      <c r="V287" s="1">
        <v>6.3E-7</v>
      </c>
      <c r="W287" s="2"/>
      <c r="X287">
        <f t="shared" si="52"/>
        <v>13.149999999999999</v>
      </c>
      <c r="Y287">
        <f t="shared" si="53"/>
        <v>1.03</v>
      </c>
      <c r="Z287" t="s">
        <v>22</v>
      </c>
    </row>
    <row r="288" spans="1:26" x14ac:dyDescent="0.25">
      <c r="A288" t="s">
        <v>145</v>
      </c>
      <c r="B288" t="s">
        <v>20</v>
      </c>
      <c r="C288" t="s">
        <v>21</v>
      </c>
      <c r="D288" t="s">
        <v>12</v>
      </c>
      <c r="E288" t="s">
        <v>15</v>
      </c>
      <c r="F288" t="s">
        <v>16</v>
      </c>
      <c r="G288" t="s">
        <v>16</v>
      </c>
      <c r="H288" t="s">
        <v>247</v>
      </c>
      <c r="I288">
        <f t="shared" si="51"/>
        <v>10.5</v>
      </c>
      <c r="J288" t="s">
        <v>203</v>
      </c>
      <c r="K288" t="s">
        <v>204</v>
      </c>
      <c r="L288" t="str">
        <f t="shared" si="50"/>
        <v>Stress</v>
      </c>
      <c r="Q288" t="s">
        <v>198</v>
      </c>
      <c r="R288" t="s">
        <v>30</v>
      </c>
      <c r="S288" t="s">
        <v>32</v>
      </c>
      <c r="T288" t="s">
        <v>215</v>
      </c>
      <c r="V288" s="1">
        <v>6.9999999999999992E-8</v>
      </c>
      <c r="W288" s="2"/>
      <c r="X288">
        <f t="shared" si="52"/>
        <v>13.149999999999999</v>
      </c>
      <c r="Y288">
        <f t="shared" si="53"/>
        <v>1.03</v>
      </c>
      <c r="Z288" t="s">
        <v>22</v>
      </c>
    </row>
    <row r="289" spans="1:26" x14ac:dyDescent="0.25">
      <c r="A289" t="s">
        <v>145</v>
      </c>
      <c r="B289" t="s">
        <v>20</v>
      </c>
      <c r="C289" t="s">
        <v>21</v>
      </c>
      <c r="D289" t="s">
        <v>12</v>
      </c>
      <c r="E289" t="s">
        <v>15</v>
      </c>
      <c r="F289" t="s">
        <v>16</v>
      </c>
      <c r="G289" t="s">
        <v>16</v>
      </c>
      <c r="H289" t="s">
        <v>247</v>
      </c>
      <c r="I289">
        <f t="shared" si="51"/>
        <v>10.5</v>
      </c>
      <c r="J289" t="s">
        <v>203</v>
      </c>
      <c r="K289" t="s">
        <v>204</v>
      </c>
      <c r="L289" t="str">
        <f t="shared" si="50"/>
        <v>Stress</v>
      </c>
      <c r="Q289" t="s">
        <v>197</v>
      </c>
      <c r="R289" t="s">
        <v>30</v>
      </c>
      <c r="S289" t="s">
        <v>32</v>
      </c>
      <c r="T289" t="s">
        <v>215</v>
      </c>
      <c r="V289" s="1">
        <v>2.7999999999999997E-7</v>
      </c>
      <c r="W289" s="2"/>
      <c r="X289">
        <f t="shared" si="52"/>
        <v>13.149999999999999</v>
      </c>
      <c r="Y289">
        <f t="shared" si="53"/>
        <v>1.03</v>
      </c>
      <c r="Z289" t="s">
        <v>22</v>
      </c>
    </row>
    <row r="290" spans="1:26" x14ac:dyDescent="0.25">
      <c r="A290" t="s">
        <v>145</v>
      </c>
      <c r="B290" t="s">
        <v>20</v>
      </c>
      <c r="C290" t="s">
        <v>21</v>
      </c>
      <c r="D290" t="s">
        <v>12</v>
      </c>
      <c r="E290" t="s">
        <v>15</v>
      </c>
      <c r="F290" t="s">
        <v>16</v>
      </c>
      <c r="G290" t="s">
        <v>16</v>
      </c>
      <c r="H290" t="s">
        <v>247</v>
      </c>
      <c r="I290">
        <f t="shared" si="51"/>
        <v>10.5</v>
      </c>
      <c r="J290" t="s">
        <v>203</v>
      </c>
      <c r="K290" t="s">
        <v>204</v>
      </c>
      <c r="L290" t="str">
        <f t="shared" si="50"/>
        <v>Stress</v>
      </c>
      <c r="Q290" t="s">
        <v>199</v>
      </c>
      <c r="R290" t="s">
        <v>30</v>
      </c>
      <c r="S290" t="s">
        <v>32</v>
      </c>
      <c r="T290" t="s">
        <v>215</v>
      </c>
      <c r="V290" s="1">
        <v>6.6999999999999994E-7</v>
      </c>
      <c r="W290" s="2"/>
      <c r="X290">
        <f t="shared" si="52"/>
        <v>13.149999999999999</v>
      </c>
      <c r="Y290">
        <f t="shared" si="53"/>
        <v>1.03</v>
      </c>
      <c r="Z290" t="s">
        <v>22</v>
      </c>
    </row>
    <row r="291" spans="1:26" x14ac:dyDescent="0.25">
      <c r="A291" t="s">
        <v>145</v>
      </c>
      <c r="B291" t="s">
        <v>20</v>
      </c>
      <c r="C291" t="s">
        <v>21</v>
      </c>
      <c r="D291" t="s">
        <v>12</v>
      </c>
      <c r="E291" t="s">
        <v>15</v>
      </c>
      <c r="F291" t="s">
        <v>16</v>
      </c>
      <c r="G291" t="s">
        <v>16</v>
      </c>
      <c r="H291" t="s">
        <v>247</v>
      </c>
      <c r="I291">
        <f t="shared" si="51"/>
        <v>10.5</v>
      </c>
      <c r="J291" t="s">
        <v>203</v>
      </c>
      <c r="K291" t="s">
        <v>17</v>
      </c>
      <c r="L291" t="str">
        <f t="shared" si="50"/>
        <v>Control</v>
      </c>
      <c r="Q291" t="s">
        <v>198</v>
      </c>
      <c r="R291" t="s">
        <v>30</v>
      </c>
      <c r="S291" t="s">
        <v>32</v>
      </c>
      <c r="T291" t="s">
        <v>216</v>
      </c>
      <c r="V291" s="1">
        <v>3E-9</v>
      </c>
      <c r="W291" s="2"/>
      <c r="X291">
        <f t="shared" si="52"/>
        <v>13.149999999999999</v>
      </c>
      <c r="Y291">
        <f t="shared" si="53"/>
        <v>1.03</v>
      </c>
      <c r="Z291" t="s">
        <v>22</v>
      </c>
    </row>
    <row r="292" spans="1:26" x14ac:dyDescent="0.25">
      <c r="A292" t="s">
        <v>145</v>
      </c>
      <c r="B292" t="s">
        <v>20</v>
      </c>
      <c r="C292" t="s">
        <v>21</v>
      </c>
      <c r="D292" t="s">
        <v>12</v>
      </c>
      <c r="E292" t="s">
        <v>15</v>
      </c>
      <c r="F292" t="s">
        <v>16</v>
      </c>
      <c r="G292" t="s">
        <v>16</v>
      </c>
      <c r="H292" t="s">
        <v>247</v>
      </c>
      <c r="I292">
        <f t="shared" si="51"/>
        <v>10.5</v>
      </c>
      <c r="J292" t="s">
        <v>203</v>
      </c>
      <c r="K292" t="s">
        <v>17</v>
      </c>
      <c r="L292" t="str">
        <f t="shared" si="50"/>
        <v>Control</v>
      </c>
      <c r="Q292" t="s">
        <v>197</v>
      </c>
      <c r="R292" t="s">
        <v>30</v>
      </c>
      <c r="S292" t="s">
        <v>32</v>
      </c>
      <c r="T292" t="s">
        <v>216</v>
      </c>
      <c r="V292" s="1">
        <v>2.2000000000000002E-8</v>
      </c>
      <c r="W292" s="2"/>
      <c r="X292">
        <f t="shared" si="52"/>
        <v>13.149999999999999</v>
      </c>
      <c r="Y292">
        <f t="shared" si="53"/>
        <v>1.03</v>
      </c>
      <c r="Z292" t="s">
        <v>22</v>
      </c>
    </row>
    <row r="293" spans="1:26" x14ac:dyDescent="0.25">
      <c r="A293" t="s">
        <v>145</v>
      </c>
      <c r="B293" t="s">
        <v>20</v>
      </c>
      <c r="C293" t="s">
        <v>21</v>
      </c>
      <c r="D293" t="s">
        <v>12</v>
      </c>
      <c r="E293" t="s">
        <v>15</v>
      </c>
      <c r="F293" t="s">
        <v>16</v>
      </c>
      <c r="G293" t="s">
        <v>16</v>
      </c>
      <c r="H293" t="s">
        <v>247</v>
      </c>
      <c r="I293">
        <f t="shared" si="51"/>
        <v>10.5</v>
      </c>
      <c r="J293" t="s">
        <v>203</v>
      </c>
      <c r="K293" t="s">
        <v>17</v>
      </c>
      <c r="L293" t="str">
        <f t="shared" si="50"/>
        <v>Control</v>
      </c>
      <c r="Q293" t="s">
        <v>199</v>
      </c>
      <c r="R293" t="s">
        <v>30</v>
      </c>
      <c r="S293" t="s">
        <v>32</v>
      </c>
      <c r="T293" t="s">
        <v>216</v>
      </c>
      <c r="V293" s="1">
        <v>6.4000000000000004E-8</v>
      </c>
      <c r="W293" s="2"/>
      <c r="X293">
        <f t="shared" si="52"/>
        <v>13.149999999999999</v>
      </c>
      <c r="Y293">
        <f t="shared" si="53"/>
        <v>1.03</v>
      </c>
      <c r="Z293" t="s">
        <v>22</v>
      </c>
    </row>
    <row r="294" spans="1:26" x14ac:dyDescent="0.25">
      <c r="A294" t="s">
        <v>145</v>
      </c>
      <c r="B294" t="s">
        <v>20</v>
      </c>
      <c r="C294" t="s">
        <v>21</v>
      </c>
      <c r="D294" t="s">
        <v>12</v>
      </c>
      <c r="E294" t="s">
        <v>15</v>
      </c>
      <c r="F294" t="s">
        <v>16</v>
      </c>
      <c r="G294" t="s">
        <v>16</v>
      </c>
      <c r="H294" t="s">
        <v>247</v>
      </c>
      <c r="I294">
        <f t="shared" si="51"/>
        <v>10.5</v>
      </c>
      <c r="J294" t="s">
        <v>203</v>
      </c>
      <c r="K294" t="s">
        <v>204</v>
      </c>
      <c r="L294" t="str">
        <f t="shared" si="50"/>
        <v>Stress</v>
      </c>
      <c r="Q294" t="s">
        <v>198</v>
      </c>
      <c r="R294" t="s">
        <v>30</v>
      </c>
      <c r="S294" t="s">
        <v>32</v>
      </c>
      <c r="T294" t="s">
        <v>216</v>
      </c>
      <c r="V294" s="1">
        <v>6.9999999999999998E-9</v>
      </c>
      <c r="W294" s="2"/>
      <c r="X294">
        <f t="shared" si="52"/>
        <v>13.149999999999999</v>
      </c>
      <c r="Y294">
        <f t="shared" si="53"/>
        <v>1.03</v>
      </c>
      <c r="Z294" t="s">
        <v>22</v>
      </c>
    </row>
    <row r="295" spans="1:26" x14ac:dyDescent="0.25">
      <c r="A295" t="s">
        <v>145</v>
      </c>
      <c r="B295" t="s">
        <v>20</v>
      </c>
      <c r="C295" t="s">
        <v>21</v>
      </c>
      <c r="D295" t="s">
        <v>12</v>
      </c>
      <c r="E295" t="s">
        <v>15</v>
      </c>
      <c r="F295" t="s">
        <v>16</v>
      </c>
      <c r="G295" t="s">
        <v>16</v>
      </c>
      <c r="H295" t="s">
        <v>247</v>
      </c>
      <c r="I295">
        <f t="shared" si="51"/>
        <v>10.5</v>
      </c>
      <c r="J295" t="s">
        <v>203</v>
      </c>
      <c r="K295" t="s">
        <v>204</v>
      </c>
      <c r="L295" t="str">
        <f t="shared" si="50"/>
        <v>Stress</v>
      </c>
      <c r="Q295" t="s">
        <v>197</v>
      </c>
      <c r="R295" t="s">
        <v>30</v>
      </c>
      <c r="S295" t="s">
        <v>32</v>
      </c>
      <c r="T295" t="s">
        <v>216</v>
      </c>
      <c r="V295" s="1">
        <v>2.4999999999999999E-8</v>
      </c>
      <c r="W295" s="2"/>
      <c r="X295">
        <f t="shared" si="52"/>
        <v>13.149999999999999</v>
      </c>
      <c r="Y295">
        <f t="shared" si="53"/>
        <v>1.03</v>
      </c>
      <c r="Z295" t="s">
        <v>22</v>
      </c>
    </row>
    <row r="296" spans="1:26" x14ac:dyDescent="0.25">
      <c r="A296" t="s">
        <v>145</v>
      </c>
      <c r="B296" t="s">
        <v>20</v>
      </c>
      <c r="C296" t="s">
        <v>21</v>
      </c>
      <c r="D296" t="s">
        <v>12</v>
      </c>
      <c r="E296" t="s">
        <v>15</v>
      </c>
      <c r="F296" t="s">
        <v>16</v>
      </c>
      <c r="G296" t="s">
        <v>16</v>
      </c>
      <c r="H296" t="s">
        <v>247</v>
      </c>
      <c r="I296">
        <f t="shared" si="51"/>
        <v>10.5</v>
      </c>
      <c r="J296" t="s">
        <v>203</v>
      </c>
      <c r="K296" t="s">
        <v>204</v>
      </c>
      <c r="L296" t="str">
        <f t="shared" si="50"/>
        <v>Stress</v>
      </c>
      <c r="Q296" t="s">
        <v>199</v>
      </c>
      <c r="R296" t="s">
        <v>30</v>
      </c>
      <c r="S296" t="s">
        <v>32</v>
      </c>
      <c r="T296" t="s">
        <v>216</v>
      </c>
      <c r="V296" s="1">
        <v>7.4999999999999997E-8</v>
      </c>
      <c r="W296" s="2"/>
      <c r="X296">
        <f t="shared" si="52"/>
        <v>13.149999999999999</v>
      </c>
      <c r="Y296">
        <f t="shared" si="53"/>
        <v>1.03</v>
      </c>
      <c r="Z296" t="s">
        <v>22</v>
      </c>
    </row>
    <row r="297" spans="1:26" x14ac:dyDescent="0.25">
      <c r="A297" t="s">
        <v>148</v>
      </c>
      <c r="B297" t="s">
        <v>20</v>
      </c>
      <c r="C297" t="s">
        <v>21</v>
      </c>
      <c r="D297" t="s">
        <v>12</v>
      </c>
      <c r="E297" t="s">
        <v>15</v>
      </c>
      <c r="F297" t="s">
        <v>16</v>
      </c>
      <c r="G297" t="s">
        <v>16</v>
      </c>
      <c r="H297" t="s">
        <v>247</v>
      </c>
      <c r="I297">
        <f>+AVERAGE(7,14)</f>
        <v>10.5</v>
      </c>
      <c r="J297" t="s">
        <v>146</v>
      </c>
      <c r="K297" t="s">
        <v>17</v>
      </c>
      <c r="L297" t="str">
        <f t="shared" si="50"/>
        <v>Control</v>
      </c>
      <c r="Q297" t="s">
        <v>197</v>
      </c>
      <c r="R297" t="s">
        <v>30</v>
      </c>
      <c r="S297" t="s">
        <v>32</v>
      </c>
      <c r="T297" t="s">
        <v>215</v>
      </c>
      <c r="V297" s="1">
        <v>2.2000000000000001E-7</v>
      </c>
      <c r="W297" s="2"/>
      <c r="X297">
        <f>+AVERAGE(7.8,13.1)</f>
        <v>10.45</v>
      </c>
      <c r="Y297">
        <f>+AVERAGE(0.86,1.1)</f>
        <v>0.98</v>
      </c>
      <c r="Z297" t="s">
        <v>22</v>
      </c>
    </row>
    <row r="298" spans="1:26" x14ac:dyDescent="0.25">
      <c r="A298" t="s">
        <v>148</v>
      </c>
      <c r="B298" t="s">
        <v>20</v>
      </c>
      <c r="C298" t="s">
        <v>21</v>
      </c>
      <c r="D298" t="s">
        <v>12</v>
      </c>
      <c r="E298" t="s">
        <v>15</v>
      </c>
      <c r="F298" t="s">
        <v>16</v>
      </c>
      <c r="G298" t="s">
        <v>16</v>
      </c>
      <c r="H298" t="s">
        <v>247</v>
      </c>
      <c r="I298">
        <f>+AVERAGE(7,14)</f>
        <v>10.5</v>
      </c>
      <c r="J298" t="s">
        <v>146</v>
      </c>
      <c r="K298" t="s">
        <v>147</v>
      </c>
      <c r="L298" t="str">
        <f t="shared" si="50"/>
        <v>Stress</v>
      </c>
      <c r="Q298" t="s">
        <v>197</v>
      </c>
      <c r="R298" t="s">
        <v>30</v>
      </c>
      <c r="S298" t="s">
        <v>32</v>
      </c>
      <c r="T298" t="s">
        <v>215</v>
      </c>
      <c r="V298" s="1">
        <v>2.2000000000000001E-7</v>
      </c>
      <c r="W298" s="2"/>
      <c r="X298">
        <f t="shared" ref="X298" si="54">+AVERAGE(7.8,13.1)</f>
        <v>10.45</v>
      </c>
      <c r="Y298">
        <f t="shared" ref="Y298" si="55">+AVERAGE(0.86,1.1)</f>
        <v>0.98</v>
      </c>
      <c r="Z298" t="s">
        <v>22</v>
      </c>
    </row>
    <row r="299" spans="1:26" x14ac:dyDescent="0.25">
      <c r="A299" t="s">
        <v>170</v>
      </c>
      <c r="B299" t="s">
        <v>171</v>
      </c>
      <c r="C299" t="s">
        <v>110</v>
      </c>
      <c r="D299" t="s">
        <v>111</v>
      </c>
      <c r="E299" t="s">
        <v>112</v>
      </c>
      <c r="G299" t="s">
        <v>113</v>
      </c>
      <c r="H299" t="s">
        <v>113</v>
      </c>
      <c r="I299">
        <f>2*7</f>
        <v>14</v>
      </c>
      <c r="Q299" t="s">
        <v>197</v>
      </c>
      <c r="R299" t="s">
        <v>152</v>
      </c>
      <c r="S299" t="s">
        <v>27</v>
      </c>
      <c r="T299" t="s">
        <v>215</v>
      </c>
      <c r="V299" s="1">
        <v>3.4299999999999999E-7</v>
      </c>
      <c r="W299" s="2"/>
      <c r="Y299">
        <v>0.81</v>
      </c>
      <c r="Z299" t="s">
        <v>52</v>
      </c>
    </row>
    <row r="300" spans="1:26" x14ac:dyDescent="0.25">
      <c r="A300" t="s">
        <v>170</v>
      </c>
      <c r="B300" t="s">
        <v>171</v>
      </c>
      <c r="C300" t="s">
        <v>110</v>
      </c>
      <c r="D300" t="s">
        <v>111</v>
      </c>
      <c r="E300" t="s">
        <v>112</v>
      </c>
      <c r="G300" t="s">
        <v>113</v>
      </c>
      <c r="H300" t="s">
        <v>113</v>
      </c>
      <c r="I300">
        <f>6*7</f>
        <v>42</v>
      </c>
      <c r="Q300" t="s">
        <v>197</v>
      </c>
      <c r="R300" t="s">
        <v>152</v>
      </c>
      <c r="S300" t="s">
        <v>72</v>
      </c>
      <c r="T300" t="s">
        <v>215</v>
      </c>
      <c r="V300" s="1">
        <v>1.1799999999999998E-7</v>
      </c>
      <c r="W300" s="2"/>
      <c r="Y300">
        <v>0.81</v>
      </c>
      <c r="Z300" t="s">
        <v>52</v>
      </c>
    </row>
    <row r="301" spans="1:26" x14ac:dyDescent="0.25">
      <c r="A301" t="s">
        <v>170</v>
      </c>
      <c r="B301" t="s">
        <v>172</v>
      </c>
      <c r="C301" t="s">
        <v>110</v>
      </c>
      <c r="D301" t="s">
        <v>111</v>
      </c>
      <c r="E301" t="s">
        <v>112</v>
      </c>
      <c r="G301" t="s">
        <v>113</v>
      </c>
      <c r="H301" t="s">
        <v>113</v>
      </c>
      <c r="I301">
        <f>2*7</f>
        <v>14</v>
      </c>
      <c r="Q301" t="s">
        <v>197</v>
      </c>
      <c r="R301" t="s">
        <v>152</v>
      </c>
      <c r="S301" t="s">
        <v>27</v>
      </c>
      <c r="T301" t="s">
        <v>215</v>
      </c>
      <c r="V301" s="1">
        <v>2.4399999999999996E-7</v>
      </c>
      <c r="W301" s="2"/>
      <c r="Y301">
        <v>0.82</v>
      </c>
      <c r="Z301" t="s">
        <v>52</v>
      </c>
    </row>
    <row r="302" spans="1:26" x14ac:dyDescent="0.25">
      <c r="A302" t="s">
        <v>170</v>
      </c>
      <c r="B302" t="s">
        <v>172</v>
      </c>
      <c r="C302" t="s">
        <v>110</v>
      </c>
      <c r="D302" t="s">
        <v>111</v>
      </c>
      <c r="E302" t="s">
        <v>112</v>
      </c>
      <c r="G302" t="s">
        <v>113</v>
      </c>
      <c r="H302" t="s">
        <v>113</v>
      </c>
      <c r="I302">
        <f>6*7</f>
        <v>42</v>
      </c>
      <c r="Q302" t="s">
        <v>197</v>
      </c>
      <c r="R302" t="s">
        <v>152</v>
      </c>
      <c r="S302" t="s">
        <v>72</v>
      </c>
      <c r="T302" t="s">
        <v>215</v>
      </c>
      <c r="V302" s="1">
        <v>1.5199999999999998E-7</v>
      </c>
      <c r="W302" s="2"/>
      <c r="Y302">
        <v>0.82</v>
      </c>
      <c r="Z302" t="s">
        <v>52</v>
      </c>
    </row>
    <row r="303" spans="1:26" x14ac:dyDescent="0.25">
      <c r="A303" t="s">
        <v>170</v>
      </c>
      <c r="B303" t="s">
        <v>172</v>
      </c>
      <c r="C303" t="s">
        <v>110</v>
      </c>
      <c r="D303" t="s">
        <v>111</v>
      </c>
      <c r="E303" t="s">
        <v>112</v>
      </c>
      <c r="G303" t="s">
        <v>113</v>
      </c>
      <c r="H303" t="s">
        <v>113</v>
      </c>
      <c r="I303" s="5">
        <f>7*[30]Nobel_etal_1993_Fig4a!$A2</f>
        <v>7</v>
      </c>
      <c r="Q303" t="s">
        <v>197</v>
      </c>
      <c r="R303" t="s">
        <v>116</v>
      </c>
      <c r="S303" t="s">
        <v>27</v>
      </c>
      <c r="T303" t="s">
        <v>215</v>
      </c>
      <c r="V303" s="1">
        <f>[30]Nobel_etal_1993_Fig4a!B2</f>
        <v>6.73684210526316E-8</v>
      </c>
      <c r="W303" s="2"/>
      <c r="Y303">
        <v>3.43</v>
      </c>
      <c r="Z303" t="s">
        <v>52</v>
      </c>
    </row>
    <row r="304" spans="1:26" x14ac:dyDescent="0.25">
      <c r="A304" t="s">
        <v>170</v>
      </c>
      <c r="B304" t="s">
        <v>172</v>
      </c>
      <c r="C304" t="s">
        <v>110</v>
      </c>
      <c r="D304" t="s">
        <v>111</v>
      </c>
      <c r="E304" t="s">
        <v>112</v>
      </c>
      <c r="G304" t="s">
        <v>113</v>
      </c>
      <c r="H304" t="s">
        <v>113</v>
      </c>
      <c r="I304" s="5">
        <f>7*[30]Nobel_etal_1993_Fig4a!$A3</f>
        <v>14</v>
      </c>
      <c r="Q304" t="s">
        <v>197</v>
      </c>
      <c r="R304" t="s">
        <v>116</v>
      </c>
      <c r="S304" t="s">
        <v>27</v>
      </c>
      <c r="T304" t="s">
        <v>215</v>
      </c>
      <c r="V304" s="1">
        <f>[30]Nobel_etal_1993_Fig4a!B3</f>
        <v>2.1333333333333299E-7</v>
      </c>
      <c r="W304" s="2"/>
      <c r="Y304">
        <v>3.43</v>
      </c>
      <c r="Z304" t="s">
        <v>52</v>
      </c>
    </row>
    <row r="305" spans="1:26" x14ac:dyDescent="0.25">
      <c r="A305" t="s">
        <v>170</v>
      </c>
      <c r="B305" t="s">
        <v>172</v>
      </c>
      <c r="C305" t="s">
        <v>110</v>
      </c>
      <c r="D305" t="s">
        <v>111</v>
      </c>
      <c r="E305" t="s">
        <v>112</v>
      </c>
      <c r="G305" t="s">
        <v>113</v>
      </c>
      <c r="H305" t="s">
        <v>113</v>
      </c>
      <c r="I305" s="5">
        <f>7*[30]Nobel_etal_1993_Fig4a!$A4</f>
        <v>28</v>
      </c>
      <c r="Q305" t="s">
        <v>197</v>
      </c>
      <c r="R305" t="s">
        <v>116</v>
      </c>
      <c r="S305" t="s">
        <v>114</v>
      </c>
      <c r="T305" t="s">
        <v>215</v>
      </c>
      <c r="V305" s="1">
        <f>[30]Nobel_etal_1993_Fig4a!B4</f>
        <v>2.5543859649122798E-7</v>
      </c>
      <c r="W305" s="2"/>
      <c r="Y305">
        <v>3.43</v>
      </c>
      <c r="Z305" t="s">
        <v>52</v>
      </c>
    </row>
    <row r="306" spans="1:26" x14ac:dyDescent="0.25">
      <c r="A306" t="s">
        <v>170</v>
      </c>
      <c r="B306" t="s">
        <v>172</v>
      </c>
      <c r="C306" t="s">
        <v>110</v>
      </c>
      <c r="D306" t="s">
        <v>111</v>
      </c>
      <c r="E306" t="s">
        <v>112</v>
      </c>
      <c r="G306" t="s">
        <v>113</v>
      </c>
      <c r="H306" t="s">
        <v>113</v>
      </c>
      <c r="I306" s="5">
        <f>7*[30]Nobel_etal_1993_Fig4a!$A5</f>
        <v>42</v>
      </c>
      <c r="Q306" t="s">
        <v>197</v>
      </c>
      <c r="R306" t="s">
        <v>116</v>
      </c>
      <c r="S306" t="s">
        <v>114</v>
      </c>
      <c r="T306" t="s">
        <v>215</v>
      </c>
      <c r="V306" s="1">
        <f>[30]Nobel_etal_1993_Fig4a!B5</f>
        <v>1.9368421052631501E-7</v>
      </c>
      <c r="W306" s="2"/>
      <c r="Y306">
        <v>3.43</v>
      </c>
      <c r="Z306" t="s">
        <v>52</v>
      </c>
    </row>
    <row r="307" spans="1:26" x14ac:dyDescent="0.25">
      <c r="A307" t="s">
        <v>170</v>
      </c>
      <c r="B307" t="s">
        <v>172</v>
      </c>
      <c r="C307" t="s">
        <v>110</v>
      </c>
      <c r="D307" t="s">
        <v>111</v>
      </c>
      <c r="E307" t="s">
        <v>112</v>
      </c>
      <c r="G307" t="s">
        <v>113</v>
      </c>
      <c r="H307" t="s">
        <v>113</v>
      </c>
      <c r="I307" s="5">
        <f>7*[30]Nobel_etal_1993_Fig4a!$A6</f>
        <v>56</v>
      </c>
      <c r="Q307" t="s">
        <v>197</v>
      </c>
      <c r="R307" t="s">
        <v>116</v>
      </c>
      <c r="S307" t="s">
        <v>114</v>
      </c>
      <c r="T307" t="s">
        <v>215</v>
      </c>
      <c r="V307" s="1">
        <f>[30]Nobel_etal_1993_Fig4a!B6</f>
        <v>1.09473684210526E-7</v>
      </c>
      <c r="W307" s="2"/>
      <c r="Y307">
        <v>3.43</v>
      </c>
      <c r="Z307" t="s">
        <v>52</v>
      </c>
    </row>
    <row r="308" spans="1:26" x14ac:dyDescent="0.25">
      <c r="A308" t="s">
        <v>170</v>
      </c>
      <c r="B308" t="s">
        <v>172</v>
      </c>
      <c r="C308" t="s">
        <v>110</v>
      </c>
      <c r="D308" t="s">
        <v>111</v>
      </c>
      <c r="E308" t="s">
        <v>112</v>
      </c>
      <c r="G308" t="s">
        <v>113</v>
      </c>
      <c r="H308" t="s">
        <v>113</v>
      </c>
      <c r="I308" s="5">
        <f>7*[30]Nobel_etal_1993_Fig4a!$A7</f>
        <v>84</v>
      </c>
      <c r="Q308" t="s">
        <v>197</v>
      </c>
      <c r="R308" t="s">
        <v>116</v>
      </c>
      <c r="S308" t="s">
        <v>72</v>
      </c>
      <c r="T308" t="s">
        <v>215</v>
      </c>
      <c r="V308" s="1">
        <f>[30]Nobel_etal_1993_Fig4a!B7</f>
        <v>8.42105263157895E-8</v>
      </c>
      <c r="W308" s="2"/>
      <c r="Y308">
        <v>3.43</v>
      </c>
      <c r="Z308" t="s">
        <v>52</v>
      </c>
    </row>
    <row r="309" spans="1:26" x14ac:dyDescent="0.25">
      <c r="A309" t="s">
        <v>170</v>
      </c>
      <c r="B309" t="s">
        <v>172</v>
      </c>
      <c r="C309" t="s">
        <v>110</v>
      </c>
      <c r="D309" t="s">
        <v>111</v>
      </c>
      <c r="E309" t="s">
        <v>112</v>
      </c>
      <c r="G309" t="s">
        <v>113</v>
      </c>
      <c r="H309" t="s">
        <v>113</v>
      </c>
      <c r="I309" s="5">
        <f>7*[30]Nobel_etal_1993_Fig4a!$A8</f>
        <v>112</v>
      </c>
      <c r="Q309" t="s">
        <v>197</v>
      </c>
      <c r="R309" t="s">
        <v>116</v>
      </c>
      <c r="S309" t="s">
        <v>72</v>
      </c>
      <c r="T309" t="s">
        <v>215</v>
      </c>
      <c r="V309" s="1">
        <f>[30]Nobel_etal_1993_Fig4a!B8</f>
        <v>2.66666666666667E-8</v>
      </c>
      <c r="W309" s="2"/>
      <c r="Y309">
        <v>3.43</v>
      </c>
      <c r="Z309" t="s">
        <v>52</v>
      </c>
    </row>
    <row r="310" spans="1:26" x14ac:dyDescent="0.25">
      <c r="A310" t="s">
        <v>170</v>
      </c>
      <c r="B310" t="s">
        <v>171</v>
      </c>
      <c r="C310" t="s">
        <v>110</v>
      </c>
      <c r="D310" t="s">
        <v>111</v>
      </c>
      <c r="E310" t="s">
        <v>112</v>
      </c>
      <c r="G310" t="s">
        <v>113</v>
      </c>
      <c r="H310" t="s">
        <v>113</v>
      </c>
      <c r="I310" s="5">
        <f>7*[30]Nobel_etal_1993_Fig4a!$A9</f>
        <v>7</v>
      </c>
      <c r="Q310" t="s">
        <v>197</v>
      </c>
      <c r="R310" t="s">
        <v>116</v>
      </c>
      <c r="S310" t="s">
        <v>27</v>
      </c>
      <c r="T310" t="s">
        <v>215</v>
      </c>
      <c r="V310" s="1">
        <f>[30]Nobel_etal_1993_Fig4a!B9</f>
        <v>7.8596491228070297E-8</v>
      </c>
      <c r="W310" s="2"/>
      <c r="Y310">
        <v>3.66</v>
      </c>
      <c r="Z310" t="s">
        <v>52</v>
      </c>
    </row>
    <row r="311" spans="1:26" x14ac:dyDescent="0.25">
      <c r="A311" t="s">
        <v>170</v>
      </c>
      <c r="B311" t="s">
        <v>171</v>
      </c>
      <c r="C311" t="s">
        <v>110</v>
      </c>
      <c r="D311" t="s">
        <v>111</v>
      </c>
      <c r="E311" t="s">
        <v>112</v>
      </c>
      <c r="G311" t="s">
        <v>113</v>
      </c>
      <c r="H311" t="s">
        <v>113</v>
      </c>
      <c r="I311" s="5">
        <f>7*[30]Nobel_etal_1993_Fig4a!$A10</f>
        <v>14</v>
      </c>
      <c r="Q311" t="s">
        <v>197</v>
      </c>
      <c r="R311" t="s">
        <v>116</v>
      </c>
      <c r="S311" t="s">
        <v>27</v>
      </c>
      <c r="T311" t="s">
        <v>215</v>
      </c>
      <c r="V311" s="1">
        <f>[30]Nobel_etal_1993_Fig4a!B10</f>
        <v>2.25964912280701E-7</v>
      </c>
      <c r="W311" s="2"/>
      <c r="Y311">
        <v>3.66</v>
      </c>
      <c r="Z311" t="s">
        <v>52</v>
      </c>
    </row>
    <row r="312" spans="1:26" x14ac:dyDescent="0.25">
      <c r="A312" t="s">
        <v>170</v>
      </c>
      <c r="B312" t="s">
        <v>171</v>
      </c>
      <c r="C312" t="s">
        <v>110</v>
      </c>
      <c r="D312" t="s">
        <v>111</v>
      </c>
      <c r="E312" t="s">
        <v>112</v>
      </c>
      <c r="G312" t="s">
        <v>113</v>
      </c>
      <c r="H312" t="s">
        <v>113</v>
      </c>
      <c r="I312" s="5">
        <f>7*[30]Nobel_etal_1993_Fig4a!$A11</f>
        <v>28</v>
      </c>
      <c r="Q312" t="s">
        <v>197</v>
      </c>
      <c r="R312" t="s">
        <v>116</v>
      </c>
      <c r="S312" t="s">
        <v>114</v>
      </c>
      <c r="T312" t="s">
        <v>215</v>
      </c>
      <c r="V312" s="1">
        <f>[30]Nobel_etal_1993_Fig4a!B11</f>
        <v>2.8210526315789398E-7</v>
      </c>
      <c r="W312" s="2"/>
      <c r="Y312">
        <v>3.66</v>
      </c>
      <c r="Z312" t="s">
        <v>52</v>
      </c>
    </row>
    <row r="313" spans="1:26" x14ac:dyDescent="0.25">
      <c r="A313" t="s">
        <v>170</v>
      </c>
      <c r="B313" t="s">
        <v>171</v>
      </c>
      <c r="C313" t="s">
        <v>110</v>
      </c>
      <c r="D313" t="s">
        <v>111</v>
      </c>
      <c r="E313" t="s">
        <v>112</v>
      </c>
      <c r="G313" t="s">
        <v>113</v>
      </c>
      <c r="H313" t="s">
        <v>113</v>
      </c>
      <c r="I313" s="5">
        <f>7*[30]Nobel_etal_1993_Fig4a!$A12</f>
        <v>42</v>
      </c>
      <c r="Q313" t="s">
        <v>197</v>
      </c>
      <c r="R313" t="s">
        <v>116</v>
      </c>
      <c r="S313" t="s">
        <v>114</v>
      </c>
      <c r="T313" t="s">
        <v>215</v>
      </c>
      <c r="V313" s="1">
        <f>[30]Nobel_etal_1993_Fig4a!B12</f>
        <v>1.7964912280701701E-7</v>
      </c>
      <c r="W313" s="2"/>
      <c r="Y313">
        <v>3.66</v>
      </c>
      <c r="Z313" t="s">
        <v>52</v>
      </c>
    </row>
    <row r="314" spans="1:26" x14ac:dyDescent="0.25">
      <c r="A314" t="s">
        <v>170</v>
      </c>
      <c r="B314" t="s">
        <v>171</v>
      </c>
      <c r="C314" t="s">
        <v>110</v>
      </c>
      <c r="D314" t="s">
        <v>111</v>
      </c>
      <c r="E314" t="s">
        <v>112</v>
      </c>
      <c r="G314" t="s">
        <v>113</v>
      </c>
      <c r="H314" t="s">
        <v>113</v>
      </c>
      <c r="I314" s="5">
        <f>7*[30]Nobel_etal_1993_Fig4a!$A13</f>
        <v>56</v>
      </c>
      <c r="Q314" t="s">
        <v>197</v>
      </c>
      <c r="R314" t="s">
        <v>116</v>
      </c>
      <c r="S314" t="s">
        <v>114</v>
      </c>
      <c r="T314" t="s">
        <v>215</v>
      </c>
      <c r="V314" s="1">
        <f>[30]Nobel_etal_1993_Fig4a!B13</f>
        <v>8.42105263157895E-8</v>
      </c>
      <c r="W314" s="2"/>
      <c r="Y314">
        <v>3.66</v>
      </c>
      <c r="Z314" t="s">
        <v>52</v>
      </c>
    </row>
    <row r="315" spans="1:26" x14ac:dyDescent="0.25">
      <c r="A315" t="s">
        <v>170</v>
      </c>
      <c r="B315" t="s">
        <v>171</v>
      </c>
      <c r="C315" t="s">
        <v>110</v>
      </c>
      <c r="D315" t="s">
        <v>111</v>
      </c>
      <c r="E315" t="s">
        <v>112</v>
      </c>
      <c r="G315" t="s">
        <v>113</v>
      </c>
      <c r="H315" t="s">
        <v>113</v>
      </c>
      <c r="I315" s="5">
        <f>7*[30]Nobel_etal_1993_Fig4a!$A14</f>
        <v>84</v>
      </c>
      <c r="Q315" t="s">
        <v>197</v>
      </c>
      <c r="R315" t="s">
        <v>116</v>
      </c>
      <c r="S315" t="s">
        <v>72</v>
      </c>
      <c r="T315" t="s">
        <v>215</v>
      </c>
      <c r="V315" s="1">
        <f>[30]Nobel_etal_1993_Fig4a!B14</f>
        <v>7.2982456140350803E-8</v>
      </c>
      <c r="W315" s="2"/>
      <c r="Y315">
        <v>3.66</v>
      </c>
      <c r="Z315" t="s">
        <v>52</v>
      </c>
    </row>
    <row r="316" spans="1:26" x14ac:dyDescent="0.25">
      <c r="A316" t="s">
        <v>170</v>
      </c>
      <c r="B316" t="s">
        <v>171</v>
      </c>
      <c r="C316" t="s">
        <v>110</v>
      </c>
      <c r="D316" t="s">
        <v>111</v>
      </c>
      <c r="E316" t="s">
        <v>112</v>
      </c>
      <c r="G316" t="s">
        <v>113</v>
      </c>
      <c r="H316" t="s">
        <v>113</v>
      </c>
      <c r="I316" s="5">
        <f>7*[30]Nobel_etal_1993_Fig4a!$A15</f>
        <v>112</v>
      </c>
      <c r="Q316" t="s">
        <v>197</v>
      </c>
      <c r="R316" t="s">
        <v>116</v>
      </c>
      <c r="S316" t="s">
        <v>72</v>
      </c>
      <c r="T316" t="s">
        <v>215</v>
      </c>
      <c r="V316" s="1">
        <f>[30]Nobel_etal_1993_Fig4a!B15</f>
        <v>3.36842105263158E-8</v>
      </c>
      <c r="W316" s="2"/>
      <c r="Y316">
        <v>3.66</v>
      </c>
      <c r="Z316" t="s">
        <v>52</v>
      </c>
    </row>
    <row r="317" spans="1:26" x14ac:dyDescent="0.25">
      <c r="A317" t="s">
        <v>170</v>
      </c>
      <c r="B317" t="s">
        <v>171</v>
      </c>
      <c r="C317" t="s">
        <v>110</v>
      </c>
      <c r="D317" t="s">
        <v>111</v>
      </c>
      <c r="E317" t="s">
        <v>112</v>
      </c>
      <c r="G317" t="s">
        <v>113</v>
      </c>
      <c r="H317" t="s">
        <v>113</v>
      </c>
      <c r="I317">
        <f>2*7</f>
        <v>14</v>
      </c>
      <c r="Q317" t="s">
        <v>197</v>
      </c>
      <c r="R317" t="s">
        <v>152</v>
      </c>
      <c r="S317" t="s">
        <v>27</v>
      </c>
      <c r="T317" t="s">
        <v>215</v>
      </c>
      <c r="V317" s="1">
        <v>3.9099999999999999E-7</v>
      </c>
      <c r="W317" s="2"/>
      <c r="Y317">
        <v>0.81</v>
      </c>
      <c r="Z317" t="s">
        <v>74</v>
      </c>
    </row>
    <row r="318" spans="1:26" x14ac:dyDescent="0.25">
      <c r="A318" t="s">
        <v>170</v>
      </c>
      <c r="B318" t="s">
        <v>171</v>
      </c>
      <c r="C318" t="s">
        <v>110</v>
      </c>
      <c r="D318" t="s">
        <v>111</v>
      </c>
      <c r="E318" t="s">
        <v>112</v>
      </c>
      <c r="G318" t="s">
        <v>113</v>
      </c>
      <c r="H318" t="s">
        <v>113</v>
      </c>
      <c r="I318">
        <f>6*7</f>
        <v>42</v>
      </c>
      <c r="Q318" t="s">
        <v>197</v>
      </c>
      <c r="R318" t="s">
        <v>152</v>
      </c>
      <c r="S318" t="s">
        <v>72</v>
      </c>
      <c r="T318" t="s">
        <v>215</v>
      </c>
      <c r="V318" s="1">
        <v>1.2800000000000001E-7</v>
      </c>
      <c r="W318" s="2"/>
      <c r="Y318">
        <v>0.81</v>
      </c>
      <c r="Z318" t="s">
        <v>74</v>
      </c>
    </row>
    <row r="319" spans="1:26" x14ac:dyDescent="0.25">
      <c r="A319" t="s">
        <v>170</v>
      </c>
      <c r="B319" t="s">
        <v>172</v>
      </c>
      <c r="C319" t="s">
        <v>110</v>
      </c>
      <c r="D319" t="s">
        <v>111</v>
      </c>
      <c r="E319" t="s">
        <v>112</v>
      </c>
      <c r="G319" t="s">
        <v>113</v>
      </c>
      <c r="H319" t="s">
        <v>113</v>
      </c>
      <c r="I319">
        <f>2*7</f>
        <v>14</v>
      </c>
      <c r="Q319" t="s">
        <v>197</v>
      </c>
      <c r="R319" t="s">
        <v>152</v>
      </c>
      <c r="S319" t="s">
        <v>27</v>
      </c>
      <c r="T319" t="s">
        <v>215</v>
      </c>
      <c r="V319" s="1">
        <v>2.7300000000000002E-7</v>
      </c>
      <c r="W319" s="2"/>
      <c r="Y319">
        <v>0.82</v>
      </c>
      <c r="Z319" t="s">
        <v>74</v>
      </c>
    </row>
    <row r="320" spans="1:26" x14ac:dyDescent="0.25">
      <c r="A320" t="s">
        <v>170</v>
      </c>
      <c r="B320" t="s">
        <v>172</v>
      </c>
      <c r="C320" t="s">
        <v>110</v>
      </c>
      <c r="D320" t="s">
        <v>111</v>
      </c>
      <c r="E320" t="s">
        <v>112</v>
      </c>
      <c r="G320" t="s">
        <v>113</v>
      </c>
      <c r="H320" t="s">
        <v>113</v>
      </c>
      <c r="I320">
        <f>6*7</f>
        <v>42</v>
      </c>
      <c r="Q320" t="s">
        <v>197</v>
      </c>
      <c r="R320" t="s">
        <v>152</v>
      </c>
      <c r="S320" t="s">
        <v>72</v>
      </c>
      <c r="T320" t="s">
        <v>215</v>
      </c>
      <c r="V320" s="1">
        <v>1.43E-7</v>
      </c>
      <c r="W320" s="2"/>
      <c r="Y320">
        <v>0.82</v>
      </c>
      <c r="Z320" t="s">
        <v>74</v>
      </c>
    </row>
    <row r="321" spans="1:26" x14ac:dyDescent="0.25">
      <c r="A321" t="s">
        <v>170</v>
      </c>
      <c r="B321" t="s">
        <v>172</v>
      </c>
      <c r="C321" t="s">
        <v>110</v>
      </c>
      <c r="D321" t="s">
        <v>111</v>
      </c>
      <c r="E321" t="s">
        <v>112</v>
      </c>
      <c r="G321" t="s">
        <v>113</v>
      </c>
      <c r="H321" t="s">
        <v>113</v>
      </c>
      <c r="I321" s="5">
        <f>7*[31]Nobel_etal_1993_Fig4c!$B2</f>
        <v>7</v>
      </c>
      <c r="Q321" t="s">
        <v>197</v>
      </c>
      <c r="R321" t="s">
        <v>116</v>
      </c>
      <c r="S321" t="s">
        <v>27</v>
      </c>
      <c r="T321" t="s">
        <v>215</v>
      </c>
      <c r="V321" s="1">
        <f>[31]Nobel_etal_1993_Fig4c!C2</f>
        <v>2.8062827225130702E-7</v>
      </c>
      <c r="W321" s="2"/>
      <c r="Y321">
        <v>3.43</v>
      </c>
      <c r="Z321" t="s">
        <v>74</v>
      </c>
    </row>
    <row r="322" spans="1:26" x14ac:dyDescent="0.25">
      <c r="A322" t="s">
        <v>170</v>
      </c>
      <c r="B322" t="s">
        <v>172</v>
      </c>
      <c r="C322" t="s">
        <v>110</v>
      </c>
      <c r="D322" t="s">
        <v>111</v>
      </c>
      <c r="E322" t="s">
        <v>112</v>
      </c>
      <c r="G322" t="s">
        <v>113</v>
      </c>
      <c r="H322" t="s">
        <v>113</v>
      </c>
      <c r="I322" s="5">
        <f>7*[31]Nobel_etal_1993_Fig4c!$B3</f>
        <v>14</v>
      </c>
      <c r="Q322" t="s">
        <v>197</v>
      </c>
      <c r="R322" t="s">
        <v>116</v>
      </c>
      <c r="S322" t="s">
        <v>27</v>
      </c>
      <c r="T322" t="s">
        <v>215</v>
      </c>
      <c r="V322" s="1">
        <f>[31]Nobel_etal_1993_Fig4c!C3</f>
        <v>2.9319371727748501E-7</v>
      </c>
      <c r="W322" s="2"/>
      <c r="Y322">
        <v>3.43</v>
      </c>
      <c r="Z322" t="s">
        <v>74</v>
      </c>
    </row>
    <row r="323" spans="1:26" x14ac:dyDescent="0.25">
      <c r="A323" t="s">
        <v>170</v>
      </c>
      <c r="B323" t="s">
        <v>172</v>
      </c>
      <c r="C323" t="s">
        <v>110</v>
      </c>
      <c r="D323" t="s">
        <v>111</v>
      </c>
      <c r="E323" t="s">
        <v>112</v>
      </c>
      <c r="G323" t="s">
        <v>113</v>
      </c>
      <c r="H323" t="s">
        <v>113</v>
      </c>
      <c r="I323" s="5">
        <f>7*[31]Nobel_etal_1993_Fig4c!$B4</f>
        <v>28</v>
      </c>
      <c r="Q323" t="s">
        <v>197</v>
      </c>
      <c r="R323" t="s">
        <v>116</v>
      </c>
      <c r="S323" t="s">
        <v>114</v>
      </c>
      <c r="T323" t="s">
        <v>215</v>
      </c>
      <c r="V323" s="1">
        <f>[31]Nobel_etal_1993_Fig4c!C4</f>
        <v>4.0418848167539E-7</v>
      </c>
      <c r="W323" s="2"/>
      <c r="Y323">
        <v>3.43</v>
      </c>
      <c r="Z323" t="s">
        <v>74</v>
      </c>
    </row>
    <row r="324" spans="1:26" x14ac:dyDescent="0.25">
      <c r="A324" t="s">
        <v>170</v>
      </c>
      <c r="B324" t="s">
        <v>172</v>
      </c>
      <c r="C324" t="s">
        <v>110</v>
      </c>
      <c r="D324" t="s">
        <v>111</v>
      </c>
      <c r="E324" t="s">
        <v>112</v>
      </c>
      <c r="G324" t="s">
        <v>113</v>
      </c>
      <c r="H324" t="s">
        <v>113</v>
      </c>
      <c r="I324" s="5">
        <f>7*[31]Nobel_etal_1993_Fig4c!$B5</f>
        <v>42</v>
      </c>
      <c r="Q324" t="s">
        <v>197</v>
      </c>
      <c r="R324" t="s">
        <v>116</v>
      </c>
      <c r="S324" t="s">
        <v>114</v>
      </c>
      <c r="T324" t="s">
        <v>215</v>
      </c>
      <c r="V324" s="1">
        <f>[31]Nobel_etal_1993_Fig4c!C5</f>
        <v>3.22513089005233E-7</v>
      </c>
      <c r="W324" s="2"/>
      <c r="Y324">
        <v>3.43</v>
      </c>
      <c r="Z324" t="s">
        <v>74</v>
      </c>
    </row>
    <row r="325" spans="1:26" x14ac:dyDescent="0.25">
      <c r="A325" t="s">
        <v>170</v>
      </c>
      <c r="B325" t="s">
        <v>172</v>
      </c>
      <c r="C325" t="s">
        <v>110</v>
      </c>
      <c r="D325" t="s">
        <v>111</v>
      </c>
      <c r="E325" t="s">
        <v>112</v>
      </c>
      <c r="G325" t="s">
        <v>113</v>
      </c>
      <c r="H325" t="s">
        <v>113</v>
      </c>
      <c r="I325" s="5">
        <f>7*[31]Nobel_etal_1993_Fig4c!$B6</f>
        <v>56</v>
      </c>
      <c r="Q325" t="s">
        <v>197</v>
      </c>
      <c r="R325" t="s">
        <v>116</v>
      </c>
      <c r="S325" t="s">
        <v>114</v>
      </c>
      <c r="T325" t="s">
        <v>215</v>
      </c>
      <c r="V325" s="1">
        <f>[31]Nobel_etal_1993_Fig4c!C6</f>
        <v>2.8272251308900298E-7</v>
      </c>
      <c r="W325" s="2"/>
      <c r="Y325">
        <v>3.43</v>
      </c>
      <c r="Z325" t="s">
        <v>74</v>
      </c>
    </row>
    <row r="326" spans="1:26" x14ac:dyDescent="0.25">
      <c r="A326" t="s">
        <v>170</v>
      </c>
      <c r="B326" t="s">
        <v>172</v>
      </c>
      <c r="C326" t="s">
        <v>110</v>
      </c>
      <c r="D326" t="s">
        <v>111</v>
      </c>
      <c r="E326" t="s">
        <v>112</v>
      </c>
      <c r="G326" t="s">
        <v>113</v>
      </c>
      <c r="H326" t="s">
        <v>113</v>
      </c>
      <c r="I326" s="5">
        <f>7*[31]Nobel_etal_1993_Fig4c!$B7</f>
        <v>84</v>
      </c>
      <c r="Q326" t="s">
        <v>197</v>
      </c>
      <c r="R326" t="s">
        <v>116</v>
      </c>
      <c r="S326" t="s">
        <v>72</v>
      </c>
      <c r="T326" t="s">
        <v>215</v>
      </c>
      <c r="V326" s="1">
        <f>[31]Nobel_etal_1993_Fig4c!C7</f>
        <v>1.3193717277486599E-7</v>
      </c>
      <c r="W326" s="2"/>
      <c r="Y326">
        <v>3.43</v>
      </c>
      <c r="Z326" t="s">
        <v>74</v>
      </c>
    </row>
    <row r="327" spans="1:26" x14ac:dyDescent="0.25">
      <c r="A327" t="s">
        <v>170</v>
      </c>
      <c r="B327" t="s">
        <v>172</v>
      </c>
      <c r="C327" t="s">
        <v>110</v>
      </c>
      <c r="D327" t="s">
        <v>111</v>
      </c>
      <c r="E327" t="s">
        <v>112</v>
      </c>
      <c r="G327" t="s">
        <v>113</v>
      </c>
      <c r="H327" t="s">
        <v>113</v>
      </c>
      <c r="I327" s="5">
        <f>7*[31]Nobel_etal_1993_Fig4c!$B8</f>
        <v>112</v>
      </c>
      <c r="Q327" t="s">
        <v>197</v>
      </c>
      <c r="R327" t="s">
        <v>116</v>
      </c>
      <c r="S327" t="s">
        <v>72</v>
      </c>
      <c r="T327" t="s">
        <v>215</v>
      </c>
      <c r="V327" s="1">
        <f>[31]Nobel_etal_1993_Fig4c!C8</f>
        <v>5.0261780104710398E-8</v>
      </c>
      <c r="W327" s="2"/>
      <c r="Y327">
        <v>3.43</v>
      </c>
      <c r="Z327" t="s">
        <v>74</v>
      </c>
    </row>
    <row r="328" spans="1:26" x14ac:dyDescent="0.25">
      <c r="A328" t="s">
        <v>170</v>
      </c>
      <c r="B328" t="s">
        <v>171</v>
      </c>
      <c r="C328" t="s">
        <v>110</v>
      </c>
      <c r="D328" t="s">
        <v>111</v>
      </c>
      <c r="E328" t="s">
        <v>112</v>
      </c>
      <c r="G328" t="s">
        <v>113</v>
      </c>
      <c r="H328" t="s">
        <v>113</v>
      </c>
      <c r="I328" s="5">
        <f>7*[31]Nobel_etal_1993_Fig4c!$B9</f>
        <v>7</v>
      </c>
      <c r="Q328" t="s">
        <v>197</v>
      </c>
      <c r="R328" t="s">
        <v>116</v>
      </c>
      <c r="S328" t="s">
        <v>27</v>
      </c>
      <c r="T328" t="s">
        <v>215</v>
      </c>
      <c r="V328" s="1">
        <f>[31]Nobel_etal_1993_Fig4c!C9</f>
        <v>3.4345549738219599E-7</v>
      </c>
      <c r="W328" s="2"/>
      <c r="Y328">
        <v>3.66</v>
      </c>
      <c r="Z328" t="s">
        <v>74</v>
      </c>
    </row>
    <row r="329" spans="1:26" x14ac:dyDescent="0.25">
      <c r="A329" t="s">
        <v>170</v>
      </c>
      <c r="B329" t="s">
        <v>171</v>
      </c>
      <c r="C329" t="s">
        <v>110</v>
      </c>
      <c r="D329" t="s">
        <v>111</v>
      </c>
      <c r="E329" t="s">
        <v>112</v>
      </c>
      <c r="G329" t="s">
        <v>113</v>
      </c>
      <c r="H329" t="s">
        <v>113</v>
      </c>
      <c r="I329" s="5">
        <f>7*[31]Nobel_etal_1993_Fig4c!$B10</f>
        <v>14</v>
      </c>
      <c r="Q329" t="s">
        <v>197</v>
      </c>
      <c r="R329" t="s">
        <v>116</v>
      </c>
      <c r="S329" t="s">
        <v>27</v>
      </c>
      <c r="T329" t="s">
        <v>215</v>
      </c>
      <c r="V329" s="1">
        <f>[31]Nobel_etal_1993_Fig4c!C10</f>
        <v>3.4973821989528598E-7</v>
      </c>
      <c r="W329" s="2"/>
      <c r="Y329">
        <v>3.66</v>
      </c>
      <c r="Z329" t="s">
        <v>74</v>
      </c>
    </row>
    <row r="330" spans="1:26" x14ac:dyDescent="0.25">
      <c r="A330" t="s">
        <v>170</v>
      </c>
      <c r="B330" t="s">
        <v>171</v>
      </c>
      <c r="C330" t="s">
        <v>110</v>
      </c>
      <c r="D330" t="s">
        <v>111</v>
      </c>
      <c r="E330" t="s">
        <v>112</v>
      </c>
      <c r="G330" t="s">
        <v>113</v>
      </c>
      <c r="H330" t="s">
        <v>113</v>
      </c>
      <c r="I330" s="5">
        <f>7*[31]Nobel_etal_1993_Fig4c!$B11</f>
        <v>28</v>
      </c>
      <c r="Q330" t="s">
        <v>197</v>
      </c>
      <c r="R330" t="s">
        <v>116</v>
      </c>
      <c r="S330" t="s">
        <v>114</v>
      </c>
      <c r="T330" t="s">
        <v>215</v>
      </c>
      <c r="V330" s="1">
        <f>[31]Nobel_etal_1993_Fig4c!C11</f>
        <v>4.5863874345549501E-7</v>
      </c>
      <c r="W330" s="2"/>
      <c r="Y330">
        <v>3.66</v>
      </c>
      <c r="Z330" t="s">
        <v>74</v>
      </c>
    </row>
    <row r="331" spans="1:26" x14ac:dyDescent="0.25">
      <c r="A331" t="s">
        <v>170</v>
      </c>
      <c r="B331" t="s">
        <v>171</v>
      </c>
      <c r="C331" t="s">
        <v>110</v>
      </c>
      <c r="D331" t="s">
        <v>111</v>
      </c>
      <c r="E331" t="s">
        <v>112</v>
      </c>
      <c r="G331" t="s">
        <v>113</v>
      </c>
      <c r="H331" t="s">
        <v>113</v>
      </c>
      <c r="I331" s="5">
        <f>7*[31]Nobel_etal_1993_Fig4c!$B12</f>
        <v>42</v>
      </c>
      <c r="Q331" t="s">
        <v>197</v>
      </c>
      <c r="R331" t="s">
        <v>116</v>
      </c>
      <c r="S331" t="s">
        <v>114</v>
      </c>
      <c r="T331" t="s">
        <v>215</v>
      </c>
      <c r="V331" s="1">
        <f>[31]Nobel_etal_1993_Fig4c!C12</f>
        <v>3.0994764397905502E-7</v>
      </c>
      <c r="W331" s="2"/>
      <c r="Y331">
        <v>3.66</v>
      </c>
      <c r="Z331" t="s">
        <v>74</v>
      </c>
    </row>
    <row r="332" spans="1:26" x14ac:dyDescent="0.25">
      <c r="A332" t="s">
        <v>170</v>
      </c>
      <c r="B332" t="s">
        <v>171</v>
      </c>
      <c r="C332" t="s">
        <v>110</v>
      </c>
      <c r="D332" t="s">
        <v>111</v>
      </c>
      <c r="E332" t="s">
        <v>112</v>
      </c>
      <c r="G332" t="s">
        <v>113</v>
      </c>
      <c r="H332" t="s">
        <v>113</v>
      </c>
      <c r="I332" s="5">
        <f>7*[31]Nobel_etal_1993_Fig4c!$B13</f>
        <v>56</v>
      </c>
      <c r="Q332" t="s">
        <v>197</v>
      </c>
      <c r="R332" t="s">
        <v>116</v>
      </c>
      <c r="S332" t="s">
        <v>114</v>
      </c>
      <c r="T332" t="s">
        <v>215</v>
      </c>
      <c r="V332" s="1">
        <f>[31]Nobel_etal_1993_Fig4c!C13</f>
        <v>2.3036649214659501E-7</v>
      </c>
      <c r="W332" s="2"/>
      <c r="Y332">
        <v>3.66</v>
      </c>
      <c r="Z332" t="s">
        <v>74</v>
      </c>
    </row>
    <row r="333" spans="1:26" x14ac:dyDescent="0.25">
      <c r="A333" t="s">
        <v>170</v>
      </c>
      <c r="B333" t="s">
        <v>171</v>
      </c>
      <c r="C333" t="s">
        <v>110</v>
      </c>
      <c r="D333" t="s">
        <v>111</v>
      </c>
      <c r="E333" t="s">
        <v>112</v>
      </c>
      <c r="G333" t="s">
        <v>113</v>
      </c>
      <c r="H333" t="s">
        <v>113</v>
      </c>
      <c r="I333" s="5">
        <f>7*[31]Nobel_etal_1993_Fig4c!$B14</f>
        <v>84</v>
      </c>
      <c r="Q333" t="s">
        <v>197</v>
      </c>
      <c r="R333" t="s">
        <v>116</v>
      </c>
      <c r="S333" t="s">
        <v>72</v>
      </c>
      <c r="T333" t="s">
        <v>215</v>
      </c>
      <c r="V333" s="1">
        <f>[31]Nobel_etal_1993_Fig4c!C14</f>
        <v>1.08900523560207E-7</v>
      </c>
      <c r="W333" s="2"/>
      <c r="Y333">
        <v>3.66</v>
      </c>
      <c r="Z333" t="s">
        <v>74</v>
      </c>
    </row>
    <row r="334" spans="1:26" x14ac:dyDescent="0.25">
      <c r="A334" t="s">
        <v>170</v>
      </c>
      <c r="B334" t="s">
        <v>171</v>
      </c>
      <c r="C334" t="s">
        <v>110</v>
      </c>
      <c r="D334" t="s">
        <v>111</v>
      </c>
      <c r="E334" t="s">
        <v>112</v>
      </c>
      <c r="G334" t="s">
        <v>113</v>
      </c>
      <c r="H334" t="s">
        <v>113</v>
      </c>
      <c r="I334" s="5">
        <f>7*[31]Nobel_etal_1993_Fig4c!$B15</f>
        <v>112</v>
      </c>
      <c r="Q334" t="s">
        <v>197</v>
      </c>
      <c r="R334" t="s">
        <v>116</v>
      </c>
      <c r="S334" t="s">
        <v>72</v>
      </c>
      <c r="T334" t="s">
        <v>215</v>
      </c>
      <c r="V334" s="1">
        <f>[31]Nobel_etal_1993_Fig4c!C15</f>
        <v>7.5392670157066404E-8</v>
      </c>
      <c r="W334" s="2"/>
      <c r="Y334">
        <v>3.66</v>
      </c>
      <c r="Z334" t="s">
        <v>74</v>
      </c>
    </row>
    <row r="335" spans="1:26" x14ac:dyDescent="0.25">
      <c r="A335" t="s">
        <v>149</v>
      </c>
      <c r="B335" t="s">
        <v>130</v>
      </c>
      <c r="C335" t="s">
        <v>131</v>
      </c>
      <c r="D335" t="s">
        <v>132</v>
      </c>
      <c r="E335" t="s">
        <v>13</v>
      </c>
      <c r="G335" t="s">
        <v>222</v>
      </c>
      <c r="H335" t="s">
        <v>248</v>
      </c>
      <c r="I335">
        <f>3+AVERAGE(6,22)</f>
        <v>17</v>
      </c>
      <c r="Q335" t="s">
        <v>197</v>
      </c>
      <c r="R335" t="s">
        <v>116</v>
      </c>
      <c r="S335" t="s">
        <v>27</v>
      </c>
      <c r="T335" t="s">
        <v>215</v>
      </c>
      <c r="V335" s="1">
        <f>'[32]Melchior&amp;Steudle_1993_Fig4d'!$D$11</f>
        <v>1.3913646322902187E-7</v>
      </c>
      <c r="Y335"/>
      <c r="Z335" t="s">
        <v>22</v>
      </c>
    </row>
    <row r="336" spans="1:26" x14ac:dyDescent="0.25">
      <c r="A336" t="s">
        <v>149</v>
      </c>
      <c r="B336" t="s">
        <v>130</v>
      </c>
      <c r="C336" t="s">
        <v>131</v>
      </c>
      <c r="D336" t="s">
        <v>132</v>
      </c>
      <c r="E336" t="s">
        <v>13</v>
      </c>
      <c r="G336" t="s">
        <v>222</v>
      </c>
      <c r="H336" t="s">
        <v>248</v>
      </c>
      <c r="I336">
        <f t="shared" ref="I336:I337" si="56">3+AVERAGE(6,22)</f>
        <v>17</v>
      </c>
      <c r="Q336" t="s">
        <v>197</v>
      </c>
      <c r="R336" t="s">
        <v>116</v>
      </c>
      <c r="S336" t="s">
        <v>114</v>
      </c>
      <c r="T336" t="s">
        <v>215</v>
      </c>
      <c r="V336" s="1">
        <f>'[32]Melchior&amp;Steudle_1993_Fig4d'!$D$20</f>
        <v>1.0864726138773189E-7</v>
      </c>
      <c r="Y336"/>
      <c r="Z336" t="s">
        <v>22</v>
      </c>
    </row>
    <row r="337" spans="1:26" x14ac:dyDescent="0.25">
      <c r="A337" t="s">
        <v>149</v>
      </c>
      <c r="B337" t="s">
        <v>130</v>
      </c>
      <c r="C337" t="s">
        <v>131</v>
      </c>
      <c r="D337" t="s">
        <v>132</v>
      </c>
      <c r="E337" t="s">
        <v>13</v>
      </c>
      <c r="G337" t="s">
        <v>222</v>
      </c>
      <c r="H337" t="s">
        <v>248</v>
      </c>
      <c r="I337">
        <f t="shared" si="56"/>
        <v>17</v>
      </c>
      <c r="Q337" t="s">
        <v>197</v>
      </c>
      <c r="R337" t="s">
        <v>116</v>
      </c>
      <c r="S337" t="s">
        <v>72</v>
      </c>
      <c r="T337" t="s">
        <v>215</v>
      </c>
      <c r="V337" s="1">
        <f>'[32]Melchior&amp;Steudle_1993_Fig4d'!$D$27</f>
        <v>5.5217037056505958E-8</v>
      </c>
      <c r="Y337"/>
      <c r="Z337" t="s">
        <v>22</v>
      </c>
    </row>
    <row r="338" spans="1:26" x14ac:dyDescent="0.25">
      <c r="A338" t="s">
        <v>150</v>
      </c>
      <c r="B338" t="s">
        <v>20</v>
      </c>
      <c r="C338" t="s">
        <v>21</v>
      </c>
      <c r="D338" t="s">
        <v>12</v>
      </c>
      <c r="E338" t="s">
        <v>15</v>
      </c>
      <c r="F338" t="s">
        <v>16</v>
      </c>
      <c r="G338" t="s">
        <v>16</v>
      </c>
      <c r="H338" t="s">
        <v>247</v>
      </c>
      <c r="I338">
        <f>3+AVERAGE(3,14)</f>
        <v>11.5</v>
      </c>
      <c r="J338" t="s">
        <v>135</v>
      </c>
      <c r="K338" t="s">
        <v>17</v>
      </c>
      <c r="L338" t="str">
        <f t="shared" ref="L338:L355" si="57">+IF(K338="Control","Control","Stress")</f>
        <v>Control</v>
      </c>
      <c r="Q338" t="s">
        <v>198</v>
      </c>
      <c r="R338" t="s">
        <v>30</v>
      </c>
      <c r="S338" t="s">
        <v>27</v>
      </c>
      <c r="T338" t="s">
        <v>215</v>
      </c>
      <c r="V338" s="1">
        <v>1.6E-7</v>
      </c>
      <c r="Y338" s="5">
        <f>+AVERAGE(0.9,1.1)</f>
        <v>1</v>
      </c>
      <c r="Z338" t="s">
        <v>22</v>
      </c>
    </row>
    <row r="339" spans="1:26" x14ac:dyDescent="0.25">
      <c r="A339" t="s">
        <v>150</v>
      </c>
      <c r="B339" t="s">
        <v>20</v>
      </c>
      <c r="C339" t="s">
        <v>21</v>
      </c>
      <c r="D339" t="s">
        <v>12</v>
      </c>
      <c r="E339" t="s">
        <v>15</v>
      </c>
      <c r="F339" t="s">
        <v>16</v>
      </c>
      <c r="G339" t="s">
        <v>16</v>
      </c>
      <c r="H339" t="s">
        <v>247</v>
      </c>
      <c r="I339">
        <f t="shared" ref="I339:I355" si="58">3+AVERAGE(3,14)</f>
        <v>11.5</v>
      </c>
      <c r="J339" t="s">
        <v>135</v>
      </c>
      <c r="K339" t="s">
        <v>17</v>
      </c>
      <c r="L339" t="str">
        <f t="shared" si="57"/>
        <v>Control</v>
      </c>
      <c r="Q339" t="s">
        <v>197</v>
      </c>
      <c r="R339" t="s">
        <v>30</v>
      </c>
      <c r="S339" t="s">
        <v>27</v>
      </c>
      <c r="T339" t="s">
        <v>215</v>
      </c>
      <c r="V339" s="1">
        <v>4.7E-7</v>
      </c>
      <c r="Y339" s="5">
        <f t="shared" ref="Y339:Y355" si="59">+AVERAGE(0.9,1.1)</f>
        <v>1</v>
      </c>
      <c r="Z339" t="s">
        <v>22</v>
      </c>
    </row>
    <row r="340" spans="1:26" x14ac:dyDescent="0.25">
      <c r="A340" t="s">
        <v>150</v>
      </c>
      <c r="B340" t="s">
        <v>20</v>
      </c>
      <c r="C340" t="s">
        <v>21</v>
      </c>
      <c r="D340" t="s">
        <v>12</v>
      </c>
      <c r="E340" t="s">
        <v>15</v>
      </c>
      <c r="F340" t="s">
        <v>16</v>
      </c>
      <c r="G340" t="s">
        <v>16</v>
      </c>
      <c r="H340" t="s">
        <v>247</v>
      </c>
      <c r="I340">
        <f t="shared" si="58"/>
        <v>11.5</v>
      </c>
      <c r="J340" t="s">
        <v>135</v>
      </c>
      <c r="K340" t="s">
        <v>17</v>
      </c>
      <c r="L340" t="str">
        <f t="shared" si="57"/>
        <v>Control</v>
      </c>
      <c r="Q340" t="s">
        <v>199</v>
      </c>
      <c r="R340" t="s">
        <v>30</v>
      </c>
      <c r="S340" t="s">
        <v>27</v>
      </c>
      <c r="T340" t="s">
        <v>215</v>
      </c>
      <c r="V340" s="1">
        <v>1.2699999999999999E-6</v>
      </c>
      <c r="Y340" s="5">
        <f t="shared" si="59"/>
        <v>1</v>
      </c>
      <c r="Z340" t="s">
        <v>22</v>
      </c>
    </row>
    <row r="341" spans="1:26" x14ac:dyDescent="0.25">
      <c r="A341" t="s">
        <v>150</v>
      </c>
      <c r="B341" t="s">
        <v>20</v>
      </c>
      <c r="C341" t="s">
        <v>21</v>
      </c>
      <c r="D341" t="s">
        <v>12</v>
      </c>
      <c r="E341" t="s">
        <v>15</v>
      </c>
      <c r="F341" t="s">
        <v>16</v>
      </c>
      <c r="G341" t="s">
        <v>16</v>
      </c>
      <c r="H341" t="s">
        <v>247</v>
      </c>
      <c r="I341">
        <f t="shared" si="58"/>
        <v>11.5</v>
      </c>
      <c r="J341" t="s">
        <v>135</v>
      </c>
      <c r="K341" t="s">
        <v>135</v>
      </c>
      <c r="L341" t="str">
        <f t="shared" si="57"/>
        <v>Stress</v>
      </c>
      <c r="Q341" t="s">
        <v>198</v>
      </c>
      <c r="R341" t="s">
        <v>30</v>
      </c>
      <c r="S341" t="s">
        <v>27</v>
      </c>
      <c r="T341" t="s">
        <v>215</v>
      </c>
      <c r="V341" s="1">
        <v>9.9999999999999995E-8</v>
      </c>
      <c r="Y341" s="5">
        <f t="shared" si="59"/>
        <v>1</v>
      </c>
      <c r="Z341" t="s">
        <v>22</v>
      </c>
    </row>
    <row r="342" spans="1:26" x14ac:dyDescent="0.25">
      <c r="A342" t="s">
        <v>150</v>
      </c>
      <c r="B342" t="s">
        <v>20</v>
      </c>
      <c r="C342" t="s">
        <v>21</v>
      </c>
      <c r="D342" t="s">
        <v>12</v>
      </c>
      <c r="E342" t="s">
        <v>15</v>
      </c>
      <c r="F342" t="s">
        <v>16</v>
      </c>
      <c r="G342" t="s">
        <v>16</v>
      </c>
      <c r="H342" t="s">
        <v>247</v>
      </c>
      <c r="I342">
        <f t="shared" si="58"/>
        <v>11.5</v>
      </c>
      <c r="J342" t="s">
        <v>135</v>
      </c>
      <c r="K342" t="s">
        <v>135</v>
      </c>
      <c r="L342" t="str">
        <f t="shared" si="57"/>
        <v>Stress</v>
      </c>
      <c r="Q342" t="s">
        <v>197</v>
      </c>
      <c r="R342" t="s">
        <v>30</v>
      </c>
      <c r="S342" t="s">
        <v>27</v>
      </c>
      <c r="T342" t="s">
        <v>215</v>
      </c>
      <c r="V342" s="1">
        <v>3.3999999999999997E-7</v>
      </c>
      <c r="Y342" s="5">
        <f t="shared" si="59"/>
        <v>1</v>
      </c>
      <c r="Z342" t="s">
        <v>22</v>
      </c>
    </row>
    <row r="343" spans="1:26" x14ac:dyDescent="0.25">
      <c r="A343" t="s">
        <v>150</v>
      </c>
      <c r="B343" t="s">
        <v>20</v>
      </c>
      <c r="C343" t="s">
        <v>21</v>
      </c>
      <c r="D343" t="s">
        <v>12</v>
      </c>
      <c r="E343" t="s">
        <v>15</v>
      </c>
      <c r="F343" t="s">
        <v>16</v>
      </c>
      <c r="G343" t="s">
        <v>16</v>
      </c>
      <c r="H343" t="s">
        <v>247</v>
      </c>
      <c r="I343">
        <f t="shared" si="58"/>
        <v>11.5</v>
      </c>
      <c r="J343" t="s">
        <v>135</v>
      </c>
      <c r="K343" t="s">
        <v>135</v>
      </c>
      <c r="L343" t="str">
        <f t="shared" si="57"/>
        <v>Stress</v>
      </c>
      <c r="Q343" t="s">
        <v>199</v>
      </c>
      <c r="R343" t="s">
        <v>30</v>
      </c>
      <c r="S343" t="s">
        <v>27</v>
      </c>
      <c r="T343" t="s">
        <v>215</v>
      </c>
      <c r="V343" s="1">
        <v>1.2499999999999999E-6</v>
      </c>
      <c r="Y343" s="5">
        <f t="shared" si="59"/>
        <v>1</v>
      </c>
      <c r="Z343" t="s">
        <v>22</v>
      </c>
    </row>
    <row r="344" spans="1:26" x14ac:dyDescent="0.25">
      <c r="A344" t="s">
        <v>150</v>
      </c>
      <c r="B344" t="s">
        <v>20</v>
      </c>
      <c r="C344" t="s">
        <v>21</v>
      </c>
      <c r="D344" t="s">
        <v>12</v>
      </c>
      <c r="E344" t="s">
        <v>15</v>
      </c>
      <c r="F344" t="s">
        <v>16</v>
      </c>
      <c r="G344" t="s">
        <v>16</v>
      </c>
      <c r="H344" t="s">
        <v>247</v>
      </c>
      <c r="I344">
        <f t="shared" si="58"/>
        <v>11.5</v>
      </c>
      <c r="J344" t="s">
        <v>135</v>
      </c>
      <c r="K344" t="s">
        <v>17</v>
      </c>
      <c r="L344" t="str">
        <f t="shared" si="57"/>
        <v>Control</v>
      </c>
      <c r="Q344" t="s">
        <v>198</v>
      </c>
      <c r="R344" t="s">
        <v>30</v>
      </c>
      <c r="S344" t="s">
        <v>27</v>
      </c>
      <c r="T344" t="s">
        <v>216</v>
      </c>
      <c r="V344" s="1">
        <v>1.3999999999999999E-9</v>
      </c>
      <c r="Y344" s="5">
        <f t="shared" si="59"/>
        <v>1</v>
      </c>
      <c r="Z344" t="s">
        <v>22</v>
      </c>
    </row>
    <row r="345" spans="1:26" x14ac:dyDescent="0.25">
      <c r="A345" t="s">
        <v>150</v>
      </c>
      <c r="B345" t="s">
        <v>20</v>
      </c>
      <c r="C345" t="s">
        <v>21</v>
      </c>
      <c r="D345" t="s">
        <v>12</v>
      </c>
      <c r="E345" t="s">
        <v>15</v>
      </c>
      <c r="F345" t="s">
        <v>16</v>
      </c>
      <c r="G345" t="s">
        <v>16</v>
      </c>
      <c r="H345" t="s">
        <v>247</v>
      </c>
      <c r="I345">
        <f t="shared" si="58"/>
        <v>11.5</v>
      </c>
      <c r="J345" t="s">
        <v>135</v>
      </c>
      <c r="K345" t="s">
        <v>17</v>
      </c>
      <c r="L345" t="str">
        <f t="shared" si="57"/>
        <v>Control</v>
      </c>
      <c r="Q345" t="s">
        <v>197</v>
      </c>
      <c r="R345" t="s">
        <v>30</v>
      </c>
      <c r="S345" t="s">
        <v>27</v>
      </c>
      <c r="T345" t="s">
        <v>216</v>
      </c>
      <c r="V345" s="1">
        <v>7.0999999999999999E-9</v>
      </c>
      <c r="Y345" s="5">
        <f t="shared" si="59"/>
        <v>1</v>
      </c>
      <c r="Z345" t="s">
        <v>22</v>
      </c>
    </row>
    <row r="346" spans="1:26" x14ac:dyDescent="0.25">
      <c r="A346" t="s">
        <v>150</v>
      </c>
      <c r="B346" t="s">
        <v>20</v>
      </c>
      <c r="C346" t="s">
        <v>21</v>
      </c>
      <c r="D346" t="s">
        <v>12</v>
      </c>
      <c r="E346" t="s">
        <v>15</v>
      </c>
      <c r="F346" t="s">
        <v>16</v>
      </c>
      <c r="G346" t="s">
        <v>16</v>
      </c>
      <c r="H346" t="s">
        <v>247</v>
      </c>
      <c r="I346">
        <f t="shared" si="58"/>
        <v>11.5</v>
      </c>
      <c r="J346" t="s">
        <v>135</v>
      </c>
      <c r="K346" t="s">
        <v>17</v>
      </c>
      <c r="L346" t="str">
        <f t="shared" si="57"/>
        <v>Control</v>
      </c>
      <c r="Q346" t="s">
        <v>199</v>
      </c>
      <c r="R346" t="s">
        <v>30</v>
      </c>
      <c r="S346" t="s">
        <v>27</v>
      </c>
      <c r="T346" t="s">
        <v>216</v>
      </c>
      <c r="V346" s="1">
        <v>1.6000000000000001E-8</v>
      </c>
      <c r="Y346" s="5">
        <f t="shared" si="59"/>
        <v>1</v>
      </c>
      <c r="Z346" t="s">
        <v>22</v>
      </c>
    </row>
    <row r="347" spans="1:26" x14ac:dyDescent="0.25">
      <c r="A347" t="s">
        <v>150</v>
      </c>
      <c r="B347" t="s">
        <v>20</v>
      </c>
      <c r="C347" t="s">
        <v>21</v>
      </c>
      <c r="D347" t="s">
        <v>12</v>
      </c>
      <c r="E347" t="s">
        <v>15</v>
      </c>
      <c r="F347" t="s">
        <v>16</v>
      </c>
      <c r="G347" t="s">
        <v>16</v>
      </c>
      <c r="H347" t="s">
        <v>247</v>
      </c>
      <c r="I347">
        <f t="shared" si="58"/>
        <v>11.5</v>
      </c>
      <c r="J347" t="s">
        <v>135</v>
      </c>
      <c r="K347" t="s">
        <v>135</v>
      </c>
      <c r="L347" t="str">
        <f t="shared" si="57"/>
        <v>Stress</v>
      </c>
      <c r="Q347" t="s">
        <v>198</v>
      </c>
      <c r="R347" t="s">
        <v>30</v>
      </c>
      <c r="S347" t="s">
        <v>27</v>
      </c>
      <c r="T347" t="s">
        <v>216</v>
      </c>
      <c r="V347" s="1">
        <v>8.0000000000000013E-10</v>
      </c>
      <c r="Y347" s="5">
        <f t="shared" si="59"/>
        <v>1</v>
      </c>
      <c r="Z347" t="s">
        <v>22</v>
      </c>
    </row>
    <row r="348" spans="1:26" x14ac:dyDescent="0.25">
      <c r="A348" t="s">
        <v>150</v>
      </c>
      <c r="B348" t="s">
        <v>20</v>
      </c>
      <c r="C348" t="s">
        <v>21</v>
      </c>
      <c r="D348" t="s">
        <v>12</v>
      </c>
      <c r="E348" t="s">
        <v>15</v>
      </c>
      <c r="F348" t="s">
        <v>16</v>
      </c>
      <c r="G348" t="s">
        <v>16</v>
      </c>
      <c r="H348" t="s">
        <v>247</v>
      </c>
      <c r="I348">
        <f t="shared" si="58"/>
        <v>11.5</v>
      </c>
      <c r="J348" t="s">
        <v>135</v>
      </c>
      <c r="K348" t="s">
        <v>135</v>
      </c>
      <c r="L348" t="str">
        <f t="shared" si="57"/>
        <v>Stress</v>
      </c>
      <c r="Q348" t="s">
        <v>197</v>
      </c>
      <c r="R348" t="s">
        <v>30</v>
      </c>
      <c r="S348" t="s">
        <v>27</v>
      </c>
      <c r="T348" t="s">
        <v>216</v>
      </c>
      <c r="V348" s="1">
        <v>8.199999999999999E-9</v>
      </c>
      <c r="Y348" s="5">
        <f t="shared" si="59"/>
        <v>1</v>
      </c>
      <c r="Z348" t="s">
        <v>22</v>
      </c>
    </row>
    <row r="349" spans="1:26" x14ac:dyDescent="0.25">
      <c r="A349" t="s">
        <v>150</v>
      </c>
      <c r="B349" t="s">
        <v>20</v>
      </c>
      <c r="C349" t="s">
        <v>21</v>
      </c>
      <c r="D349" t="s">
        <v>12</v>
      </c>
      <c r="E349" t="s">
        <v>15</v>
      </c>
      <c r="F349" t="s">
        <v>16</v>
      </c>
      <c r="G349" t="s">
        <v>16</v>
      </c>
      <c r="H349" t="s">
        <v>247</v>
      </c>
      <c r="I349">
        <f t="shared" si="58"/>
        <v>11.5</v>
      </c>
      <c r="J349" t="s">
        <v>135</v>
      </c>
      <c r="K349" t="s">
        <v>135</v>
      </c>
      <c r="L349" t="str">
        <f t="shared" si="57"/>
        <v>Stress</v>
      </c>
      <c r="Q349" t="s">
        <v>199</v>
      </c>
      <c r="R349" t="s">
        <v>30</v>
      </c>
      <c r="S349" t="s">
        <v>27</v>
      </c>
      <c r="T349" t="s">
        <v>216</v>
      </c>
      <c r="V349" s="1">
        <v>1E-8</v>
      </c>
      <c r="Y349" s="5">
        <f t="shared" si="59"/>
        <v>1</v>
      </c>
      <c r="Z349" t="s">
        <v>22</v>
      </c>
    </row>
    <row r="350" spans="1:26" x14ac:dyDescent="0.25">
      <c r="A350" t="s">
        <v>150</v>
      </c>
      <c r="B350" t="s">
        <v>20</v>
      </c>
      <c r="C350" t="s">
        <v>21</v>
      </c>
      <c r="D350" t="s">
        <v>12</v>
      </c>
      <c r="E350" t="s">
        <v>15</v>
      </c>
      <c r="F350" t="s">
        <v>16</v>
      </c>
      <c r="G350" t="s">
        <v>16</v>
      </c>
      <c r="H350" t="s">
        <v>247</v>
      </c>
      <c r="I350">
        <f t="shared" si="58"/>
        <v>11.5</v>
      </c>
      <c r="J350" t="s">
        <v>135</v>
      </c>
      <c r="K350" t="s">
        <v>17</v>
      </c>
      <c r="L350" t="str">
        <f t="shared" si="57"/>
        <v>Control</v>
      </c>
      <c r="Q350" t="s">
        <v>198</v>
      </c>
      <c r="R350" t="s">
        <v>30</v>
      </c>
      <c r="S350" t="s">
        <v>27</v>
      </c>
      <c r="T350" t="s">
        <v>216</v>
      </c>
      <c r="V350" s="1">
        <v>1.7000000000000001E-9</v>
      </c>
      <c r="Y350" s="5">
        <f t="shared" si="59"/>
        <v>1</v>
      </c>
      <c r="Z350" t="s">
        <v>22</v>
      </c>
    </row>
    <row r="351" spans="1:26" x14ac:dyDescent="0.25">
      <c r="A351" t="s">
        <v>150</v>
      </c>
      <c r="B351" t="s">
        <v>20</v>
      </c>
      <c r="C351" t="s">
        <v>21</v>
      </c>
      <c r="D351" t="s">
        <v>12</v>
      </c>
      <c r="E351" t="s">
        <v>15</v>
      </c>
      <c r="F351" t="s">
        <v>16</v>
      </c>
      <c r="G351" t="s">
        <v>16</v>
      </c>
      <c r="H351" t="s">
        <v>247</v>
      </c>
      <c r="I351">
        <f t="shared" si="58"/>
        <v>11.5</v>
      </c>
      <c r="J351" t="s">
        <v>135</v>
      </c>
      <c r="K351" t="s">
        <v>17</v>
      </c>
      <c r="L351" t="str">
        <f t="shared" si="57"/>
        <v>Control</v>
      </c>
      <c r="Q351" t="s">
        <v>197</v>
      </c>
      <c r="R351" t="s">
        <v>30</v>
      </c>
      <c r="S351" t="s">
        <v>27</v>
      </c>
      <c r="T351" t="s">
        <v>216</v>
      </c>
      <c r="V351" s="1">
        <v>9.4000000000000015E-9</v>
      </c>
      <c r="Y351" s="5">
        <f t="shared" si="59"/>
        <v>1</v>
      </c>
      <c r="Z351" t="s">
        <v>22</v>
      </c>
    </row>
    <row r="352" spans="1:26" x14ac:dyDescent="0.25">
      <c r="A352" t="s">
        <v>150</v>
      </c>
      <c r="B352" t="s">
        <v>20</v>
      </c>
      <c r="C352" t="s">
        <v>21</v>
      </c>
      <c r="D352" t="s">
        <v>12</v>
      </c>
      <c r="E352" t="s">
        <v>15</v>
      </c>
      <c r="F352" t="s">
        <v>16</v>
      </c>
      <c r="G352" t="s">
        <v>16</v>
      </c>
      <c r="H352" t="s">
        <v>247</v>
      </c>
      <c r="I352">
        <f t="shared" si="58"/>
        <v>11.5</v>
      </c>
      <c r="J352" t="s">
        <v>135</v>
      </c>
      <c r="K352" t="s">
        <v>17</v>
      </c>
      <c r="L352" t="str">
        <f t="shared" si="57"/>
        <v>Control</v>
      </c>
      <c r="Q352" t="s">
        <v>199</v>
      </c>
      <c r="R352" t="s">
        <v>30</v>
      </c>
      <c r="S352" t="s">
        <v>27</v>
      </c>
      <c r="T352" t="s">
        <v>216</v>
      </c>
      <c r="V352" s="1">
        <v>1.9000000000000001E-8</v>
      </c>
      <c r="Y352" s="5">
        <f t="shared" si="59"/>
        <v>1</v>
      </c>
      <c r="Z352" t="s">
        <v>22</v>
      </c>
    </row>
    <row r="353" spans="1:26" x14ac:dyDescent="0.25">
      <c r="A353" t="s">
        <v>150</v>
      </c>
      <c r="B353" t="s">
        <v>20</v>
      </c>
      <c r="C353" t="s">
        <v>21</v>
      </c>
      <c r="D353" t="s">
        <v>12</v>
      </c>
      <c r="E353" t="s">
        <v>15</v>
      </c>
      <c r="F353" t="s">
        <v>16</v>
      </c>
      <c r="G353" t="s">
        <v>16</v>
      </c>
      <c r="H353" t="s">
        <v>247</v>
      </c>
      <c r="I353">
        <f t="shared" si="58"/>
        <v>11.5</v>
      </c>
      <c r="J353" t="s">
        <v>135</v>
      </c>
      <c r="K353" t="s">
        <v>135</v>
      </c>
      <c r="L353" t="str">
        <f t="shared" si="57"/>
        <v>Stress</v>
      </c>
      <c r="Q353" t="s">
        <v>198</v>
      </c>
      <c r="R353" t="s">
        <v>30</v>
      </c>
      <c r="S353" t="s">
        <v>27</v>
      </c>
      <c r="T353" t="s">
        <v>216</v>
      </c>
      <c r="V353" s="1">
        <v>6E-10</v>
      </c>
      <c r="Y353" s="5">
        <f t="shared" si="59"/>
        <v>1</v>
      </c>
      <c r="Z353" t="s">
        <v>22</v>
      </c>
    </row>
    <row r="354" spans="1:26" x14ac:dyDescent="0.25">
      <c r="A354" t="s">
        <v>150</v>
      </c>
      <c r="B354" t="s">
        <v>20</v>
      </c>
      <c r="C354" t="s">
        <v>21</v>
      </c>
      <c r="D354" t="s">
        <v>12</v>
      </c>
      <c r="E354" t="s">
        <v>15</v>
      </c>
      <c r="F354" t="s">
        <v>16</v>
      </c>
      <c r="G354" t="s">
        <v>16</v>
      </c>
      <c r="H354" t="s">
        <v>247</v>
      </c>
      <c r="I354">
        <f t="shared" si="58"/>
        <v>11.5</v>
      </c>
      <c r="J354" t="s">
        <v>135</v>
      </c>
      <c r="K354" t="s">
        <v>135</v>
      </c>
      <c r="L354" t="str">
        <f t="shared" si="57"/>
        <v>Stress</v>
      </c>
      <c r="Q354" t="s">
        <v>197</v>
      </c>
      <c r="R354" t="s">
        <v>30</v>
      </c>
      <c r="S354" t="s">
        <v>27</v>
      </c>
      <c r="T354" t="s">
        <v>216</v>
      </c>
      <c r="V354" s="1">
        <v>6.2000000000000009E-9</v>
      </c>
      <c r="Y354" s="5">
        <f t="shared" si="59"/>
        <v>1</v>
      </c>
      <c r="Z354" t="s">
        <v>22</v>
      </c>
    </row>
    <row r="355" spans="1:26" x14ac:dyDescent="0.25">
      <c r="A355" t="s">
        <v>150</v>
      </c>
      <c r="B355" t="s">
        <v>20</v>
      </c>
      <c r="C355" t="s">
        <v>21</v>
      </c>
      <c r="D355" t="s">
        <v>12</v>
      </c>
      <c r="E355" t="s">
        <v>15</v>
      </c>
      <c r="F355" t="s">
        <v>16</v>
      </c>
      <c r="G355" t="s">
        <v>16</v>
      </c>
      <c r="H355" t="s">
        <v>247</v>
      </c>
      <c r="I355">
        <f t="shared" si="58"/>
        <v>11.5</v>
      </c>
      <c r="J355" t="s">
        <v>135</v>
      </c>
      <c r="K355" t="s">
        <v>135</v>
      </c>
      <c r="L355" t="str">
        <f t="shared" si="57"/>
        <v>Stress</v>
      </c>
      <c r="Q355" t="s">
        <v>199</v>
      </c>
      <c r="R355" t="s">
        <v>30</v>
      </c>
      <c r="S355" t="s">
        <v>27</v>
      </c>
      <c r="T355" t="s">
        <v>216</v>
      </c>
      <c r="V355" s="1">
        <v>1.4000000000000001E-8</v>
      </c>
      <c r="Y355" s="5">
        <f t="shared" si="59"/>
        <v>1</v>
      </c>
      <c r="Z355" t="s">
        <v>22</v>
      </c>
    </row>
    <row r="356" spans="1:26" x14ac:dyDescent="0.25">
      <c r="A356" t="s">
        <v>151</v>
      </c>
      <c r="B356" t="s">
        <v>109</v>
      </c>
      <c r="C356" t="s">
        <v>110</v>
      </c>
      <c r="D356" t="s">
        <v>111</v>
      </c>
      <c r="E356" t="s">
        <v>112</v>
      </c>
      <c r="G356" t="s">
        <v>113</v>
      </c>
      <c r="H356" t="s">
        <v>113</v>
      </c>
      <c r="I356">
        <f>'[33]Huang&amp;Nobel_1992_Fig2'!A2</f>
        <v>6</v>
      </c>
      <c r="Q356" t="s">
        <v>197</v>
      </c>
      <c r="R356" t="s">
        <v>152</v>
      </c>
      <c r="S356" t="s">
        <v>27</v>
      </c>
      <c r="T356" t="s">
        <v>215</v>
      </c>
      <c r="V356" s="1">
        <f>'[33]Huang&amp;Nobel_1992_Fig2'!B2</f>
        <v>4.7055837563451702E-7</v>
      </c>
      <c r="Y356">
        <v>1.1000000000000001</v>
      </c>
      <c r="Z356" t="s">
        <v>52</v>
      </c>
    </row>
    <row r="357" spans="1:26" x14ac:dyDescent="0.25">
      <c r="A357" t="s">
        <v>151</v>
      </c>
      <c r="B357" t="s">
        <v>109</v>
      </c>
      <c r="C357" t="s">
        <v>110</v>
      </c>
      <c r="D357" t="s">
        <v>111</v>
      </c>
      <c r="E357" t="s">
        <v>112</v>
      </c>
      <c r="G357" t="s">
        <v>113</v>
      </c>
      <c r="H357" t="s">
        <v>113</v>
      </c>
      <c r="I357">
        <f>'[33]Huang&amp;Nobel_1992_Fig2'!A3</f>
        <v>12</v>
      </c>
      <c r="Q357" t="s">
        <v>197</v>
      </c>
      <c r="R357" t="s">
        <v>152</v>
      </c>
      <c r="S357" t="s">
        <v>114</v>
      </c>
      <c r="T357" t="s">
        <v>215</v>
      </c>
      <c r="V357" s="1">
        <f>'[33]Huang&amp;Nobel_1992_Fig2'!B3</f>
        <v>3.8756345177664899E-7</v>
      </c>
      <c r="Y357" s="2">
        <v>1.1000000000000001</v>
      </c>
      <c r="Z357" t="s">
        <v>52</v>
      </c>
    </row>
    <row r="358" spans="1:26" x14ac:dyDescent="0.25">
      <c r="A358" t="s">
        <v>151</v>
      </c>
      <c r="B358" t="s">
        <v>109</v>
      </c>
      <c r="C358" t="s">
        <v>110</v>
      </c>
      <c r="D358" t="s">
        <v>111</v>
      </c>
      <c r="E358" t="s">
        <v>112</v>
      </c>
      <c r="G358" t="s">
        <v>113</v>
      </c>
      <c r="H358" t="s">
        <v>113</v>
      </c>
      <c r="I358">
        <f>'[33]Huang&amp;Nobel_1992_Fig2'!A4</f>
        <v>18</v>
      </c>
      <c r="Q358" t="s">
        <v>197</v>
      </c>
      <c r="R358" t="s">
        <v>152</v>
      </c>
      <c r="S358" t="s">
        <v>72</v>
      </c>
      <c r="T358" t="s">
        <v>215</v>
      </c>
      <c r="V358" s="1">
        <f>'[33]Huang&amp;Nobel_1992_Fig2'!B4</f>
        <v>2.4670050761421302E-7</v>
      </c>
      <c r="Y358" s="2">
        <v>1.1000000000000001</v>
      </c>
      <c r="Z358" t="s">
        <v>52</v>
      </c>
    </row>
    <row r="359" spans="1:26" x14ac:dyDescent="0.25">
      <c r="A359" t="s">
        <v>151</v>
      </c>
      <c r="B359" t="s">
        <v>109</v>
      </c>
      <c r="C359" t="s">
        <v>110</v>
      </c>
      <c r="D359" t="s">
        <v>111</v>
      </c>
      <c r="E359" t="s">
        <v>112</v>
      </c>
      <c r="G359" t="s">
        <v>113</v>
      </c>
      <c r="H359" t="s">
        <v>113</v>
      </c>
      <c r="I359">
        <f>'[33]Huang&amp;Nobel_1992_Fig2'!A5</f>
        <v>24</v>
      </c>
      <c r="Q359" t="s">
        <v>197</v>
      </c>
      <c r="R359" t="s">
        <v>152</v>
      </c>
      <c r="S359" t="s">
        <v>72</v>
      </c>
      <c r="T359" t="s">
        <v>215</v>
      </c>
      <c r="V359" s="1">
        <f>'[33]Huang&amp;Nobel_1992_Fig2'!B5</f>
        <v>2.0482233502538E-7</v>
      </c>
      <c r="Y359" s="2">
        <v>1.1000000000000001</v>
      </c>
      <c r="Z359" t="s">
        <v>52</v>
      </c>
    </row>
    <row r="360" spans="1:26" x14ac:dyDescent="0.25">
      <c r="A360" t="s">
        <v>151</v>
      </c>
      <c r="B360" t="s">
        <v>109</v>
      </c>
      <c r="C360" t="s">
        <v>110</v>
      </c>
      <c r="D360" t="s">
        <v>111</v>
      </c>
      <c r="E360" t="s">
        <v>112</v>
      </c>
      <c r="G360" t="s">
        <v>113</v>
      </c>
      <c r="H360" t="s">
        <v>113</v>
      </c>
      <c r="I360">
        <f>'[33]Huang&amp;Nobel_1992_Fig2'!A6</f>
        <v>30</v>
      </c>
      <c r="Q360" t="s">
        <v>197</v>
      </c>
      <c r="R360" t="s">
        <v>152</v>
      </c>
      <c r="S360" t="s">
        <v>72</v>
      </c>
      <c r="T360" t="s">
        <v>215</v>
      </c>
      <c r="V360" s="1">
        <f>'[33]Huang&amp;Nobel_1992_Fig2'!B6</f>
        <v>1.6370558375634499E-7</v>
      </c>
      <c r="Y360" s="2">
        <v>1.1000000000000001</v>
      </c>
      <c r="Z360" t="s">
        <v>52</v>
      </c>
    </row>
    <row r="361" spans="1:26" x14ac:dyDescent="0.25">
      <c r="A361" t="s">
        <v>151</v>
      </c>
      <c r="B361" t="s">
        <v>109</v>
      </c>
      <c r="C361" t="s">
        <v>110</v>
      </c>
      <c r="D361" t="s">
        <v>111</v>
      </c>
      <c r="E361" t="s">
        <v>112</v>
      </c>
      <c r="G361" t="s">
        <v>113</v>
      </c>
      <c r="H361" t="s">
        <v>113</v>
      </c>
      <c r="I361">
        <v>48</v>
      </c>
      <c r="J361" t="s">
        <v>117</v>
      </c>
      <c r="K361" t="s">
        <v>17</v>
      </c>
      <c r="L361" t="str">
        <f t="shared" ref="L361:L374" si="60">+IF(K361="Control","Control","Stress")</f>
        <v>Control</v>
      </c>
      <c r="Q361" t="s">
        <v>197</v>
      </c>
      <c r="R361" t="s">
        <v>152</v>
      </c>
      <c r="S361" t="s">
        <v>27</v>
      </c>
      <c r="T361" t="s">
        <v>215</v>
      </c>
      <c r="V361" s="1">
        <f>'[34]Huang&amp;Nobel_1992_Fig3'!$D$2</f>
        <v>5.6241263762565803E-7</v>
      </c>
      <c r="Y361" s="2">
        <v>1.1000000000000001</v>
      </c>
      <c r="Z361" t="s">
        <v>52</v>
      </c>
    </row>
    <row r="362" spans="1:26" x14ac:dyDescent="0.25">
      <c r="A362" t="s">
        <v>151</v>
      </c>
      <c r="B362" t="s">
        <v>109</v>
      </c>
      <c r="C362" t="s">
        <v>110</v>
      </c>
      <c r="D362" t="s">
        <v>111</v>
      </c>
      <c r="E362" t="s">
        <v>112</v>
      </c>
      <c r="G362" t="s">
        <v>113</v>
      </c>
      <c r="H362" t="s">
        <v>113</v>
      </c>
      <c r="I362">
        <v>48</v>
      </c>
      <c r="J362" t="s">
        <v>117</v>
      </c>
      <c r="K362" t="s">
        <v>17</v>
      </c>
      <c r="L362" t="str">
        <f t="shared" si="60"/>
        <v>Control</v>
      </c>
      <c r="Q362" t="s">
        <v>197</v>
      </c>
      <c r="R362" t="s">
        <v>152</v>
      </c>
      <c r="S362" t="s">
        <v>114</v>
      </c>
      <c r="T362" t="s">
        <v>215</v>
      </c>
      <c r="V362" s="1">
        <f>'[34]Huang&amp;Nobel_1992_Fig3'!D5</f>
        <v>3.6889385316383837E-7</v>
      </c>
      <c r="Y362" s="2">
        <v>1.1000000000000001</v>
      </c>
      <c r="Z362" t="s">
        <v>52</v>
      </c>
    </row>
    <row r="363" spans="1:26" x14ac:dyDescent="0.25">
      <c r="A363" t="s">
        <v>151</v>
      </c>
      <c r="B363" t="s">
        <v>109</v>
      </c>
      <c r="C363" t="s">
        <v>110</v>
      </c>
      <c r="D363" t="s">
        <v>111</v>
      </c>
      <c r="E363" t="s">
        <v>112</v>
      </c>
      <c r="G363" t="s">
        <v>113</v>
      </c>
      <c r="H363" t="s">
        <v>113</v>
      </c>
      <c r="I363">
        <v>48</v>
      </c>
      <c r="J363" t="s">
        <v>117</v>
      </c>
      <c r="K363" t="s">
        <v>17</v>
      </c>
      <c r="L363" t="str">
        <f t="shared" si="60"/>
        <v>Control</v>
      </c>
      <c r="Q363" t="s">
        <v>197</v>
      </c>
      <c r="R363" t="s">
        <v>152</v>
      </c>
      <c r="S363" t="s">
        <v>72</v>
      </c>
      <c r="T363" t="s">
        <v>215</v>
      </c>
      <c r="V363" s="1">
        <f>'[34]Huang&amp;Nobel_1992_Fig3'!D6</f>
        <v>1.7014839636189499E-7</v>
      </c>
      <c r="Y363" s="2">
        <v>1.1000000000000001</v>
      </c>
      <c r="Z363" t="s">
        <v>52</v>
      </c>
    </row>
    <row r="364" spans="1:26" x14ac:dyDescent="0.25">
      <c r="A364" t="s">
        <v>151</v>
      </c>
      <c r="B364" t="s">
        <v>109</v>
      </c>
      <c r="C364" t="s">
        <v>110</v>
      </c>
      <c r="D364" t="s">
        <v>111</v>
      </c>
      <c r="E364" t="s">
        <v>112</v>
      </c>
      <c r="G364" t="s">
        <v>113</v>
      </c>
      <c r="H364" t="s">
        <v>113</v>
      </c>
      <c r="I364">
        <v>48</v>
      </c>
      <c r="J364" t="s">
        <v>117</v>
      </c>
      <c r="K364" t="s">
        <v>117</v>
      </c>
      <c r="L364" t="str">
        <f t="shared" si="60"/>
        <v>Stress</v>
      </c>
      <c r="Q364" t="s">
        <v>197</v>
      </c>
      <c r="R364" t="s">
        <v>152</v>
      </c>
      <c r="S364" t="s">
        <v>27</v>
      </c>
      <c r="T364" t="s">
        <v>215</v>
      </c>
      <c r="V364" s="1">
        <f>'[35]Huang&amp;Nobel_1992_Fig6'!$C$3</f>
        <v>3.167002526948785E-7</v>
      </c>
      <c r="Y364" s="2">
        <v>1.1000000000000001</v>
      </c>
      <c r="Z364" t="s">
        <v>52</v>
      </c>
    </row>
    <row r="365" spans="1:26" x14ac:dyDescent="0.25">
      <c r="A365" t="s">
        <v>151</v>
      </c>
      <c r="B365" t="s">
        <v>109</v>
      </c>
      <c r="C365" t="s">
        <v>110</v>
      </c>
      <c r="D365" t="s">
        <v>111</v>
      </c>
      <c r="E365" t="s">
        <v>112</v>
      </c>
      <c r="G365" t="s">
        <v>113</v>
      </c>
      <c r="H365" t="s">
        <v>113</v>
      </c>
      <c r="I365">
        <v>48</v>
      </c>
      <c r="J365" t="s">
        <v>117</v>
      </c>
      <c r="K365" t="s">
        <v>117</v>
      </c>
      <c r="L365" t="str">
        <f t="shared" si="60"/>
        <v>Stress</v>
      </c>
      <c r="Q365" t="s">
        <v>197</v>
      </c>
      <c r="R365" t="s">
        <v>152</v>
      </c>
      <c r="S365" t="s">
        <v>114</v>
      </c>
      <c r="T365" t="s">
        <v>215</v>
      </c>
      <c r="V365" s="1">
        <f>'[35]Huang&amp;Nobel_1992_Fig6'!$C$5</f>
        <v>2.5720500271886796E-7</v>
      </c>
      <c r="Y365" s="2">
        <v>1.1000000000000001</v>
      </c>
      <c r="Z365" t="s">
        <v>52</v>
      </c>
    </row>
    <row r="366" spans="1:26" x14ac:dyDescent="0.25">
      <c r="A366" t="s">
        <v>151</v>
      </c>
      <c r="B366" t="s">
        <v>109</v>
      </c>
      <c r="C366" t="s">
        <v>110</v>
      </c>
      <c r="D366" t="s">
        <v>111</v>
      </c>
      <c r="E366" t="s">
        <v>112</v>
      </c>
      <c r="G366" t="s">
        <v>113</v>
      </c>
      <c r="H366" t="s">
        <v>113</v>
      </c>
      <c r="I366">
        <v>48</v>
      </c>
      <c r="J366" t="s">
        <v>117</v>
      </c>
      <c r="K366" t="s">
        <v>117</v>
      </c>
      <c r="L366" t="str">
        <f t="shared" si="60"/>
        <v>Stress</v>
      </c>
      <c r="Q366" t="s">
        <v>197</v>
      </c>
      <c r="R366" t="s">
        <v>152</v>
      </c>
      <c r="S366" t="s">
        <v>72</v>
      </c>
      <c r="T366" t="s">
        <v>215</v>
      </c>
      <c r="V366" s="1">
        <f>'[35]Huang&amp;Nobel_1992_Fig6'!$C$7</f>
        <v>1.95369583396163E-7</v>
      </c>
      <c r="Y366" s="2">
        <v>1.1000000000000001</v>
      </c>
      <c r="Z366" t="s">
        <v>52</v>
      </c>
    </row>
    <row r="367" spans="1:26" x14ac:dyDescent="0.25">
      <c r="A367" t="s">
        <v>151</v>
      </c>
      <c r="B367" t="s">
        <v>109</v>
      </c>
      <c r="C367" t="s">
        <v>110</v>
      </c>
      <c r="D367" t="s">
        <v>111</v>
      </c>
      <c r="E367" t="s">
        <v>112</v>
      </c>
      <c r="G367" t="s">
        <v>113</v>
      </c>
      <c r="H367" t="s">
        <v>113</v>
      </c>
      <c r="I367">
        <v>48</v>
      </c>
      <c r="J367" t="s">
        <v>117</v>
      </c>
      <c r="K367" t="s">
        <v>17</v>
      </c>
      <c r="L367" t="str">
        <f t="shared" si="60"/>
        <v>Control</v>
      </c>
      <c r="Q367" t="s">
        <v>197</v>
      </c>
      <c r="R367" t="s">
        <v>152</v>
      </c>
      <c r="S367" t="s">
        <v>27</v>
      </c>
      <c r="T367" t="s">
        <v>215</v>
      </c>
      <c r="V367" s="1">
        <f>'[34]Huang&amp;Nobel_1992_Fig3'!$D$7</f>
        <v>6.4096590606882595E-7</v>
      </c>
      <c r="Y367" s="2">
        <v>1.1000000000000001</v>
      </c>
      <c r="Z367" t="s">
        <v>74</v>
      </c>
    </row>
    <row r="368" spans="1:26" x14ac:dyDescent="0.25">
      <c r="A368" t="s">
        <v>151</v>
      </c>
      <c r="B368" t="s">
        <v>109</v>
      </c>
      <c r="C368" t="s">
        <v>110</v>
      </c>
      <c r="D368" t="s">
        <v>111</v>
      </c>
      <c r="E368" t="s">
        <v>112</v>
      </c>
      <c r="G368" t="s">
        <v>113</v>
      </c>
      <c r="H368" t="s">
        <v>113</v>
      </c>
      <c r="I368">
        <v>48</v>
      </c>
      <c r="J368" t="s">
        <v>117</v>
      </c>
      <c r="K368" t="s">
        <v>17</v>
      </c>
      <c r="L368" t="str">
        <f t="shared" si="60"/>
        <v>Control</v>
      </c>
      <c r="Q368" t="s">
        <v>197</v>
      </c>
      <c r="R368" t="s">
        <v>152</v>
      </c>
      <c r="S368" t="s">
        <v>114</v>
      </c>
      <c r="T368" t="s">
        <v>215</v>
      </c>
      <c r="V368" s="1">
        <f>'[34]Huang&amp;Nobel_1992_Fig3'!$D$10</f>
        <v>4.2609506586529029E-7</v>
      </c>
      <c r="Y368" s="2">
        <v>1.1000000000000001</v>
      </c>
      <c r="Z368" t="s">
        <v>74</v>
      </c>
    </row>
    <row r="369" spans="1:26" x14ac:dyDescent="0.25">
      <c r="A369" t="s">
        <v>151</v>
      </c>
      <c r="B369" t="s">
        <v>109</v>
      </c>
      <c r="C369" t="s">
        <v>110</v>
      </c>
      <c r="D369" t="s">
        <v>111</v>
      </c>
      <c r="E369" t="s">
        <v>112</v>
      </c>
      <c r="G369" t="s">
        <v>113</v>
      </c>
      <c r="H369" t="s">
        <v>113</v>
      </c>
      <c r="I369">
        <v>48</v>
      </c>
      <c r="J369" t="s">
        <v>117</v>
      </c>
      <c r="K369" t="s">
        <v>17</v>
      </c>
      <c r="L369" t="str">
        <f t="shared" si="60"/>
        <v>Control</v>
      </c>
      <c r="Q369" t="s">
        <v>197</v>
      </c>
      <c r="R369" t="s">
        <v>152</v>
      </c>
      <c r="S369" t="s">
        <v>72</v>
      </c>
      <c r="T369" t="s">
        <v>215</v>
      </c>
      <c r="V369" s="1">
        <f>'[34]Huang&amp;Nobel_1992_Fig3'!$D$11</f>
        <v>1.7256103398755301E-7</v>
      </c>
      <c r="Y369" s="2">
        <v>1.1000000000000001</v>
      </c>
      <c r="Z369" t="s">
        <v>74</v>
      </c>
    </row>
    <row r="370" spans="1:26" x14ac:dyDescent="0.25">
      <c r="A370" t="s">
        <v>151</v>
      </c>
      <c r="B370" t="s">
        <v>109</v>
      </c>
      <c r="C370" t="s">
        <v>110</v>
      </c>
      <c r="D370" t="s">
        <v>111</v>
      </c>
      <c r="E370" t="s">
        <v>112</v>
      </c>
      <c r="G370" t="s">
        <v>113</v>
      </c>
      <c r="H370" t="s">
        <v>113</v>
      </c>
      <c r="I370">
        <v>48</v>
      </c>
      <c r="J370" t="s">
        <v>117</v>
      </c>
      <c r="K370" t="s">
        <v>117</v>
      </c>
      <c r="L370" t="str">
        <f t="shared" si="60"/>
        <v>Stress</v>
      </c>
      <c r="Q370" t="s">
        <v>197</v>
      </c>
      <c r="R370" t="s">
        <v>152</v>
      </c>
      <c r="S370" t="s">
        <v>27</v>
      </c>
      <c r="T370" t="s">
        <v>215</v>
      </c>
      <c r="V370" s="1">
        <f>'[35]Huang&amp;Nobel_1992_Fig6'!$C$9</f>
        <v>3.7342179938859699E-7</v>
      </c>
      <c r="Y370" s="2">
        <v>1.1000000000000001</v>
      </c>
      <c r="Z370" t="s">
        <v>74</v>
      </c>
    </row>
    <row r="371" spans="1:26" x14ac:dyDescent="0.25">
      <c r="A371" t="s">
        <v>151</v>
      </c>
      <c r="B371" t="s">
        <v>109</v>
      </c>
      <c r="C371" t="s">
        <v>110</v>
      </c>
      <c r="D371" t="s">
        <v>111</v>
      </c>
      <c r="E371" t="s">
        <v>112</v>
      </c>
      <c r="G371" t="s">
        <v>113</v>
      </c>
      <c r="H371" t="s">
        <v>113</v>
      </c>
      <c r="I371">
        <v>48</v>
      </c>
      <c r="J371" t="s">
        <v>117</v>
      </c>
      <c r="K371" t="s">
        <v>117</v>
      </c>
      <c r="L371" t="str">
        <f t="shared" si="60"/>
        <v>Stress</v>
      </c>
      <c r="Q371" t="s">
        <v>197</v>
      </c>
      <c r="R371" t="s">
        <v>152</v>
      </c>
      <c r="S371" t="s">
        <v>114</v>
      </c>
      <c r="T371" t="s">
        <v>215</v>
      </c>
      <c r="V371" s="1">
        <f>'[35]Huang&amp;Nobel_1992_Fig6'!$C$11</f>
        <v>2.8521620720066101E-7</v>
      </c>
      <c r="Y371" s="2">
        <v>1.1000000000000001</v>
      </c>
      <c r="Z371" t="s">
        <v>74</v>
      </c>
    </row>
    <row r="372" spans="1:26" x14ac:dyDescent="0.25">
      <c r="A372" t="s">
        <v>151</v>
      </c>
      <c r="B372" t="s">
        <v>109</v>
      </c>
      <c r="C372" t="s">
        <v>110</v>
      </c>
      <c r="D372" t="s">
        <v>111</v>
      </c>
      <c r="E372" t="s">
        <v>112</v>
      </c>
      <c r="G372" t="s">
        <v>113</v>
      </c>
      <c r="H372" t="s">
        <v>113</v>
      </c>
      <c r="I372">
        <v>48</v>
      </c>
      <c r="J372" t="s">
        <v>117</v>
      </c>
      <c r="K372" t="s">
        <v>117</v>
      </c>
      <c r="L372" t="str">
        <f t="shared" si="60"/>
        <v>Stress</v>
      </c>
      <c r="Q372" t="s">
        <v>197</v>
      </c>
      <c r="R372" t="s">
        <v>152</v>
      </c>
      <c r="S372" t="s">
        <v>72</v>
      </c>
      <c r="T372" t="s">
        <v>215</v>
      </c>
      <c r="V372" s="1">
        <f>'[35]Huang&amp;Nobel_1992_Fig6'!$C$13</f>
        <v>2.0972532569308248E-7</v>
      </c>
      <c r="Y372" s="2">
        <v>1.1000000000000001</v>
      </c>
      <c r="Z372" t="s">
        <v>74</v>
      </c>
    </row>
    <row r="373" spans="1:26" x14ac:dyDescent="0.25">
      <c r="A373" t="s">
        <v>153</v>
      </c>
      <c r="B373" t="s">
        <v>154</v>
      </c>
      <c r="C373" t="s">
        <v>155</v>
      </c>
      <c r="D373" t="s">
        <v>12</v>
      </c>
      <c r="E373" t="s">
        <v>15</v>
      </c>
      <c r="F373" t="s">
        <v>16</v>
      </c>
      <c r="G373" t="s">
        <v>16</v>
      </c>
      <c r="H373" t="s">
        <v>247</v>
      </c>
      <c r="I373">
        <v>33</v>
      </c>
      <c r="J373" t="s">
        <v>117</v>
      </c>
      <c r="K373" t="s">
        <v>17</v>
      </c>
      <c r="L373" t="str">
        <f t="shared" si="60"/>
        <v>Control</v>
      </c>
      <c r="Q373" t="s">
        <v>197</v>
      </c>
      <c r="R373" t="s">
        <v>45</v>
      </c>
      <c r="S373" t="s">
        <v>32</v>
      </c>
      <c r="T373" t="s">
        <v>215</v>
      </c>
      <c r="V373" s="1">
        <v>2.2000000000000001E-7</v>
      </c>
      <c r="W373" s="1"/>
      <c r="Z373" t="s">
        <v>52</v>
      </c>
    </row>
    <row r="374" spans="1:26" x14ac:dyDescent="0.25">
      <c r="A374" t="s">
        <v>153</v>
      </c>
      <c r="B374" t="s">
        <v>154</v>
      </c>
      <c r="C374" t="s">
        <v>155</v>
      </c>
      <c r="D374" t="s">
        <v>12</v>
      </c>
      <c r="E374" t="s">
        <v>15</v>
      </c>
      <c r="F374" t="s">
        <v>16</v>
      </c>
      <c r="G374" t="s">
        <v>16</v>
      </c>
      <c r="H374" t="s">
        <v>247</v>
      </c>
      <c r="I374">
        <v>33</v>
      </c>
      <c r="J374" t="s">
        <v>117</v>
      </c>
      <c r="K374" t="s">
        <v>117</v>
      </c>
      <c r="L374" t="str">
        <f t="shared" si="60"/>
        <v>Stress</v>
      </c>
      <c r="Q374" t="s">
        <v>197</v>
      </c>
      <c r="R374" t="s">
        <v>45</v>
      </c>
      <c r="S374" t="s">
        <v>32</v>
      </c>
      <c r="T374" t="s">
        <v>215</v>
      </c>
      <c r="V374" s="1">
        <v>5.8999999999999999E-8</v>
      </c>
      <c r="W374" s="1"/>
      <c r="Z374" t="s">
        <v>52</v>
      </c>
    </row>
    <row r="375" spans="1:26" x14ac:dyDescent="0.25">
      <c r="A375" t="s">
        <v>156</v>
      </c>
      <c r="B375" t="s">
        <v>109</v>
      </c>
      <c r="C375" t="s">
        <v>110</v>
      </c>
      <c r="D375" t="s">
        <v>111</v>
      </c>
      <c r="E375" t="s">
        <v>112</v>
      </c>
      <c r="G375" t="s">
        <v>113</v>
      </c>
      <c r="H375" t="s">
        <v>113</v>
      </c>
      <c r="J375" t="s">
        <v>281</v>
      </c>
      <c r="K375" t="s">
        <v>260</v>
      </c>
      <c r="L375" t="s">
        <v>249</v>
      </c>
      <c r="Q375" t="s">
        <v>197</v>
      </c>
      <c r="R375" t="s">
        <v>116</v>
      </c>
      <c r="S375" t="s">
        <v>32</v>
      </c>
      <c r="T375" t="s">
        <v>215</v>
      </c>
      <c r="V375" s="1">
        <v>7.6499999999999998E-7</v>
      </c>
      <c r="W375" s="2"/>
      <c r="X375" s="2">
        <f>7.8*2</f>
        <v>15.6</v>
      </c>
      <c r="Y375" s="2">
        <f>1.4*2</f>
        <v>2.8</v>
      </c>
      <c r="Z375" t="s">
        <v>52</v>
      </c>
    </row>
    <row r="376" spans="1:26" x14ac:dyDescent="0.25">
      <c r="A376" t="s">
        <v>156</v>
      </c>
      <c r="B376" t="s">
        <v>109</v>
      </c>
      <c r="C376" t="s">
        <v>110</v>
      </c>
      <c r="D376" t="s">
        <v>111</v>
      </c>
      <c r="E376" t="s">
        <v>112</v>
      </c>
      <c r="G376" t="s">
        <v>113</v>
      </c>
      <c r="H376" t="s">
        <v>113</v>
      </c>
      <c r="J376" t="s">
        <v>281</v>
      </c>
      <c r="K376" t="s">
        <v>261</v>
      </c>
      <c r="L376" t="s">
        <v>249</v>
      </c>
      <c r="Q376" t="s">
        <v>197</v>
      </c>
      <c r="R376" t="s">
        <v>116</v>
      </c>
      <c r="S376" t="s">
        <v>32</v>
      </c>
      <c r="T376" t="s">
        <v>215</v>
      </c>
      <c r="V376" s="1">
        <v>7.37E-7</v>
      </c>
      <c r="W376" s="2"/>
      <c r="X376" s="2">
        <f>7.1*3</f>
        <v>21.299999999999997</v>
      </c>
      <c r="Y376" s="2">
        <f>1.57*2</f>
        <v>3.14</v>
      </c>
      <c r="Z376" t="s">
        <v>52</v>
      </c>
    </row>
    <row r="377" spans="1:26" x14ac:dyDescent="0.25">
      <c r="A377" t="s">
        <v>156</v>
      </c>
      <c r="B377" t="s">
        <v>109</v>
      </c>
      <c r="C377" t="s">
        <v>110</v>
      </c>
      <c r="D377" t="s">
        <v>111</v>
      </c>
      <c r="E377" t="s">
        <v>112</v>
      </c>
      <c r="G377" t="s">
        <v>113</v>
      </c>
      <c r="H377" t="s">
        <v>113</v>
      </c>
      <c r="J377" t="s">
        <v>281</v>
      </c>
      <c r="K377" t="s">
        <v>262</v>
      </c>
      <c r="L377" t="s">
        <v>249</v>
      </c>
      <c r="Q377" t="s">
        <v>197</v>
      </c>
      <c r="R377" t="s">
        <v>116</v>
      </c>
      <c r="S377" t="s">
        <v>32</v>
      </c>
      <c r="T377" t="s">
        <v>215</v>
      </c>
      <c r="V377" s="1">
        <v>9.6999999999999995E-8</v>
      </c>
      <c r="W377" s="2"/>
      <c r="X377" s="2">
        <f>5.4*5</f>
        <v>27</v>
      </c>
      <c r="Y377" s="2">
        <f>1*2</f>
        <v>2</v>
      </c>
      <c r="Z377" t="s">
        <v>52</v>
      </c>
    </row>
    <row r="378" spans="1:26" x14ac:dyDescent="0.25">
      <c r="A378" t="s">
        <v>156</v>
      </c>
      <c r="B378" t="s">
        <v>142</v>
      </c>
      <c r="C378" t="s">
        <v>124</v>
      </c>
      <c r="D378" t="s">
        <v>125</v>
      </c>
      <c r="E378" t="s">
        <v>112</v>
      </c>
      <c r="G378" t="s">
        <v>113</v>
      </c>
      <c r="H378" t="s">
        <v>113</v>
      </c>
      <c r="J378" t="s">
        <v>281</v>
      </c>
      <c r="K378" t="s">
        <v>260</v>
      </c>
      <c r="L378" t="s">
        <v>249</v>
      </c>
      <c r="Q378" t="s">
        <v>197</v>
      </c>
      <c r="R378" t="s">
        <v>116</v>
      </c>
      <c r="S378" t="s">
        <v>32</v>
      </c>
      <c r="T378" t="s">
        <v>215</v>
      </c>
      <c r="V378" s="1">
        <v>5.1E-8</v>
      </c>
      <c r="W378" s="2"/>
      <c r="X378" s="2">
        <f>4.2*2</f>
        <v>8.4</v>
      </c>
      <c r="Y378" s="2">
        <f>0.63*2</f>
        <v>1.26</v>
      </c>
      <c r="Z378" t="s">
        <v>52</v>
      </c>
    </row>
    <row r="379" spans="1:26" x14ac:dyDescent="0.25">
      <c r="A379" t="s">
        <v>156</v>
      </c>
      <c r="B379" t="s">
        <v>142</v>
      </c>
      <c r="C379" t="s">
        <v>124</v>
      </c>
      <c r="D379" t="s">
        <v>125</v>
      </c>
      <c r="E379" t="s">
        <v>112</v>
      </c>
      <c r="G379" t="s">
        <v>113</v>
      </c>
      <c r="H379" t="s">
        <v>113</v>
      </c>
      <c r="J379" t="s">
        <v>281</v>
      </c>
      <c r="K379" t="s">
        <v>261</v>
      </c>
      <c r="L379" t="s">
        <v>249</v>
      </c>
      <c r="Q379" t="s">
        <v>197</v>
      </c>
      <c r="R379" t="s">
        <v>116</v>
      </c>
      <c r="S379" t="s">
        <v>32</v>
      </c>
      <c r="T379" t="s">
        <v>215</v>
      </c>
      <c r="V379" s="1">
        <v>2.1E-7</v>
      </c>
      <c r="W379" s="2"/>
      <c r="X379" s="2">
        <f>6.5*6</f>
        <v>39</v>
      </c>
      <c r="Y379" s="2">
        <f>1.18*2</f>
        <v>2.36</v>
      </c>
      <c r="Z379" t="s">
        <v>52</v>
      </c>
    </row>
    <row r="380" spans="1:26" x14ac:dyDescent="0.25">
      <c r="A380" t="s">
        <v>156</v>
      </c>
      <c r="B380" t="s">
        <v>142</v>
      </c>
      <c r="C380" t="s">
        <v>124</v>
      </c>
      <c r="D380" t="s">
        <v>125</v>
      </c>
      <c r="E380" t="s">
        <v>112</v>
      </c>
      <c r="G380" t="s">
        <v>113</v>
      </c>
      <c r="H380" t="s">
        <v>113</v>
      </c>
      <c r="J380" t="s">
        <v>281</v>
      </c>
      <c r="K380" t="s">
        <v>262</v>
      </c>
      <c r="L380" t="s">
        <v>249</v>
      </c>
      <c r="Q380" t="s">
        <v>197</v>
      </c>
      <c r="R380" t="s">
        <v>116</v>
      </c>
      <c r="S380" t="s">
        <v>32</v>
      </c>
      <c r="T380" t="s">
        <v>215</v>
      </c>
      <c r="V380" s="1">
        <v>2.28E-7</v>
      </c>
      <c r="W380" s="2"/>
      <c r="X380" s="2">
        <f>7.7*10</f>
        <v>77</v>
      </c>
      <c r="Y380" s="2">
        <f>1.14*2</f>
        <v>2.2799999999999998</v>
      </c>
      <c r="Z380" t="s">
        <v>52</v>
      </c>
    </row>
    <row r="381" spans="1:26" x14ac:dyDescent="0.25">
      <c r="A381" t="s">
        <v>156</v>
      </c>
      <c r="B381" t="s">
        <v>109</v>
      </c>
      <c r="C381" t="s">
        <v>110</v>
      </c>
      <c r="D381" t="s">
        <v>111</v>
      </c>
      <c r="E381" t="s">
        <v>112</v>
      </c>
      <c r="G381" t="s">
        <v>113</v>
      </c>
      <c r="H381" t="s">
        <v>113</v>
      </c>
      <c r="J381" t="s">
        <v>281</v>
      </c>
      <c r="K381" t="s">
        <v>260</v>
      </c>
      <c r="L381" t="s">
        <v>249</v>
      </c>
      <c r="Q381" t="s">
        <v>197</v>
      </c>
      <c r="R381" t="s">
        <v>116</v>
      </c>
      <c r="S381" t="s">
        <v>32</v>
      </c>
      <c r="T381" t="s">
        <v>215</v>
      </c>
      <c r="V381" s="1">
        <f>+AVERAGE(12.2,73.1)*0.0000001</f>
        <v>4.2649999999999998E-6</v>
      </c>
      <c r="W381" s="2"/>
      <c r="X381" s="2"/>
      <c r="Z381" t="s">
        <v>74</v>
      </c>
    </row>
    <row r="382" spans="1:26" x14ac:dyDescent="0.25">
      <c r="A382" t="s">
        <v>156</v>
      </c>
      <c r="B382" t="s">
        <v>109</v>
      </c>
      <c r="C382" t="s">
        <v>110</v>
      </c>
      <c r="D382" t="s">
        <v>111</v>
      </c>
      <c r="E382" t="s">
        <v>112</v>
      </c>
      <c r="G382" t="s">
        <v>113</v>
      </c>
      <c r="H382" t="s">
        <v>113</v>
      </c>
      <c r="J382" t="s">
        <v>281</v>
      </c>
      <c r="K382" t="s">
        <v>261</v>
      </c>
      <c r="L382" t="s">
        <v>249</v>
      </c>
      <c r="Q382" t="s">
        <v>197</v>
      </c>
      <c r="R382" t="s">
        <v>116</v>
      </c>
      <c r="S382" t="s">
        <v>32</v>
      </c>
      <c r="T382" t="s">
        <v>215</v>
      </c>
      <c r="V382" s="1">
        <f>+AVERAGE(9.2,33.5)*0.0000001</f>
        <v>2.1349999999999999E-6</v>
      </c>
      <c r="W382" s="2"/>
      <c r="X382" s="2"/>
      <c r="Z382" t="s">
        <v>74</v>
      </c>
    </row>
    <row r="383" spans="1:26" x14ac:dyDescent="0.25">
      <c r="A383" t="s">
        <v>156</v>
      </c>
      <c r="B383" t="s">
        <v>109</v>
      </c>
      <c r="C383" t="s">
        <v>110</v>
      </c>
      <c r="D383" t="s">
        <v>111</v>
      </c>
      <c r="E383" t="s">
        <v>112</v>
      </c>
      <c r="G383" t="s">
        <v>113</v>
      </c>
      <c r="H383" t="s">
        <v>113</v>
      </c>
      <c r="J383" t="s">
        <v>281</v>
      </c>
      <c r="K383" t="s">
        <v>262</v>
      </c>
      <c r="L383" t="s">
        <v>249</v>
      </c>
      <c r="Q383" t="s">
        <v>197</v>
      </c>
      <c r="R383" t="s">
        <v>116</v>
      </c>
      <c r="S383" t="s">
        <v>32</v>
      </c>
      <c r="T383" t="s">
        <v>215</v>
      </c>
      <c r="V383" s="1">
        <f>+AVERAGE(0.66,2.19)*0.0000001</f>
        <v>1.4249999999999999E-7</v>
      </c>
      <c r="W383" s="2"/>
      <c r="X383" s="2"/>
      <c r="Z383" t="s">
        <v>74</v>
      </c>
    </row>
    <row r="384" spans="1:26" x14ac:dyDescent="0.25">
      <c r="A384" t="s">
        <v>156</v>
      </c>
      <c r="B384" t="s">
        <v>142</v>
      </c>
      <c r="C384" t="s">
        <v>124</v>
      </c>
      <c r="D384" t="s">
        <v>125</v>
      </c>
      <c r="E384" t="s">
        <v>112</v>
      </c>
      <c r="G384" t="s">
        <v>113</v>
      </c>
      <c r="H384" t="s">
        <v>113</v>
      </c>
      <c r="J384" t="s">
        <v>281</v>
      </c>
      <c r="K384" t="s">
        <v>260</v>
      </c>
      <c r="L384" t="s">
        <v>249</v>
      </c>
      <c r="Q384" t="s">
        <v>197</v>
      </c>
      <c r="R384" t="s">
        <v>116</v>
      </c>
      <c r="S384" t="s">
        <v>32</v>
      </c>
      <c r="T384" t="s">
        <v>215</v>
      </c>
      <c r="V384" s="1">
        <f>+AVERAGE(0.68,2.45)*0.0000001</f>
        <v>1.5650000000000001E-7</v>
      </c>
      <c r="W384" s="2"/>
      <c r="X384" s="2"/>
      <c r="Z384" t="s">
        <v>74</v>
      </c>
    </row>
    <row r="385" spans="1:26" x14ac:dyDescent="0.25">
      <c r="A385" t="s">
        <v>156</v>
      </c>
      <c r="B385" t="s">
        <v>142</v>
      </c>
      <c r="C385" t="s">
        <v>124</v>
      </c>
      <c r="D385" t="s">
        <v>125</v>
      </c>
      <c r="E385" t="s">
        <v>112</v>
      </c>
      <c r="G385" t="s">
        <v>113</v>
      </c>
      <c r="H385" t="s">
        <v>113</v>
      </c>
      <c r="J385" t="s">
        <v>281</v>
      </c>
      <c r="K385" t="s">
        <v>261</v>
      </c>
      <c r="L385" t="s">
        <v>249</v>
      </c>
      <c r="Q385" t="s">
        <v>197</v>
      </c>
      <c r="R385" t="s">
        <v>116</v>
      </c>
      <c r="S385" t="s">
        <v>32</v>
      </c>
      <c r="T385" t="s">
        <v>215</v>
      </c>
      <c r="V385" s="1">
        <f>+AVERAGE(1.31,7.35)*0.0000001</f>
        <v>4.3299999999999997E-7</v>
      </c>
      <c r="W385" s="2"/>
      <c r="X385" s="2"/>
      <c r="Z385" t="s">
        <v>74</v>
      </c>
    </row>
    <row r="386" spans="1:26" x14ac:dyDescent="0.25">
      <c r="A386" t="s">
        <v>156</v>
      </c>
      <c r="B386" t="s">
        <v>142</v>
      </c>
      <c r="C386" t="s">
        <v>124</v>
      </c>
      <c r="D386" t="s">
        <v>125</v>
      </c>
      <c r="E386" t="s">
        <v>112</v>
      </c>
      <c r="G386" t="s">
        <v>113</v>
      </c>
      <c r="H386" t="s">
        <v>113</v>
      </c>
      <c r="J386" t="s">
        <v>281</v>
      </c>
      <c r="K386" t="s">
        <v>262</v>
      </c>
      <c r="L386" t="s">
        <v>249</v>
      </c>
      <c r="Q386" t="s">
        <v>197</v>
      </c>
      <c r="R386" t="s">
        <v>116</v>
      </c>
      <c r="S386" t="s">
        <v>32</v>
      </c>
      <c r="T386" t="s">
        <v>215</v>
      </c>
      <c r="V386" s="1">
        <f>+AVERAGE(1.12,63.3)*0.0000001</f>
        <v>3.2209999999999997E-6</v>
      </c>
      <c r="W386" s="2"/>
      <c r="X386" s="2"/>
      <c r="Z386" t="s">
        <v>74</v>
      </c>
    </row>
    <row r="387" spans="1:26" x14ac:dyDescent="0.25">
      <c r="A387" t="s">
        <v>157</v>
      </c>
      <c r="B387" t="s">
        <v>20</v>
      </c>
      <c r="C387" t="s">
        <v>21</v>
      </c>
      <c r="D387" t="s">
        <v>12</v>
      </c>
      <c r="E387" t="s">
        <v>15</v>
      </c>
      <c r="F387" t="s">
        <v>16</v>
      </c>
      <c r="G387" t="s">
        <v>16</v>
      </c>
      <c r="H387" t="s">
        <v>247</v>
      </c>
      <c r="I387">
        <f>3+AVERAGE(8,11)</f>
        <v>12.5</v>
      </c>
      <c r="Q387" t="s">
        <v>197</v>
      </c>
      <c r="R387" t="s">
        <v>30</v>
      </c>
      <c r="S387" t="s">
        <v>27</v>
      </c>
      <c r="T387" t="s">
        <v>215</v>
      </c>
      <c r="V387" s="1">
        <v>1.6E-7</v>
      </c>
      <c r="W387" s="2"/>
      <c r="X387">
        <f>+AVERAGE(15,25)</f>
        <v>20</v>
      </c>
      <c r="Y387">
        <f>+AVERAGE(0.8,1.2)</f>
        <v>1</v>
      </c>
      <c r="Z387" t="s">
        <v>22</v>
      </c>
    </row>
    <row r="388" spans="1:26" x14ac:dyDescent="0.25">
      <c r="A388" t="s">
        <v>159</v>
      </c>
      <c r="B388" t="s">
        <v>109</v>
      </c>
      <c r="C388" t="s">
        <v>110</v>
      </c>
      <c r="D388" t="s">
        <v>111</v>
      </c>
      <c r="E388" t="s">
        <v>112</v>
      </c>
      <c r="G388" t="s">
        <v>113</v>
      </c>
      <c r="H388" t="s">
        <v>113</v>
      </c>
      <c r="I388">
        <f>+AVERAGE(4,6)*7</f>
        <v>35</v>
      </c>
      <c r="J388" t="s">
        <v>239</v>
      </c>
      <c r="K388" t="s">
        <v>17</v>
      </c>
      <c r="L388" t="str">
        <f t="shared" ref="L388:L401" si="61">+IF(K388="Control","Control","Stress")</f>
        <v>Control</v>
      </c>
      <c r="M388" t="s">
        <v>240</v>
      </c>
      <c r="N388" t="s">
        <v>249</v>
      </c>
      <c r="Q388" t="s">
        <v>197</v>
      </c>
      <c r="R388" t="s">
        <v>160</v>
      </c>
      <c r="S388" t="s">
        <v>32</v>
      </c>
      <c r="T388" t="s">
        <v>215</v>
      </c>
      <c r="V388" s="1">
        <v>1.8300000000000001E-6</v>
      </c>
      <c r="W388" s="2"/>
      <c r="X388">
        <f>+AVERAGE(20,40)</f>
        <v>30</v>
      </c>
      <c r="Y388" s="5">
        <v>3</v>
      </c>
      <c r="Z388" t="s">
        <v>74</v>
      </c>
    </row>
    <row r="389" spans="1:26" x14ac:dyDescent="0.25">
      <c r="A389" t="s">
        <v>159</v>
      </c>
      <c r="B389" t="s">
        <v>109</v>
      </c>
      <c r="C389" t="s">
        <v>110</v>
      </c>
      <c r="D389" t="s">
        <v>111</v>
      </c>
      <c r="E389" t="s">
        <v>112</v>
      </c>
      <c r="G389" t="s">
        <v>113</v>
      </c>
      <c r="H389" t="s">
        <v>113</v>
      </c>
      <c r="I389">
        <f>+AVERAGE(6,12)*30</f>
        <v>270</v>
      </c>
      <c r="J389" t="s">
        <v>239</v>
      </c>
      <c r="K389" t="s">
        <v>17</v>
      </c>
      <c r="L389" t="str">
        <f t="shared" si="61"/>
        <v>Control</v>
      </c>
      <c r="M389" t="s">
        <v>241</v>
      </c>
      <c r="N389" t="s">
        <v>249</v>
      </c>
      <c r="Q389" t="s">
        <v>197</v>
      </c>
      <c r="R389" t="s">
        <v>160</v>
      </c>
      <c r="S389" t="s">
        <v>32</v>
      </c>
      <c r="T389" t="s">
        <v>215</v>
      </c>
      <c r="V389" s="1">
        <v>3.8199999999999998E-8</v>
      </c>
      <c r="W389" s="2"/>
      <c r="X389">
        <f>+AVERAGE(20,40)</f>
        <v>30</v>
      </c>
      <c r="Y389" s="5">
        <v>3</v>
      </c>
      <c r="Z389" t="s">
        <v>74</v>
      </c>
    </row>
    <row r="390" spans="1:26" x14ac:dyDescent="0.25">
      <c r="A390" t="s">
        <v>159</v>
      </c>
      <c r="B390" t="s">
        <v>109</v>
      </c>
      <c r="C390" t="s">
        <v>110</v>
      </c>
      <c r="D390" t="s">
        <v>111</v>
      </c>
      <c r="E390" t="s">
        <v>112</v>
      </c>
      <c r="G390" t="s">
        <v>113</v>
      </c>
      <c r="H390" t="s">
        <v>113</v>
      </c>
      <c r="I390">
        <f>+AVERAGE(4,6)*7</f>
        <v>35</v>
      </c>
      <c r="J390" t="s">
        <v>239</v>
      </c>
      <c r="K390" t="s">
        <v>17</v>
      </c>
      <c r="L390" t="str">
        <f t="shared" si="61"/>
        <v>Control</v>
      </c>
      <c r="M390" t="s">
        <v>240</v>
      </c>
      <c r="N390" t="s">
        <v>249</v>
      </c>
      <c r="Q390" t="s">
        <v>197</v>
      </c>
      <c r="R390" t="s">
        <v>152</v>
      </c>
      <c r="S390" t="s">
        <v>32</v>
      </c>
      <c r="T390" t="s">
        <v>215</v>
      </c>
      <c r="V390" s="1">
        <v>2.3999999999999998E-7</v>
      </c>
      <c r="W390" s="2"/>
      <c r="X390">
        <v>10</v>
      </c>
      <c r="Y390" s="5">
        <v>1</v>
      </c>
      <c r="Z390" t="s">
        <v>74</v>
      </c>
    </row>
    <row r="391" spans="1:26" x14ac:dyDescent="0.25">
      <c r="A391" t="s">
        <v>159</v>
      </c>
      <c r="B391" t="s">
        <v>109</v>
      </c>
      <c r="C391" t="s">
        <v>110</v>
      </c>
      <c r="D391" t="s">
        <v>111</v>
      </c>
      <c r="E391" t="s">
        <v>112</v>
      </c>
      <c r="G391" t="s">
        <v>113</v>
      </c>
      <c r="H391" t="s">
        <v>113</v>
      </c>
      <c r="I391">
        <f>+AVERAGE(4,6)*7</f>
        <v>35</v>
      </c>
      <c r="J391" t="s">
        <v>239</v>
      </c>
      <c r="K391" t="s">
        <v>117</v>
      </c>
      <c r="L391" t="str">
        <f t="shared" si="61"/>
        <v>Stress</v>
      </c>
      <c r="M391" t="s">
        <v>240</v>
      </c>
      <c r="N391" t="s">
        <v>249</v>
      </c>
      <c r="Q391" t="s">
        <v>197</v>
      </c>
      <c r="R391" t="s">
        <v>160</v>
      </c>
      <c r="S391" t="s">
        <v>32</v>
      </c>
      <c r="T391" t="s">
        <v>215</v>
      </c>
      <c r="V391" s="1">
        <v>3.7099999999999995E-8</v>
      </c>
      <c r="W391" s="2"/>
      <c r="X391">
        <f t="shared" ref="X391:X400" si="62">+AVERAGE(20,40)</f>
        <v>30</v>
      </c>
      <c r="Y391" s="5">
        <v>3</v>
      </c>
      <c r="Z391" t="s">
        <v>74</v>
      </c>
    </row>
    <row r="392" spans="1:26" x14ac:dyDescent="0.25">
      <c r="A392" t="s">
        <v>159</v>
      </c>
      <c r="B392" t="s">
        <v>109</v>
      </c>
      <c r="C392" t="s">
        <v>110</v>
      </c>
      <c r="D392" t="s">
        <v>111</v>
      </c>
      <c r="E392" t="s">
        <v>112</v>
      </c>
      <c r="G392" t="s">
        <v>113</v>
      </c>
      <c r="H392" t="s">
        <v>113</v>
      </c>
      <c r="I392">
        <f>+AVERAGE(6,12)*30</f>
        <v>270</v>
      </c>
      <c r="J392" t="s">
        <v>239</v>
      </c>
      <c r="K392" t="s">
        <v>117</v>
      </c>
      <c r="L392" t="str">
        <f t="shared" si="61"/>
        <v>Stress</v>
      </c>
      <c r="M392" t="s">
        <v>241</v>
      </c>
      <c r="N392" t="s">
        <v>249</v>
      </c>
      <c r="Q392" t="s">
        <v>197</v>
      </c>
      <c r="R392" t="s">
        <v>160</v>
      </c>
      <c r="S392" t="s">
        <v>32</v>
      </c>
      <c r="T392" t="s">
        <v>215</v>
      </c>
      <c r="V392" s="1">
        <v>4.2699999999999999E-8</v>
      </c>
      <c r="W392" s="2"/>
      <c r="X392">
        <f t="shared" si="62"/>
        <v>30</v>
      </c>
      <c r="Y392" s="5">
        <v>3</v>
      </c>
      <c r="Z392" t="s">
        <v>74</v>
      </c>
    </row>
    <row r="393" spans="1:26" x14ac:dyDescent="0.25">
      <c r="A393" t="s">
        <v>159</v>
      </c>
      <c r="B393" t="s">
        <v>109</v>
      </c>
      <c r="C393" t="s">
        <v>110</v>
      </c>
      <c r="D393" t="s">
        <v>111</v>
      </c>
      <c r="E393" t="s">
        <v>112</v>
      </c>
      <c r="G393" t="s">
        <v>113</v>
      </c>
      <c r="H393" t="s">
        <v>113</v>
      </c>
      <c r="I393">
        <f>+AVERAGE(4,6)*7</f>
        <v>35</v>
      </c>
      <c r="J393" t="s">
        <v>239</v>
      </c>
      <c r="K393" t="s">
        <v>117</v>
      </c>
      <c r="L393" t="str">
        <f t="shared" si="61"/>
        <v>Stress</v>
      </c>
      <c r="M393" t="s">
        <v>240</v>
      </c>
      <c r="N393" t="s">
        <v>249</v>
      </c>
      <c r="Q393" t="s">
        <v>197</v>
      </c>
      <c r="R393" t="s">
        <v>152</v>
      </c>
      <c r="S393" t="s">
        <v>32</v>
      </c>
      <c r="T393" t="s">
        <v>215</v>
      </c>
      <c r="V393" s="1">
        <v>1.1700000000000001E-8</v>
      </c>
      <c r="W393" s="2"/>
      <c r="X393">
        <v>10</v>
      </c>
      <c r="Y393" s="5">
        <v>1</v>
      </c>
      <c r="Z393" t="s">
        <v>74</v>
      </c>
    </row>
    <row r="394" spans="1:26" x14ac:dyDescent="0.25">
      <c r="A394" t="s">
        <v>159</v>
      </c>
      <c r="B394" t="s">
        <v>109</v>
      </c>
      <c r="C394" t="s">
        <v>110</v>
      </c>
      <c r="D394" t="s">
        <v>111</v>
      </c>
      <c r="E394" t="s">
        <v>112</v>
      </c>
      <c r="G394" t="s">
        <v>113</v>
      </c>
      <c r="H394" t="s">
        <v>113</v>
      </c>
      <c r="I394">
        <f>+AVERAGE(4,6)*7</f>
        <v>35</v>
      </c>
      <c r="J394" t="s">
        <v>239</v>
      </c>
      <c r="K394" t="s">
        <v>117</v>
      </c>
      <c r="L394" t="str">
        <f t="shared" si="61"/>
        <v>Stress</v>
      </c>
      <c r="M394" t="s">
        <v>240</v>
      </c>
      <c r="N394" t="s">
        <v>249</v>
      </c>
      <c r="Q394" t="s">
        <v>197</v>
      </c>
      <c r="R394" t="s">
        <v>160</v>
      </c>
      <c r="S394" t="s">
        <v>32</v>
      </c>
      <c r="T394" t="s">
        <v>215</v>
      </c>
      <c r="V394" s="1">
        <v>2.3199999999999999E-8</v>
      </c>
      <c r="W394" s="2"/>
      <c r="X394">
        <f t="shared" ref="X394:X395" si="63">+AVERAGE(20,40)</f>
        <v>30</v>
      </c>
      <c r="Y394" s="5">
        <v>3</v>
      </c>
      <c r="Z394" t="s">
        <v>74</v>
      </c>
    </row>
    <row r="395" spans="1:26" x14ac:dyDescent="0.25">
      <c r="A395" t="s">
        <v>159</v>
      </c>
      <c r="B395" t="s">
        <v>109</v>
      </c>
      <c r="C395" t="s">
        <v>110</v>
      </c>
      <c r="D395" t="s">
        <v>111</v>
      </c>
      <c r="E395" t="s">
        <v>112</v>
      </c>
      <c r="G395" t="s">
        <v>113</v>
      </c>
      <c r="H395" t="s">
        <v>113</v>
      </c>
      <c r="I395">
        <f>+AVERAGE(6,12)*30</f>
        <v>270</v>
      </c>
      <c r="J395" t="s">
        <v>239</v>
      </c>
      <c r="K395" t="s">
        <v>117</v>
      </c>
      <c r="L395" t="str">
        <f t="shared" si="61"/>
        <v>Stress</v>
      </c>
      <c r="M395" t="s">
        <v>241</v>
      </c>
      <c r="N395" t="s">
        <v>249</v>
      </c>
      <c r="Q395" t="s">
        <v>197</v>
      </c>
      <c r="R395" t="s">
        <v>160</v>
      </c>
      <c r="S395" t="s">
        <v>32</v>
      </c>
      <c r="T395" t="s">
        <v>215</v>
      </c>
      <c r="V395" s="1">
        <v>3.2199999999999997E-8</v>
      </c>
      <c r="W395" s="2"/>
      <c r="X395">
        <f t="shared" si="63"/>
        <v>30</v>
      </c>
      <c r="Y395" s="5">
        <v>3</v>
      </c>
      <c r="Z395" t="s">
        <v>74</v>
      </c>
    </row>
    <row r="396" spans="1:26" x14ac:dyDescent="0.25">
      <c r="A396" t="s">
        <v>159</v>
      </c>
      <c r="B396" t="s">
        <v>109</v>
      </c>
      <c r="C396" t="s">
        <v>110</v>
      </c>
      <c r="D396" t="s">
        <v>111</v>
      </c>
      <c r="E396" t="s">
        <v>112</v>
      </c>
      <c r="G396" t="s">
        <v>113</v>
      </c>
      <c r="H396" t="s">
        <v>113</v>
      </c>
      <c r="I396">
        <f>+AVERAGE(4,6)*7</f>
        <v>35</v>
      </c>
      <c r="J396" t="s">
        <v>239</v>
      </c>
      <c r="K396" t="s">
        <v>17</v>
      </c>
      <c r="L396" t="str">
        <f t="shared" si="61"/>
        <v>Control</v>
      </c>
      <c r="M396" t="s">
        <v>240</v>
      </c>
      <c r="N396" t="s">
        <v>249</v>
      </c>
      <c r="Q396" t="s">
        <v>197</v>
      </c>
      <c r="R396" t="s">
        <v>160</v>
      </c>
      <c r="S396" t="s">
        <v>32</v>
      </c>
      <c r="T396" t="s">
        <v>215</v>
      </c>
      <c r="V396" s="1">
        <f>'[36]North&amp;Nobel_1991_Fig1'!B2</f>
        <v>2.1402616279069699E-7</v>
      </c>
      <c r="W396" s="2"/>
      <c r="X396">
        <f t="shared" si="62"/>
        <v>30</v>
      </c>
      <c r="Y396" s="5">
        <v>3</v>
      </c>
      <c r="Z396" t="s">
        <v>52</v>
      </c>
    </row>
    <row r="397" spans="1:26" x14ac:dyDescent="0.25">
      <c r="A397" t="s">
        <v>159</v>
      </c>
      <c r="B397" t="s">
        <v>109</v>
      </c>
      <c r="C397" t="s">
        <v>110</v>
      </c>
      <c r="D397" t="s">
        <v>111</v>
      </c>
      <c r="E397" t="s">
        <v>112</v>
      </c>
      <c r="G397" t="s">
        <v>113</v>
      </c>
      <c r="H397" t="s">
        <v>113</v>
      </c>
      <c r="I397">
        <f>+AVERAGE(6,12)*30</f>
        <v>270</v>
      </c>
      <c r="J397" t="s">
        <v>239</v>
      </c>
      <c r="K397" t="s">
        <v>17</v>
      </c>
      <c r="L397" t="str">
        <f t="shared" si="61"/>
        <v>Control</v>
      </c>
      <c r="M397" t="s">
        <v>241</v>
      </c>
      <c r="N397" t="s">
        <v>249</v>
      </c>
      <c r="Q397" t="s">
        <v>197</v>
      </c>
      <c r="R397" t="s">
        <v>160</v>
      </c>
      <c r="S397" t="s">
        <v>32</v>
      </c>
      <c r="T397" t="s">
        <v>215</v>
      </c>
      <c r="V397" s="1">
        <f>'[36]North&amp;Nobel_1991_Fig1'!B3</f>
        <v>3.7063953488372101E-8</v>
      </c>
      <c r="W397" s="2"/>
      <c r="X397">
        <f t="shared" si="62"/>
        <v>30</v>
      </c>
      <c r="Y397" s="5">
        <v>1</v>
      </c>
      <c r="Z397" t="s">
        <v>52</v>
      </c>
    </row>
    <row r="398" spans="1:26" x14ac:dyDescent="0.25">
      <c r="A398" t="s">
        <v>159</v>
      </c>
      <c r="B398" t="s">
        <v>109</v>
      </c>
      <c r="C398" t="s">
        <v>110</v>
      </c>
      <c r="D398" t="s">
        <v>111</v>
      </c>
      <c r="E398" t="s">
        <v>112</v>
      </c>
      <c r="G398" t="s">
        <v>113</v>
      </c>
      <c r="H398" t="s">
        <v>113</v>
      </c>
      <c r="I398">
        <f>+AVERAGE(4,6)*7</f>
        <v>35</v>
      </c>
      <c r="J398" t="s">
        <v>239</v>
      </c>
      <c r="K398" t="s">
        <v>17</v>
      </c>
      <c r="L398" t="str">
        <f t="shared" si="61"/>
        <v>Control</v>
      </c>
      <c r="M398" t="s">
        <v>240</v>
      </c>
      <c r="N398" t="s">
        <v>249</v>
      </c>
      <c r="Q398" t="s">
        <v>197</v>
      </c>
      <c r="R398" t="s">
        <v>152</v>
      </c>
      <c r="S398" t="s">
        <v>32</v>
      </c>
      <c r="T398" t="s">
        <v>215</v>
      </c>
      <c r="V398" s="1">
        <f>'[36]North&amp;Nobel_1991_Fig1'!B4</f>
        <v>1.9949127906976701E-7</v>
      </c>
      <c r="W398" s="2"/>
      <c r="X398">
        <v>10</v>
      </c>
      <c r="Y398" s="5">
        <v>3</v>
      </c>
      <c r="Z398" t="s">
        <v>52</v>
      </c>
    </row>
    <row r="399" spans="1:26" x14ac:dyDescent="0.25">
      <c r="A399" t="s">
        <v>159</v>
      </c>
      <c r="B399" t="s">
        <v>109</v>
      </c>
      <c r="C399" t="s">
        <v>110</v>
      </c>
      <c r="D399" t="s">
        <v>111</v>
      </c>
      <c r="E399" t="s">
        <v>112</v>
      </c>
      <c r="G399" t="s">
        <v>113</v>
      </c>
      <c r="H399" t="s">
        <v>113</v>
      </c>
      <c r="I399">
        <f>+AVERAGE(4,6)*7</f>
        <v>35</v>
      </c>
      <c r="J399" t="s">
        <v>239</v>
      </c>
      <c r="K399" t="s">
        <v>117</v>
      </c>
      <c r="L399" t="str">
        <f t="shared" si="61"/>
        <v>Stress</v>
      </c>
      <c r="M399" t="s">
        <v>240</v>
      </c>
      <c r="N399" t="s">
        <v>249</v>
      </c>
      <c r="Q399" t="s">
        <v>197</v>
      </c>
      <c r="R399" t="s">
        <v>160</v>
      </c>
      <c r="S399" t="s">
        <v>32</v>
      </c>
      <c r="T399" t="s">
        <v>215</v>
      </c>
      <c r="V399" s="1">
        <f>'[36]North&amp;Nobel_1991_Fig1'!B5</f>
        <v>1.9985465116279101E-8</v>
      </c>
      <c r="W399" s="2"/>
      <c r="X399">
        <f t="shared" si="62"/>
        <v>30</v>
      </c>
      <c r="Y399" s="5">
        <v>3</v>
      </c>
      <c r="Z399" t="s">
        <v>52</v>
      </c>
    </row>
    <row r="400" spans="1:26" x14ac:dyDescent="0.25">
      <c r="A400" t="s">
        <v>159</v>
      </c>
      <c r="B400" t="s">
        <v>109</v>
      </c>
      <c r="C400" t="s">
        <v>110</v>
      </c>
      <c r="D400" t="s">
        <v>111</v>
      </c>
      <c r="E400" t="s">
        <v>112</v>
      </c>
      <c r="G400" t="s">
        <v>113</v>
      </c>
      <c r="H400" t="s">
        <v>113</v>
      </c>
      <c r="I400">
        <f>+AVERAGE(6,12)*30</f>
        <v>270</v>
      </c>
      <c r="J400" t="s">
        <v>239</v>
      </c>
      <c r="K400" t="s">
        <v>117</v>
      </c>
      <c r="L400" t="str">
        <f t="shared" si="61"/>
        <v>Stress</v>
      </c>
      <c r="M400" t="s">
        <v>241</v>
      </c>
      <c r="N400" t="s">
        <v>249</v>
      </c>
      <c r="Q400" t="s">
        <v>197</v>
      </c>
      <c r="R400" t="s">
        <v>160</v>
      </c>
      <c r="S400" t="s">
        <v>32</v>
      </c>
      <c r="T400" t="s">
        <v>215</v>
      </c>
      <c r="V400" s="1">
        <f>'[36]North&amp;Nobel_1991_Fig1'!B6</f>
        <v>3.1249999999999999E-8</v>
      </c>
      <c r="W400" s="2"/>
      <c r="X400">
        <f t="shared" si="62"/>
        <v>30</v>
      </c>
      <c r="Y400" s="5">
        <v>1</v>
      </c>
      <c r="Z400" t="s">
        <v>52</v>
      </c>
    </row>
    <row r="401" spans="1:26" x14ac:dyDescent="0.25">
      <c r="A401" t="s">
        <v>159</v>
      </c>
      <c r="B401" t="s">
        <v>109</v>
      </c>
      <c r="C401" t="s">
        <v>110</v>
      </c>
      <c r="D401" t="s">
        <v>111</v>
      </c>
      <c r="E401" t="s">
        <v>112</v>
      </c>
      <c r="G401" t="s">
        <v>113</v>
      </c>
      <c r="H401" t="s">
        <v>113</v>
      </c>
      <c r="I401">
        <f>+AVERAGE(4,6)*7</f>
        <v>35</v>
      </c>
      <c r="J401" t="s">
        <v>239</v>
      </c>
      <c r="K401" t="s">
        <v>117</v>
      </c>
      <c r="L401" t="str">
        <f t="shared" si="61"/>
        <v>Stress</v>
      </c>
      <c r="M401" t="s">
        <v>240</v>
      </c>
      <c r="N401" t="s">
        <v>249</v>
      </c>
      <c r="Q401" t="s">
        <v>197</v>
      </c>
      <c r="R401" t="s">
        <v>152</v>
      </c>
      <c r="S401" t="s">
        <v>32</v>
      </c>
      <c r="T401" t="s">
        <v>215</v>
      </c>
      <c r="V401" s="1">
        <f>'[36]North&amp;Nobel_1991_Fig1'!B7</f>
        <v>3.6337209302329599E-10</v>
      </c>
      <c r="W401" s="2"/>
      <c r="X401">
        <v>10</v>
      </c>
      <c r="Y401" s="5">
        <v>3</v>
      </c>
      <c r="Z401" t="s">
        <v>52</v>
      </c>
    </row>
    <row r="402" spans="1:26" x14ac:dyDescent="0.25">
      <c r="A402" t="s">
        <v>161</v>
      </c>
      <c r="B402" t="s">
        <v>162</v>
      </c>
      <c r="C402" t="s">
        <v>163</v>
      </c>
      <c r="D402" t="s">
        <v>125</v>
      </c>
      <c r="E402" t="s">
        <v>112</v>
      </c>
      <c r="G402" t="s">
        <v>113</v>
      </c>
      <c r="H402" t="s">
        <v>113</v>
      </c>
      <c r="I402">
        <f>+AVERAGE(1,3)*7</f>
        <v>14</v>
      </c>
      <c r="Q402" t="s">
        <v>197</v>
      </c>
      <c r="R402" t="s">
        <v>178</v>
      </c>
      <c r="S402" t="s">
        <v>32</v>
      </c>
      <c r="T402" t="s">
        <v>215</v>
      </c>
      <c r="V402" s="1">
        <f>'[37]Lopez&amp;Nobel_1991_Fig2a'!B2</f>
        <v>1.1902439024390201E-7</v>
      </c>
      <c r="Z402" t="s">
        <v>52</v>
      </c>
    </row>
    <row r="403" spans="1:26" x14ac:dyDescent="0.25">
      <c r="A403" t="s">
        <v>161</v>
      </c>
      <c r="B403" t="s">
        <v>162</v>
      </c>
      <c r="C403" t="s">
        <v>163</v>
      </c>
      <c r="D403" t="s">
        <v>125</v>
      </c>
      <c r="E403" t="s">
        <v>112</v>
      </c>
      <c r="G403" t="s">
        <v>113</v>
      </c>
      <c r="H403" t="s">
        <v>113</v>
      </c>
      <c r="I403">
        <f>+AVERAGE(4,6)*7</f>
        <v>35</v>
      </c>
      <c r="Q403" t="s">
        <v>197</v>
      </c>
      <c r="R403" t="s">
        <v>178</v>
      </c>
      <c r="S403" t="s">
        <v>32</v>
      </c>
      <c r="T403" t="s">
        <v>215</v>
      </c>
      <c r="V403" s="1">
        <f>'[37]Lopez&amp;Nobel_1991_Fig2a'!B3</f>
        <v>1.9902439024390201E-7</v>
      </c>
      <c r="Z403" t="s">
        <v>52</v>
      </c>
    </row>
    <row r="404" spans="1:26" x14ac:dyDescent="0.25">
      <c r="A404" t="s">
        <v>161</v>
      </c>
      <c r="B404" t="s">
        <v>162</v>
      </c>
      <c r="C404" t="s">
        <v>163</v>
      </c>
      <c r="D404" t="s">
        <v>125</v>
      </c>
      <c r="E404" t="s">
        <v>112</v>
      </c>
      <c r="G404" t="s">
        <v>113</v>
      </c>
      <c r="H404" t="s">
        <v>113</v>
      </c>
      <c r="I404">
        <f>+AVERAGE(7,10)*7</f>
        <v>59.5</v>
      </c>
      <c r="Q404" t="s">
        <v>197</v>
      </c>
      <c r="R404" t="s">
        <v>178</v>
      </c>
      <c r="S404" t="s">
        <v>32</v>
      </c>
      <c r="T404" t="s">
        <v>215</v>
      </c>
      <c r="V404" s="1">
        <f>'[37]Lopez&amp;Nobel_1991_Fig2a'!B4</f>
        <v>2.6048780487804801E-7</v>
      </c>
      <c r="Z404" t="s">
        <v>52</v>
      </c>
    </row>
    <row r="405" spans="1:26" x14ac:dyDescent="0.25">
      <c r="A405" t="s">
        <v>161</v>
      </c>
      <c r="B405" t="s">
        <v>162</v>
      </c>
      <c r="C405" t="s">
        <v>163</v>
      </c>
      <c r="D405" t="s">
        <v>125</v>
      </c>
      <c r="E405" t="s">
        <v>112</v>
      </c>
      <c r="G405" t="s">
        <v>113</v>
      </c>
      <c r="H405" t="s">
        <v>113</v>
      </c>
      <c r="I405">
        <f>+AVERAGE(11,17)*7</f>
        <v>98</v>
      </c>
      <c r="Q405" t="s">
        <v>197</v>
      </c>
      <c r="R405" t="s">
        <v>178</v>
      </c>
      <c r="S405" t="s">
        <v>32</v>
      </c>
      <c r="T405" t="s">
        <v>215</v>
      </c>
      <c r="V405" s="1">
        <f>'[37]Lopez&amp;Nobel_1991_Fig2a'!B5</f>
        <v>3.8926829268292602E-7</v>
      </c>
      <c r="Z405" t="s">
        <v>52</v>
      </c>
    </row>
    <row r="406" spans="1:26" x14ac:dyDescent="0.25">
      <c r="A406" t="s">
        <v>161</v>
      </c>
      <c r="B406" t="s">
        <v>162</v>
      </c>
      <c r="C406" t="s">
        <v>163</v>
      </c>
      <c r="D406" t="s">
        <v>125</v>
      </c>
      <c r="E406" t="s">
        <v>112</v>
      </c>
      <c r="G406" t="s">
        <v>113</v>
      </c>
      <c r="H406" t="s">
        <v>113</v>
      </c>
      <c r="I406">
        <f>+AVERAGE(18,26)*7</f>
        <v>154</v>
      </c>
      <c r="Q406" t="s">
        <v>197</v>
      </c>
      <c r="R406" t="s">
        <v>178</v>
      </c>
      <c r="S406" t="s">
        <v>32</v>
      </c>
      <c r="T406" t="s">
        <v>215</v>
      </c>
      <c r="V406" s="1">
        <f>'[37]Lopez&amp;Nobel_1991_Fig2a'!B6</f>
        <v>3.4926829268292598E-7</v>
      </c>
      <c r="Z406" t="s">
        <v>52</v>
      </c>
    </row>
    <row r="407" spans="1:26" x14ac:dyDescent="0.25">
      <c r="A407" t="s">
        <v>161</v>
      </c>
      <c r="B407" t="s">
        <v>162</v>
      </c>
      <c r="C407" t="s">
        <v>163</v>
      </c>
      <c r="D407" t="s">
        <v>125</v>
      </c>
      <c r="E407" t="s">
        <v>112</v>
      </c>
      <c r="G407" t="s">
        <v>113</v>
      </c>
      <c r="H407" t="s">
        <v>113</v>
      </c>
      <c r="I407">
        <f>+AVERAGE(27,38)*7</f>
        <v>227.5</v>
      </c>
      <c r="Q407" t="s">
        <v>197</v>
      </c>
      <c r="R407" t="s">
        <v>178</v>
      </c>
      <c r="S407" t="s">
        <v>32</v>
      </c>
      <c r="T407" t="s">
        <v>215</v>
      </c>
      <c r="V407" s="1">
        <f>'[37]Lopez&amp;Nobel_1991_Fig2a'!B7</f>
        <v>3.2000000000000001E-7</v>
      </c>
      <c r="Z407" t="s">
        <v>52</v>
      </c>
    </row>
    <row r="408" spans="1:26" x14ac:dyDescent="0.25">
      <c r="A408" t="s">
        <v>161</v>
      </c>
      <c r="B408" t="s">
        <v>162</v>
      </c>
      <c r="C408" t="s">
        <v>163</v>
      </c>
      <c r="D408" t="s">
        <v>125</v>
      </c>
      <c r="E408" t="s">
        <v>112</v>
      </c>
      <c r="G408" t="s">
        <v>113</v>
      </c>
      <c r="H408" t="s">
        <v>113</v>
      </c>
      <c r="I408">
        <f>+AVERAGE(39,52)*7</f>
        <v>318.5</v>
      </c>
      <c r="Q408" t="s">
        <v>197</v>
      </c>
      <c r="R408" t="s">
        <v>178</v>
      </c>
      <c r="S408" t="s">
        <v>32</v>
      </c>
      <c r="T408" t="s">
        <v>215</v>
      </c>
      <c r="V408" s="1">
        <f>'[37]Lopez&amp;Nobel_1991_Fig2a'!B8</f>
        <v>2.4780487804877999E-7</v>
      </c>
      <c r="Z408" t="s">
        <v>52</v>
      </c>
    </row>
    <row r="409" spans="1:26" x14ac:dyDescent="0.25">
      <c r="A409" t="s">
        <v>161</v>
      </c>
      <c r="B409" t="s">
        <v>162</v>
      </c>
      <c r="C409" t="s">
        <v>163</v>
      </c>
      <c r="D409" t="s">
        <v>125</v>
      </c>
      <c r="E409" t="s">
        <v>112</v>
      </c>
      <c r="G409" t="s">
        <v>113</v>
      </c>
      <c r="H409" t="s">
        <v>113</v>
      </c>
      <c r="I409">
        <f>+AVERAGE(52,78)*7</f>
        <v>455</v>
      </c>
      <c r="Q409" t="s">
        <v>197</v>
      </c>
      <c r="R409" t="s">
        <v>178</v>
      </c>
      <c r="S409" t="s">
        <v>32</v>
      </c>
      <c r="T409" t="s">
        <v>215</v>
      </c>
      <c r="V409" s="1">
        <f>'[37]Lopez&amp;Nobel_1991_Fig2a'!B9</f>
        <v>1.9999999999999999E-7</v>
      </c>
      <c r="Z409" t="s">
        <v>52</v>
      </c>
    </row>
    <row r="410" spans="1:26" x14ac:dyDescent="0.25">
      <c r="A410" t="s">
        <v>161</v>
      </c>
      <c r="B410" t="s">
        <v>142</v>
      </c>
      <c r="C410" t="s">
        <v>124</v>
      </c>
      <c r="D410" t="s">
        <v>125</v>
      </c>
      <c r="E410" t="s">
        <v>112</v>
      </c>
      <c r="G410" t="s">
        <v>113</v>
      </c>
      <c r="H410" t="s">
        <v>113</v>
      </c>
      <c r="I410">
        <f>+AVERAGE(1,3)*7</f>
        <v>14</v>
      </c>
      <c r="Q410" t="s">
        <v>197</v>
      </c>
      <c r="R410" t="s">
        <v>178</v>
      </c>
      <c r="S410" t="s">
        <v>32</v>
      </c>
      <c r="T410" t="s">
        <v>215</v>
      </c>
      <c r="V410" s="1">
        <f>'[38]Lopez&amp;Nobel_1991_Fig2b'!B2</f>
        <v>9.8780487804878005E-8</v>
      </c>
      <c r="Z410" t="s">
        <v>52</v>
      </c>
    </row>
    <row r="411" spans="1:26" x14ac:dyDescent="0.25">
      <c r="A411" t="s">
        <v>161</v>
      </c>
      <c r="B411" t="s">
        <v>142</v>
      </c>
      <c r="C411" t="s">
        <v>124</v>
      </c>
      <c r="D411" t="s">
        <v>125</v>
      </c>
      <c r="E411" t="s">
        <v>112</v>
      </c>
      <c r="G411" t="s">
        <v>113</v>
      </c>
      <c r="H411" t="s">
        <v>113</v>
      </c>
      <c r="I411">
        <f>+AVERAGE(4,6)*7</f>
        <v>35</v>
      </c>
      <c r="Q411" t="s">
        <v>197</v>
      </c>
      <c r="R411" t="s">
        <v>178</v>
      </c>
      <c r="S411" t="s">
        <v>32</v>
      </c>
      <c r="T411" t="s">
        <v>215</v>
      </c>
      <c r="V411" s="1">
        <f>'[38]Lopez&amp;Nobel_1991_Fig2b'!B3</f>
        <v>2.8902439024390199E-7</v>
      </c>
      <c r="Z411" t="s">
        <v>52</v>
      </c>
    </row>
    <row r="412" spans="1:26" x14ac:dyDescent="0.25">
      <c r="A412" t="s">
        <v>161</v>
      </c>
      <c r="B412" t="s">
        <v>142</v>
      </c>
      <c r="C412" t="s">
        <v>124</v>
      </c>
      <c r="D412" t="s">
        <v>125</v>
      </c>
      <c r="E412" t="s">
        <v>112</v>
      </c>
      <c r="G412" t="s">
        <v>113</v>
      </c>
      <c r="H412" t="s">
        <v>113</v>
      </c>
      <c r="I412">
        <f>+AVERAGE(7,10)*7</f>
        <v>59.5</v>
      </c>
      <c r="Q412" t="s">
        <v>197</v>
      </c>
      <c r="R412" t="s">
        <v>178</v>
      </c>
      <c r="S412" t="s">
        <v>32</v>
      </c>
      <c r="T412" t="s">
        <v>215</v>
      </c>
      <c r="V412" s="1">
        <f>'[38]Lopez&amp;Nobel_1991_Fig2b'!B4</f>
        <v>3.28048780487804E-7</v>
      </c>
      <c r="Z412" t="s">
        <v>52</v>
      </c>
    </row>
    <row r="413" spans="1:26" x14ac:dyDescent="0.25">
      <c r="A413" t="s">
        <v>161</v>
      </c>
      <c r="B413" t="s">
        <v>142</v>
      </c>
      <c r="C413" t="s">
        <v>124</v>
      </c>
      <c r="D413" t="s">
        <v>125</v>
      </c>
      <c r="E413" t="s">
        <v>112</v>
      </c>
      <c r="G413" t="s">
        <v>113</v>
      </c>
      <c r="H413" t="s">
        <v>113</v>
      </c>
      <c r="I413">
        <f>+AVERAGE(11,17)*7</f>
        <v>98</v>
      </c>
      <c r="Q413" t="s">
        <v>197</v>
      </c>
      <c r="R413" t="s">
        <v>178</v>
      </c>
      <c r="S413" t="s">
        <v>32</v>
      </c>
      <c r="T413" t="s">
        <v>215</v>
      </c>
      <c r="V413" s="1">
        <f>'[38]Lopez&amp;Nobel_1991_Fig2b'!B5</f>
        <v>5.1585365853658503E-7</v>
      </c>
      <c r="Z413" t="s">
        <v>52</v>
      </c>
    </row>
    <row r="414" spans="1:26" x14ac:dyDescent="0.25">
      <c r="A414" t="s">
        <v>161</v>
      </c>
      <c r="B414" t="s">
        <v>142</v>
      </c>
      <c r="C414" t="s">
        <v>124</v>
      </c>
      <c r="D414" t="s">
        <v>125</v>
      </c>
      <c r="E414" t="s">
        <v>112</v>
      </c>
      <c r="G414" t="s">
        <v>113</v>
      </c>
      <c r="H414" t="s">
        <v>113</v>
      </c>
      <c r="I414">
        <f>+AVERAGE(18,26)*7</f>
        <v>154</v>
      </c>
      <c r="Q414" t="s">
        <v>197</v>
      </c>
      <c r="R414" t="s">
        <v>178</v>
      </c>
      <c r="S414" t="s">
        <v>32</v>
      </c>
      <c r="T414" t="s">
        <v>215</v>
      </c>
      <c r="V414" s="1">
        <f>'[38]Lopez&amp;Nobel_1991_Fig2b'!B6</f>
        <v>4.7195121951219502E-7</v>
      </c>
      <c r="Z414" t="s">
        <v>52</v>
      </c>
    </row>
    <row r="415" spans="1:26" x14ac:dyDescent="0.25">
      <c r="A415" t="s">
        <v>161</v>
      </c>
      <c r="B415" t="s">
        <v>142</v>
      </c>
      <c r="C415" t="s">
        <v>124</v>
      </c>
      <c r="D415" t="s">
        <v>125</v>
      </c>
      <c r="E415" t="s">
        <v>112</v>
      </c>
      <c r="G415" t="s">
        <v>113</v>
      </c>
      <c r="H415" t="s">
        <v>113</v>
      </c>
      <c r="I415">
        <f>+AVERAGE(27,38)*7</f>
        <v>227.5</v>
      </c>
      <c r="Q415" t="s">
        <v>197</v>
      </c>
      <c r="R415" t="s">
        <v>178</v>
      </c>
      <c r="S415" t="s">
        <v>32</v>
      </c>
      <c r="T415" t="s">
        <v>215</v>
      </c>
      <c r="V415" s="1">
        <f>'[38]Lopez&amp;Nobel_1991_Fig2b'!B7</f>
        <v>2.58536585365853E-7</v>
      </c>
      <c r="Z415" t="s">
        <v>52</v>
      </c>
    </row>
    <row r="416" spans="1:26" x14ac:dyDescent="0.25">
      <c r="A416" t="s">
        <v>161</v>
      </c>
      <c r="B416" t="s">
        <v>142</v>
      </c>
      <c r="C416" t="s">
        <v>124</v>
      </c>
      <c r="D416" t="s">
        <v>125</v>
      </c>
      <c r="E416" t="s">
        <v>112</v>
      </c>
      <c r="G416" t="s">
        <v>113</v>
      </c>
      <c r="H416" t="s">
        <v>113</v>
      </c>
      <c r="I416">
        <f>+AVERAGE(39,52)*7</f>
        <v>318.5</v>
      </c>
      <c r="Q416" t="s">
        <v>197</v>
      </c>
      <c r="R416" t="s">
        <v>178</v>
      </c>
      <c r="S416" t="s">
        <v>32</v>
      </c>
      <c r="T416" t="s">
        <v>215</v>
      </c>
      <c r="V416" s="1">
        <f>'[38]Lopez&amp;Nobel_1991_Fig2b'!B8</f>
        <v>1.08536585365853E-7</v>
      </c>
      <c r="Z416" t="s">
        <v>52</v>
      </c>
    </row>
    <row r="417" spans="1:26" x14ac:dyDescent="0.25">
      <c r="A417" t="s">
        <v>164</v>
      </c>
      <c r="B417" t="s">
        <v>20</v>
      </c>
      <c r="C417" t="s">
        <v>21</v>
      </c>
      <c r="D417" t="s">
        <v>12</v>
      </c>
      <c r="E417" t="s">
        <v>15</v>
      </c>
      <c r="F417" t="s">
        <v>16</v>
      </c>
      <c r="G417" t="s">
        <v>16</v>
      </c>
      <c r="H417" t="s">
        <v>247</v>
      </c>
      <c r="I417">
        <f>+AVERAGE(2,13)</f>
        <v>7.5</v>
      </c>
      <c r="J417" t="s">
        <v>205</v>
      </c>
      <c r="K417" t="s">
        <v>17</v>
      </c>
      <c r="L417" t="str">
        <f t="shared" ref="L417:L446" si="64">+IF(K417="Control","Control","Stress")</f>
        <v>Control</v>
      </c>
      <c r="M417" t="s">
        <v>17</v>
      </c>
      <c r="N417" t="str">
        <f t="shared" ref="N417:N444" si="65">+IF(M417="Control", "Control", "Stress")</f>
        <v>Control</v>
      </c>
      <c r="Q417" t="s">
        <v>198</v>
      </c>
      <c r="R417" t="s">
        <v>116</v>
      </c>
      <c r="S417" t="s">
        <v>27</v>
      </c>
      <c r="T417" t="s">
        <v>215</v>
      </c>
      <c r="V417" s="1">
        <v>1.1000000000000001E-7</v>
      </c>
      <c r="Y417">
        <v>1.1000000000000001</v>
      </c>
      <c r="Z417" t="s">
        <v>22</v>
      </c>
    </row>
    <row r="418" spans="1:26" x14ac:dyDescent="0.25">
      <c r="A418" t="s">
        <v>164</v>
      </c>
      <c r="B418" t="s">
        <v>20</v>
      </c>
      <c r="C418" t="s">
        <v>21</v>
      </c>
      <c r="D418" t="s">
        <v>12</v>
      </c>
      <c r="E418" t="s">
        <v>15</v>
      </c>
      <c r="F418" t="s">
        <v>16</v>
      </c>
      <c r="G418" t="s">
        <v>16</v>
      </c>
      <c r="H418" t="s">
        <v>247</v>
      </c>
      <c r="I418">
        <f t="shared" ref="I418:I440" si="66">+AVERAGE(2,13)</f>
        <v>7.5</v>
      </c>
      <c r="J418" t="s">
        <v>205</v>
      </c>
      <c r="K418" t="s">
        <v>17</v>
      </c>
      <c r="L418" t="str">
        <f t="shared" si="64"/>
        <v>Control</v>
      </c>
      <c r="M418" t="s">
        <v>17</v>
      </c>
      <c r="N418" t="str">
        <f t="shared" si="65"/>
        <v>Control</v>
      </c>
      <c r="Q418" t="s">
        <v>197</v>
      </c>
      <c r="R418" t="s">
        <v>116</v>
      </c>
      <c r="S418" t="s">
        <v>27</v>
      </c>
      <c r="T418" t="s">
        <v>215</v>
      </c>
      <c r="V418" s="1">
        <v>2.7999999999999997E-7</v>
      </c>
      <c r="Y418">
        <v>1.1000000000000001</v>
      </c>
      <c r="Z418" t="s">
        <v>22</v>
      </c>
    </row>
    <row r="419" spans="1:26" x14ac:dyDescent="0.25">
      <c r="A419" t="s">
        <v>164</v>
      </c>
      <c r="B419" t="s">
        <v>20</v>
      </c>
      <c r="C419" t="s">
        <v>21</v>
      </c>
      <c r="D419" t="s">
        <v>12</v>
      </c>
      <c r="E419" t="s">
        <v>15</v>
      </c>
      <c r="F419" t="s">
        <v>16</v>
      </c>
      <c r="G419" t="s">
        <v>16</v>
      </c>
      <c r="H419" t="s">
        <v>247</v>
      </c>
      <c r="I419">
        <f t="shared" si="66"/>
        <v>7.5</v>
      </c>
      <c r="J419" t="s">
        <v>205</v>
      </c>
      <c r="K419" t="s">
        <v>17</v>
      </c>
      <c r="L419" t="str">
        <f t="shared" si="64"/>
        <v>Control</v>
      </c>
      <c r="M419" t="s">
        <v>17</v>
      </c>
      <c r="N419" t="str">
        <f t="shared" si="65"/>
        <v>Control</v>
      </c>
      <c r="Q419" t="s">
        <v>199</v>
      </c>
      <c r="R419" t="s">
        <v>116</v>
      </c>
      <c r="S419" t="s">
        <v>27</v>
      </c>
      <c r="T419" t="s">
        <v>215</v>
      </c>
      <c r="V419" s="1">
        <v>6.1999999999999999E-7</v>
      </c>
      <c r="Y419">
        <v>1.1000000000000001</v>
      </c>
      <c r="Z419" t="s">
        <v>22</v>
      </c>
    </row>
    <row r="420" spans="1:26" x14ac:dyDescent="0.25">
      <c r="A420" t="s">
        <v>164</v>
      </c>
      <c r="B420" t="s">
        <v>20</v>
      </c>
      <c r="C420" t="s">
        <v>21</v>
      </c>
      <c r="D420" t="s">
        <v>12</v>
      </c>
      <c r="E420" t="s">
        <v>15</v>
      </c>
      <c r="F420" t="s">
        <v>16</v>
      </c>
      <c r="G420" t="s">
        <v>16</v>
      </c>
      <c r="H420" t="s">
        <v>247</v>
      </c>
      <c r="I420">
        <f t="shared" si="66"/>
        <v>7.5</v>
      </c>
      <c r="J420" t="s">
        <v>205</v>
      </c>
      <c r="K420" t="s">
        <v>46</v>
      </c>
      <c r="L420" t="str">
        <f t="shared" si="64"/>
        <v>Stress</v>
      </c>
      <c r="M420" t="s">
        <v>17</v>
      </c>
      <c r="N420" t="str">
        <f t="shared" si="65"/>
        <v>Control</v>
      </c>
      <c r="Q420" t="s">
        <v>198</v>
      </c>
      <c r="R420" t="s">
        <v>116</v>
      </c>
      <c r="S420" t="s">
        <v>27</v>
      </c>
      <c r="T420" t="s">
        <v>215</v>
      </c>
      <c r="V420" s="1">
        <v>1.1999999999999999E-7</v>
      </c>
      <c r="Y420">
        <v>1</v>
      </c>
      <c r="Z420" t="s">
        <v>22</v>
      </c>
    </row>
    <row r="421" spans="1:26" x14ac:dyDescent="0.25">
      <c r="A421" t="s">
        <v>164</v>
      </c>
      <c r="B421" t="s">
        <v>20</v>
      </c>
      <c r="C421" t="s">
        <v>21</v>
      </c>
      <c r="D421" t="s">
        <v>12</v>
      </c>
      <c r="E421" t="s">
        <v>15</v>
      </c>
      <c r="F421" t="s">
        <v>16</v>
      </c>
      <c r="G421" t="s">
        <v>16</v>
      </c>
      <c r="H421" t="s">
        <v>247</v>
      </c>
      <c r="I421">
        <f t="shared" si="66"/>
        <v>7.5</v>
      </c>
      <c r="J421" t="s">
        <v>205</v>
      </c>
      <c r="K421" t="s">
        <v>46</v>
      </c>
      <c r="L421" t="str">
        <f t="shared" si="64"/>
        <v>Stress</v>
      </c>
      <c r="M421" t="s">
        <v>17</v>
      </c>
      <c r="N421" t="str">
        <f t="shared" si="65"/>
        <v>Control</v>
      </c>
      <c r="Q421" t="s">
        <v>197</v>
      </c>
      <c r="R421" t="s">
        <v>116</v>
      </c>
      <c r="S421" t="s">
        <v>27</v>
      </c>
      <c r="T421" t="s">
        <v>215</v>
      </c>
      <c r="V421" s="1">
        <v>1.6999999999999999E-7</v>
      </c>
      <c r="Y421">
        <v>1</v>
      </c>
      <c r="Z421" t="s">
        <v>22</v>
      </c>
    </row>
    <row r="422" spans="1:26" x14ac:dyDescent="0.25">
      <c r="A422" t="s">
        <v>164</v>
      </c>
      <c r="B422" t="s">
        <v>20</v>
      </c>
      <c r="C422" t="s">
        <v>21</v>
      </c>
      <c r="D422" t="s">
        <v>12</v>
      </c>
      <c r="E422" t="s">
        <v>15</v>
      </c>
      <c r="F422" t="s">
        <v>16</v>
      </c>
      <c r="G422" t="s">
        <v>16</v>
      </c>
      <c r="H422" t="s">
        <v>247</v>
      </c>
      <c r="I422">
        <f t="shared" si="66"/>
        <v>7.5</v>
      </c>
      <c r="J422" t="s">
        <v>205</v>
      </c>
      <c r="K422" t="s">
        <v>46</v>
      </c>
      <c r="L422" t="str">
        <f t="shared" si="64"/>
        <v>Stress</v>
      </c>
      <c r="M422" t="s">
        <v>17</v>
      </c>
      <c r="N422" t="str">
        <f t="shared" si="65"/>
        <v>Control</v>
      </c>
      <c r="Q422" t="s">
        <v>199</v>
      </c>
      <c r="R422" t="s">
        <v>116</v>
      </c>
      <c r="S422" t="s">
        <v>27</v>
      </c>
      <c r="T422" t="s">
        <v>215</v>
      </c>
      <c r="V422" s="1">
        <v>2.2000000000000001E-7</v>
      </c>
      <c r="Y422">
        <v>1</v>
      </c>
      <c r="Z422" t="s">
        <v>22</v>
      </c>
    </row>
    <row r="423" spans="1:26" x14ac:dyDescent="0.25">
      <c r="A423" t="s">
        <v>164</v>
      </c>
      <c r="B423" t="s">
        <v>20</v>
      </c>
      <c r="C423" t="s">
        <v>21</v>
      </c>
      <c r="D423" t="s">
        <v>12</v>
      </c>
      <c r="E423" t="s">
        <v>15</v>
      </c>
      <c r="F423" t="s">
        <v>16</v>
      </c>
      <c r="G423" t="s">
        <v>16</v>
      </c>
      <c r="H423" t="s">
        <v>247</v>
      </c>
      <c r="I423">
        <f t="shared" si="66"/>
        <v>7.5</v>
      </c>
      <c r="J423" t="s">
        <v>205</v>
      </c>
      <c r="K423" t="s">
        <v>17</v>
      </c>
      <c r="L423" t="str">
        <f t="shared" si="64"/>
        <v>Control</v>
      </c>
      <c r="M423" t="s">
        <v>242</v>
      </c>
      <c r="N423" t="str">
        <f t="shared" si="65"/>
        <v>Stress</v>
      </c>
      <c r="Q423" t="s">
        <v>198</v>
      </c>
      <c r="R423" t="s">
        <v>116</v>
      </c>
      <c r="S423" t="s">
        <v>27</v>
      </c>
      <c r="T423" t="s">
        <v>215</v>
      </c>
      <c r="V423" s="1">
        <v>1.4999999999999999E-7</v>
      </c>
      <c r="Y423">
        <v>0.92</v>
      </c>
      <c r="Z423" t="s">
        <v>22</v>
      </c>
    </row>
    <row r="424" spans="1:26" x14ac:dyDescent="0.25">
      <c r="A424" t="s">
        <v>164</v>
      </c>
      <c r="B424" t="s">
        <v>20</v>
      </c>
      <c r="C424" t="s">
        <v>21</v>
      </c>
      <c r="D424" t="s">
        <v>12</v>
      </c>
      <c r="E424" t="s">
        <v>15</v>
      </c>
      <c r="F424" t="s">
        <v>16</v>
      </c>
      <c r="G424" t="s">
        <v>16</v>
      </c>
      <c r="H424" t="s">
        <v>247</v>
      </c>
      <c r="I424">
        <f t="shared" si="66"/>
        <v>7.5</v>
      </c>
      <c r="J424" t="s">
        <v>205</v>
      </c>
      <c r="K424" t="s">
        <v>17</v>
      </c>
      <c r="L424" t="str">
        <f t="shared" si="64"/>
        <v>Control</v>
      </c>
      <c r="M424" t="s">
        <v>242</v>
      </c>
      <c r="N424" t="str">
        <f t="shared" si="65"/>
        <v>Stress</v>
      </c>
      <c r="Q424" t="s">
        <v>197</v>
      </c>
      <c r="R424" t="s">
        <v>116</v>
      </c>
      <c r="S424" t="s">
        <v>27</v>
      </c>
      <c r="T424" t="s">
        <v>215</v>
      </c>
      <c r="V424" s="1">
        <v>2.7999999999999997E-7</v>
      </c>
      <c r="Y424">
        <v>0.92</v>
      </c>
      <c r="Z424" t="s">
        <v>22</v>
      </c>
    </row>
    <row r="425" spans="1:26" x14ac:dyDescent="0.25">
      <c r="A425" t="s">
        <v>164</v>
      </c>
      <c r="B425" t="s">
        <v>20</v>
      </c>
      <c r="C425" t="s">
        <v>21</v>
      </c>
      <c r="D425" t="s">
        <v>12</v>
      </c>
      <c r="E425" t="s">
        <v>15</v>
      </c>
      <c r="F425" t="s">
        <v>16</v>
      </c>
      <c r="G425" t="s">
        <v>16</v>
      </c>
      <c r="H425" t="s">
        <v>247</v>
      </c>
      <c r="I425">
        <f t="shared" si="66"/>
        <v>7.5</v>
      </c>
      <c r="J425" t="s">
        <v>205</v>
      </c>
      <c r="K425" t="s">
        <v>17</v>
      </c>
      <c r="L425" t="str">
        <f t="shared" si="64"/>
        <v>Control</v>
      </c>
      <c r="M425" t="s">
        <v>242</v>
      </c>
      <c r="N425" t="str">
        <f t="shared" si="65"/>
        <v>Stress</v>
      </c>
      <c r="Q425" t="s">
        <v>199</v>
      </c>
      <c r="R425" t="s">
        <v>116</v>
      </c>
      <c r="S425" t="s">
        <v>27</v>
      </c>
      <c r="T425" t="s">
        <v>215</v>
      </c>
      <c r="V425" s="1">
        <v>5.9999999999999997E-7</v>
      </c>
      <c r="Y425">
        <v>0.92</v>
      </c>
      <c r="Z425" t="s">
        <v>22</v>
      </c>
    </row>
    <row r="426" spans="1:26" x14ac:dyDescent="0.25">
      <c r="A426" t="s">
        <v>164</v>
      </c>
      <c r="B426" t="s">
        <v>20</v>
      </c>
      <c r="C426" t="s">
        <v>21</v>
      </c>
      <c r="D426" t="s">
        <v>12</v>
      </c>
      <c r="E426" t="s">
        <v>15</v>
      </c>
      <c r="F426" t="s">
        <v>16</v>
      </c>
      <c r="G426" t="s">
        <v>16</v>
      </c>
      <c r="H426" t="s">
        <v>247</v>
      </c>
      <c r="I426">
        <f t="shared" si="66"/>
        <v>7.5</v>
      </c>
      <c r="J426" t="s">
        <v>205</v>
      </c>
      <c r="K426" t="s">
        <v>46</v>
      </c>
      <c r="L426" t="str">
        <f t="shared" si="64"/>
        <v>Stress</v>
      </c>
      <c r="M426" t="s">
        <v>242</v>
      </c>
      <c r="N426" t="str">
        <f t="shared" si="65"/>
        <v>Stress</v>
      </c>
      <c r="Q426" t="s">
        <v>198</v>
      </c>
      <c r="R426" t="s">
        <v>116</v>
      </c>
      <c r="S426" t="s">
        <v>27</v>
      </c>
      <c r="T426" t="s">
        <v>215</v>
      </c>
      <c r="V426" s="1">
        <v>1.8E-7</v>
      </c>
      <c r="Y426">
        <v>0.88</v>
      </c>
      <c r="Z426" t="s">
        <v>22</v>
      </c>
    </row>
    <row r="427" spans="1:26" x14ac:dyDescent="0.25">
      <c r="A427" t="s">
        <v>164</v>
      </c>
      <c r="B427" t="s">
        <v>20</v>
      </c>
      <c r="C427" t="s">
        <v>21</v>
      </c>
      <c r="D427" t="s">
        <v>12</v>
      </c>
      <c r="E427" t="s">
        <v>15</v>
      </c>
      <c r="F427" t="s">
        <v>16</v>
      </c>
      <c r="G427" t="s">
        <v>16</v>
      </c>
      <c r="H427" t="s">
        <v>247</v>
      </c>
      <c r="I427">
        <f t="shared" si="66"/>
        <v>7.5</v>
      </c>
      <c r="J427" t="s">
        <v>205</v>
      </c>
      <c r="K427" t="s">
        <v>46</v>
      </c>
      <c r="L427" t="str">
        <f t="shared" si="64"/>
        <v>Stress</v>
      </c>
      <c r="M427" t="s">
        <v>242</v>
      </c>
      <c r="N427" t="str">
        <f t="shared" si="65"/>
        <v>Stress</v>
      </c>
      <c r="Q427" t="s">
        <v>197</v>
      </c>
      <c r="R427" t="s">
        <v>116</v>
      </c>
      <c r="S427" t="s">
        <v>27</v>
      </c>
      <c r="T427" t="s">
        <v>215</v>
      </c>
      <c r="V427" s="1">
        <v>3.3999999999999997E-7</v>
      </c>
      <c r="Y427">
        <v>0.88</v>
      </c>
      <c r="Z427" t="s">
        <v>22</v>
      </c>
    </row>
    <row r="428" spans="1:26" x14ac:dyDescent="0.25">
      <c r="A428" t="s">
        <v>164</v>
      </c>
      <c r="B428" t="s">
        <v>20</v>
      </c>
      <c r="C428" t="s">
        <v>21</v>
      </c>
      <c r="D428" t="s">
        <v>12</v>
      </c>
      <c r="E428" t="s">
        <v>15</v>
      </c>
      <c r="F428" t="s">
        <v>16</v>
      </c>
      <c r="G428" t="s">
        <v>16</v>
      </c>
      <c r="H428" t="s">
        <v>247</v>
      </c>
      <c r="I428">
        <f t="shared" si="66"/>
        <v>7.5</v>
      </c>
      <c r="J428" t="s">
        <v>205</v>
      </c>
      <c r="K428" t="s">
        <v>46</v>
      </c>
      <c r="L428" t="str">
        <f t="shared" si="64"/>
        <v>Stress</v>
      </c>
      <c r="M428" t="s">
        <v>242</v>
      </c>
      <c r="N428" t="str">
        <f t="shared" si="65"/>
        <v>Stress</v>
      </c>
      <c r="Q428" t="s">
        <v>199</v>
      </c>
      <c r="R428" t="s">
        <v>116</v>
      </c>
      <c r="S428" t="s">
        <v>27</v>
      </c>
      <c r="T428" t="s">
        <v>215</v>
      </c>
      <c r="V428" s="1">
        <v>4.4000000000000002E-7</v>
      </c>
      <c r="Y428">
        <v>0.88</v>
      </c>
      <c r="Z428" t="s">
        <v>22</v>
      </c>
    </row>
    <row r="429" spans="1:26" x14ac:dyDescent="0.25">
      <c r="A429" t="s">
        <v>164</v>
      </c>
      <c r="B429" t="s">
        <v>20</v>
      </c>
      <c r="C429" t="s">
        <v>21</v>
      </c>
      <c r="D429" t="s">
        <v>12</v>
      </c>
      <c r="E429" t="s">
        <v>15</v>
      </c>
      <c r="F429" t="s">
        <v>16</v>
      </c>
      <c r="G429" t="s">
        <v>16</v>
      </c>
      <c r="H429" t="s">
        <v>247</v>
      </c>
      <c r="I429">
        <f t="shared" si="66"/>
        <v>7.5</v>
      </c>
      <c r="J429" t="s">
        <v>205</v>
      </c>
      <c r="K429" t="s">
        <v>17</v>
      </c>
      <c r="L429" t="str">
        <f t="shared" si="64"/>
        <v>Control</v>
      </c>
      <c r="M429" t="s">
        <v>17</v>
      </c>
      <c r="N429" t="str">
        <f t="shared" si="65"/>
        <v>Control</v>
      </c>
      <c r="Q429" t="s">
        <v>198</v>
      </c>
      <c r="R429" t="s">
        <v>116</v>
      </c>
      <c r="S429" t="s">
        <v>27</v>
      </c>
      <c r="T429" t="s">
        <v>216</v>
      </c>
      <c r="V429" s="1">
        <v>1.8999999999999998E-8</v>
      </c>
      <c r="Y429">
        <v>1.1000000000000001</v>
      </c>
      <c r="Z429" t="s">
        <v>22</v>
      </c>
    </row>
    <row r="430" spans="1:26" x14ac:dyDescent="0.25">
      <c r="A430" t="s">
        <v>164</v>
      </c>
      <c r="B430" t="s">
        <v>20</v>
      </c>
      <c r="C430" t="s">
        <v>21</v>
      </c>
      <c r="D430" t="s">
        <v>12</v>
      </c>
      <c r="E430" t="s">
        <v>15</v>
      </c>
      <c r="F430" t="s">
        <v>16</v>
      </c>
      <c r="G430" t="s">
        <v>16</v>
      </c>
      <c r="H430" t="s">
        <v>247</v>
      </c>
      <c r="I430">
        <f t="shared" si="66"/>
        <v>7.5</v>
      </c>
      <c r="J430" t="s">
        <v>205</v>
      </c>
      <c r="K430" t="s">
        <v>17</v>
      </c>
      <c r="L430" t="str">
        <f t="shared" si="64"/>
        <v>Control</v>
      </c>
      <c r="M430" t="s">
        <v>17</v>
      </c>
      <c r="N430" t="str">
        <f t="shared" si="65"/>
        <v>Control</v>
      </c>
      <c r="Q430" t="s">
        <v>197</v>
      </c>
      <c r="R430" t="s">
        <v>116</v>
      </c>
      <c r="S430" t="s">
        <v>27</v>
      </c>
      <c r="T430" t="s">
        <v>216</v>
      </c>
      <c r="V430" s="1">
        <v>5.5000000000000003E-8</v>
      </c>
      <c r="Y430">
        <v>1.1000000000000001</v>
      </c>
      <c r="Z430" t="s">
        <v>22</v>
      </c>
    </row>
    <row r="431" spans="1:26" x14ac:dyDescent="0.25">
      <c r="A431" t="s">
        <v>164</v>
      </c>
      <c r="B431" t="s">
        <v>20</v>
      </c>
      <c r="C431" t="s">
        <v>21</v>
      </c>
      <c r="D431" t="s">
        <v>12</v>
      </c>
      <c r="E431" t="s">
        <v>15</v>
      </c>
      <c r="F431" t="s">
        <v>16</v>
      </c>
      <c r="G431" t="s">
        <v>16</v>
      </c>
      <c r="H431" t="s">
        <v>247</v>
      </c>
      <c r="I431">
        <f t="shared" si="66"/>
        <v>7.5</v>
      </c>
      <c r="J431" t="s">
        <v>205</v>
      </c>
      <c r="K431" t="s">
        <v>17</v>
      </c>
      <c r="L431" t="str">
        <f t="shared" si="64"/>
        <v>Control</v>
      </c>
      <c r="M431" t="s">
        <v>17</v>
      </c>
      <c r="N431" t="str">
        <f t="shared" si="65"/>
        <v>Control</v>
      </c>
      <c r="Q431" t="s">
        <v>199</v>
      </c>
      <c r="R431" t="s">
        <v>116</v>
      </c>
      <c r="S431" t="s">
        <v>27</v>
      </c>
      <c r="T431" t="s">
        <v>216</v>
      </c>
      <c r="V431" s="1">
        <v>1.03E-7</v>
      </c>
      <c r="Y431">
        <v>1.1000000000000001</v>
      </c>
      <c r="Z431" t="s">
        <v>22</v>
      </c>
    </row>
    <row r="432" spans="1:26" x14ac:dyDescent="0.25">
      <c r="A432" t="s">
        <v>164</v>
      </c>
      <c r="B432" t="s">
        <v>20</v>
      </c>
      <c r="C432" t="s">
        <v>21</v>
      </c>
      <c r="D432" t="s">
        <v>12</v>
      </c>
      <c r="E432" t="s">
        <v>15</v>
      </c>
      <c r="F432" t="s">
        <v>16</v>
      </c>
      <c r="G432" t="s">
        <v>16</v>
      </c>
      <c r="H432" t="s">
        <v>247</v>
      </c>
      <c r="I432">
        <f t="shared" si="66"/>
        <v>7.5</v>
      </c>
      <c r="J432" t="s">
        <v>205</v>
      </c>
      <c r="K432" t="s">
        <v>46</v>
      </c>
      <c r="L432" t="str">
        <f t="shared" si="64"/>
        <v>Stress</v>
      </c>
      <c r="M432" t="s">
        <v>17</v>
      </c>
      <c r="N432" t="str">
        <f t="shared" si="65"/>
        <v>Control</v>
      </c>
      <c r="Q432" t="s">
        <v>198</v>
      </c>
      <c r="R432" t="s">
        <v>116</v>
      </c>
      <c r="S432" t="s">
        <v>27</v>
      </c>
      <c r="T432" t="s">
        <v>216</v>
      </c>
      <c r="V432" s="1">
        <v>1.7E-8</v>
      </c>
      <c r="Y432">
        <v>1</v>
      </c>
      <c r="Z432" t="s">
        <v>22</v>
      </c>
    </row>
    <row r="433" spans="1:26" x14ac:dyDescent="0.25">
      <c r="A433" t="s">
        <v>164</v>
      </c>
      <c r="B433" t="s">
        <v>20</v>
      </c>
      <c r="C433" t="s">
        <v>21</v>
      </c>
      <c r="D433" t="s">
        <v>12</v>
      </c>
      <c r="E433" t="s">
        <v>15</v>
      </c>
      <c r="F433" t="s">
        <v>16</v>
      </c>
      <c r="G433" t="s">
        <v>16</v>
      </c>
      <c r="H433" t="s">
        <v>247</v>
      </c>
      <c r="I433">
        <f t="shared" si="66"/>
        <v>7.5</v>
      </c>
      <c r="J433" t="s">
        <v>205</v>
      </c>
      <c r="K433" t="s">
        <v>46</v>
      </c>
      <c r="L433" t="str">
        <f t="shared" si="64"/>
        <v>Stress</v>
      </c>
      <c r="M433" t="s">
        <v>17</v>
      </c>
      <c r="N433" t="str">
        <f t="shared" si="65"/>
        <v>Control</v>
      </c>
      <c r="Q433" t="s">
        <v>197</v>
      </c>
      <c r="R433" t="s">
        <v>116</v>
      </c>
      <c r="S433" t="s">
        <v>27</v>
      </c>
      <c r="T433" t="s">
        <v>216</v>
      </c>
      <c r="V433" s="1">
        <v>3.7999999999999996E-8</v>
      </c>
      <c r="Y433">
        <v>1</v>
      </c>
      <c r="Z433" t="s">
        <v>22</v>
      </c>
    </row>
    <row r="434" spans="1:26" x14ac:dyDescent="0.25">
      <c r="A434" t="s">
        <v>164</v>
      </c>
      <c r="B434" t="s">
        <v>20</v>
      </c>
      <c r="C434" t="s">
        <v>21</v>
      </c>
      <c r="D434" t="s">
        <v>12</v>
      </c>
      <c r="E434" t="s">
        <v>15</v>
      </c>
      <c r="F434" t="s">
        <v>16</v>
      </c>
      <c r="G434" t="s">
        <v>16</v>
      </c>
      <c r="H434" t="s">
        <v>247</v>
      </c>
      <c r="I434">
        <f t="shared" si="66"/>
        <v>7.5</v>
      </c>
      <c r="J434" t="s">
        <v>205</v>
      </c>
      <c r="K434" t="s">
        <v>46</v>
      </c>
      <c r="L434" t="str">
        <f t="shared" si="64"/>
        <v>Stress</v>
      </c>
      <c r="M434" t="s">
        <v>17</v>
      </c>
      <c r="N434" t="str">
        <f t="shared" si="65"/>
        <v>Control</v>
      </c>
      <c r="Q434" t="s">
        <v>199</v>
      </c>
      <c r="R434" t="s">
        <v>116</v>
      </c>
      <c r="S434" t="s">
        <v>27</v>
      </c>
      <c r="T434" t="s">
        <v>216</v>
      </c>
      <c r="V434" s="1">
        <v>5.2999999999999998E-8</v>
      </c>
      <c r="Y434">
        <v>1</v>
      </c>
      <c r="Z434" t="s">
        <v>22</v>
      </c>
    </row>
    <row r="435" spans="1:26" x14ac:dyDescent="0.25">
      <c r="A435" t="s">
        <v>164</v>
      </c>
      <c r="B435" t="s">
        <v>20</v>
      </c>
      <c r="C435" t="s">
        <v>21</v>
      </c>
      <c r="D435" t="s">
        <v>12</v>
      </c>
      <c r="E435" t="s">
        <v>15</v>
      </c>
      <c r="F435" t="s">
        <v>16</v>
      </c>
      <c r="G435" t="s">
        <v>16</v>
      </c>
      <c r="H435" t="s">
        <v>247</v>
      </c>
      <c r="I435">
        <f t="shared" si="66"/>
        <v>7.5</v>
      </c>
      <c r="J435" t="s">
        <v>205</v>
      </c>
      <c r="K435" t="s">
        <v>17</v>
      </c>
      <c r="L435" t="str">
        <f t="shared" si="64"/>
        <v>Control</v>
      </c>
      <c r="M435" t="s">
        <v>17</v>
      </c>
      <c r="N435" t="str">
        <f t="shared" si="65"/>
        <v>Control</v>
      </c>
      <c r="Q435" t="s">
        <v>198</v>
      </c>
      <c r="R435" t="s">
        <v>116</v>
      </c>
      <c r="S435" t="s">
        <v>27</v>
      </c>
      <c r="T435" t="s">
        <v>216</v>
      </c>
      <c r="V435" s="1">
        <v>2.7E-8</v>
      </c>
      <c r="Y435">
        <v>0.92</v>
      </c>
      <c r="Z435" t="s">
        <v>22</v>
      </c>
    </row>
    <row r="436" spans="1:26" x14ac:dyDescent="0.25">
      <c r="A436" t="s">
        <v>164</v>
      </c>
      <c r="B436" t="s">
        <v>20</v>
      </c>
      <c r="C436" t="s">
        <v>21</v>
      </c>
      <c r="D436" t="s">
        <v>12</v>
      </c>
      <c r="E436" t="s">
        <v>15</v>
      </c>
      <c r="F436" t="s">
        <v>16</v>
      </c>
      <c r="G436" t="s">
        <v>16</v>
      </c>
      <c r="H436" t="s">
        <v>247</v>
      </c>
      <c r="I436">
        <f t="shared" si="66"/>
        <v>7.5</v>
      </c>
      <c r="J436" t="s">
        <v>205</v>
      </c>
      <c r="K436" t="s">
        <v>17</v>
      </c>
      <c r="L436" t="str">
        <f t="shared" si="64"/>
        <v>Control</v>
      </c>
      <c r="M436" t="s">
        <v>17</v>
      </c>
      <c r="N436" t="str">
        <f t="shared" si="65"/>
        <v>Control</v>
      </c>
      <c r="Q436" t="s">
        <v>197</v>
      </c>
      <c r="R436" t="s">
        <v>116</v>
      </c>
      <c r="S436" t="s">
        <v>27</v>
      </c>
      <c r="T436" t="s">
        <v>216</v>
      </c>
      <c r="V436" s="1">
        <v>6.8E-8</v>
      </c>
      <c r="Y436">
        <v>0.92</v>
      </c>
      <c r="Z436" t="s">
        <v>22</v>
      </c>
    </row>
    <row r="437" spans="1:26" x14ac:dyDescent="0.25">
      <c r="A437" t="s">
        <v>164</v>
      </c>
      <c r="B437" t="s">
        <v>20</v>
      </c>
      <c r="C437" t="s">
        <v>21</v>
      </c>
      <c r="D437" t="s">
        <v>12</v>
      </c>
      <c r="E437" t="s">
        <v>15</v>
      </c>
      <c r="F437" t="s">
        <v>16</v>
      </c>
      <c r="G437" t="s">
        <v>16</v>
      </c>
      <c r="H437" t="s">
        <v>247</v>
      </c>
      <c r="I437">
        <f t="shared" si="66"/>
        <v>7.5</v>
      </c>
      <c r="J437" t="s">
        <v>205</v>
      </c>
      <c r="K437" t="s">
        <v>17</v>
      </c>
      <c r="L437" t="str">
        <f t="shared" si="64"/>
        <v>Control</v>
      </c>
      <c r="M437" t="s">
        <v>17</v>
      </c>
      <c r="N437" t="str">
        <f t="shared" si="65"/>
        <v>Control</v>
      </c>
      <c r="Q437" t="s">
        <v>199</v>
      </c>
      <c r="R437" t="s">
        <v>116</v>
      </c>
      <c r="S437" t="s">
        <v>27</v>
      </c>
      <c r="T437" t="s">
        <v>216</v>
      </c>
      <c r="V437" s="1">
        <v>9.5999999999999986E-8</v>
      </c>
      <c r="Y437">
        <v>0.92</v>
      </c>
      <c r="Z437" t="s">
        <v>22</v>
      </c>
    </row>
    <row r="438" spans="1:26" x14ac:dyDescent="0.25">
      <c r="A438" t="s">
        <v>164</v>
      </c>
      <c r="B438" t="s">
        <v>20</v>
      </c>
      <c r="C438" t="s">
        <v>21</v>
      </c>
      <c r="D438" t="s">
        <v>12</v>
      </c>
      <c r="E438" t="s">
        <v>15</v>
      </c>
      <c r="F438" t="s">
        <v>16</v>
      </c>
      <c r="G438" t="s">
        <v>16</v>
      </c>
      <c r="H438" t="s">
        <v>247</v>
      </c>
      <c r="I438">
        <f t="shared" si="66"/>
        <v>7.5</v>
      </c>
      <c r="J438" t="s">
        <v>205</v>
      </c>
      <c r="K438" t="s">
        <v>46</v>
      </c>
      <c r="L438" t="str">
        <f t="shared" si="64"/>
        <v>Stress</v>
      </c>
      <c r="M438" t="s">
        <v>242</v>
      </c>
      <c r="N438" t="str">
        <f t="shared" si="65"/>
        <v>Stress</v>
      </c>
      <c r="Q438" t="s">
        <v>198</v>
      </c>
      <c r="R438" t="s">
        <v>116</v>
      </c>
      <c r="S438" t="s">
        <v>27</v>
      </c>
      <c r="T438" t="s">
        <v>216</v>
      </c>
      <c r="V438" s="1">
        <v>2.6000000000000001E-8</v>
      </c>
      <c r="Y438">
        <v>0.88</v>
      </c>
      <c r="Z438" t="s">
        <v>22</v>
      </c>
    </row>
    <row r="439" spans="1:26" x14ac:dyDescent="0.25">
      <c r="A439" t="s">
        <v>164</v>
      </c>
      <c r="B439" t="s">
        <v>20</v>
      </c>
      <c r="C439" t="s">
        <v>21</v>
      </c>
      <c r="D439" t="s">
        <v>12</v>
      </c>
      <c r="E439" t="s">
        <v>15</v>
      </c>
      <c r="F439" t="s">
        <v>16</v>
      </c>
      <c r="G439" t="s">
        <v>16</v>
      </c>
      <c r="H439" t="s">
        <v>247</v>
      </c>
      <c r="I439">
        <f t="shared" si="66"/>
        <v>7.5</v>
      </c>
      <c r="J439" t="s">
        <v>205</v>
      </c>
      <c r="K439" t="s">
        <v>46</v>
      </c>
      <c r="L439" t="str">
        <f t="shared" si="64"/>
        <v>Stress</v>
      </c>
      <c r="M439" t="s">
        <v>242</v>
      </c>
      <c r="N439" t="str">
        <f t="shared" si="65"/>
        <v>Stress</v>
      </c>
      <c r="Q439" t="s">
        <v>197</v>
      </c>
      <c r="R439" t="s">
        <v>116</v>
      </c>
      <c r="S439" t="s">
        <v>27</v>
      </c>
      <c r="T439" t="s">
        <v>216</v>
      </c>
      <c r="V439" s="1">
        <v>5.9999999999999995E-8</v>
      </c>
      <c r="Y439">
        <v>0.88</v>
      </c>
      <c r="Z439" t="s">
        <v>22</v>
      </c>
    </row>
    <row r="440" spans="1:26" x14ac:dyDescent="0.25">
      <c r="A440" t="s">
        <v>164</v>
      </c>
      <c r="B440" t="s">
        <v>20</v>
      </c>
      <c r="C440" t="s">
        <v>21</v>
      </c>
      <c r="D440" t="s">
        <v>12</v>
      </c>
      <c r="E440" t="s">
        <v>15</v>
      </c>
      <c r="F440" t="s">
        <v>16</v>
      </c>
      <c r="G440" t="s">
        <v>16</v>
      </c>
      <c r="H440" t="s">
        <v>247</v>
      </c>
      <c r="I440">
        <f t="shared" si="66"/>
        <v>7.5</v>
      </c>
      <c r="J440" t="s">
        <v>205</v>
      </c>
      <c r="K440" t="s">
        <v>46</v>
      </c>
      <c r="L440" t="str">
        <f t="shared" si="64"/>
        <v>Stress</v>
      </c>
      <c r="M440" t="s">
        <v>242</v>
      </c>
      <c r="N440" t="str">
        <f t="shared" si="65"/>
        <v>Stress</v>
      </c>
      <c r="Q440" t="s">
        <v>199</v>
      </c>
      <c r="R440" t="s">
        <v>116</v>
      </c>
      <c r="S440" t="s">
        <v>27</v>
      </c>
      <c r="T440" t="s">
        <v>216</v>
      </c>
      <c r="V440" s="1">
        <v>8.0999999999999997E-8</v>
      </c>
      <c r="Y440">
        <v>0.88</v>
      </c>
      <c r="Z440" t="s">
        <v>22</v>
      </c>
    </row>
    <row r="441" spans="1:26" x14ac:dyDescent="0.25">
      <c r="A441" t="s">
        <v>174</v>
      </c>
      <c r="B441" t="s">
        <v>20</v>
      </c>
      <c r="C441" t="s">
        <v>21</v>
      </c>
      <c r="D441" t="s">
        <v>12</v>
      </c>
      <c r="E441" t="s">
        <v>15</v>
      </c>
      <c r="F441" t="s">
        <v>16</v>
      </c>
      <c r="G441" t="s">
        <v>16</v>
      </c>
      <c r="H441" t="s">
        <v>247</v>
      </c>
      <c r="I441">
        <f>2+4</f>
        <v>6</v>
      </c>
      <c r="J441" t="s">
        <v>205</v>
      </c>
      <c r="K441" t="s">
        <v>17</v>
      </c>
      <c r="L441" t="str">
        <f t="shared" si="64"/>
        <v>Control</v>
      </c>
      <c r="M441" t="s">
        <v>17</v>
      </c>
      <c r="N441" t="str">
        <f t="shared" si="65"/>
        <v>Control</v>
      </c>
      <c r="Q441" t="s">
        <v>197</v>
      </c>
      <c r="R441" t="s">
        <v>30</v>
      </c>
      <c r="S441" t="s">
        <v>27</v>
      </c>
      <c r="T441" t="s">
        <v>216</v>
      </c>
      <c r="V441" s="1">
        <v>4.7300000000000007E-8</v>
      </c>
      <c r="W441" s="2"/>
      <c r="X441">
        <v>18.100000000000001</v>
      </c>
      <c r="Y441" s="2">
        <v>0.82</v>
      </c>
      <c r="Z441" t="s">
        <v>42</v>
      </c>
    </row>
    <row r="442" spans="1:26" x14ac:dyDescent="0.25">
      <c r="A442" t="s">
        <v>174</v>
      </c>
      <c r="B442" t="s">
        <v>20</v>
      </c>
      <c r="C442" t="s">
        <v>21</v>
      </c>
      <c r="D442" t="s">
        <v>12</v>
      </c>
      <c r="E442" t="s">
        <v>15</v>
      </c>
      <c r="F442" t="s">
        <v>16</v>
      </c>
      <c r="G442" t="s">
        <v>16</v>
      </c>
      <c r="H442" t="s">
        <v>247</v>
      </c>
      <c r="I442">
        <f t="shared" ref="I442:I446" si="67">2+4</f>
        <v>6</v>
      </c>
      <c r="J442" t="s">
        <v>205</v>
      </c>
      <c r="K442" t="s">
        <v>46</v>
      </c>
      <c r="L442" t="str">
        <f t="shared" si="64"/>
        <v>Stress</v>
      </c>
      <c r="M442" t="s">
        <v>17</v>
      </c>
      <c r="N442" t="str">
        <f t="shared" si="65"/>
        <v>Control</v>
      </c>
      <c r="Q442" t="s">
        <v>197</v>
      </c>
      <c r="R442" t="s">
        <v>30</v>
      </c>
      <c r="S442" t="s">
        <v>27</v>
      </c>
      <c r="T442" t="s">
        <v>216</v>
      </c>
      <c r="V442" s="1">
        <v>9.5999999999999999E-9</v>
      </c>
      <c r="W442" s="2"/>
      <c r="X442">
        <v>8.3000000000000007</v>
      </c>
      <c r="Y442" s="2">
        <v>1.42</v>
      </c>
      <c r="Z442" t="s">
        <v>42</v>
      </c>
    </row>
    <row r="443" spans="1:26" x14ac:dyDescent="0.25">
      <c r="A443" t="s">
        <v>174</v>
      </c>
      <c r="B443" t="s">
        <v>20</v>
      </c>
      <c r="C443" t="s">
        <v>21</v>
      </c>
      <c r="D443" t="s">
        <v>12</v>
      </c>
      <c r="E443" t="s">
        <v>15</v>
      </c>
      <c r="F443" t="s">
        <v>16</v>
      </c>
      <c r="G443" t="s">
        <v>16</v>
      </c>
      <c r="H443" t="s">
        <v>247</v>
      </c>
      <c r="I443">
        <f t="shared" si="67"/>
        <v>6</v>
      </c>
      <c r="J443" t="s">
        <v>205</v>
      </c>
      <c r="K443" t="s">
        <v>17</v>
      </c>
      <c r="L443" t="str">
        <f t="shared" si="64"/>
        <v>Control</v>
      </c>
      <c r="M443" t="s">
        <v>242</v>
      </c>
      <c r="N443" t="str">
        <f t="shared" si="65"/>
        <v>Stress</v>
      </c>
      <c r="Q443" t="s">
        <v>197</v>
      </c>
      <c r="R443" t="s">
        <v>30</v>
      </c>
      <c r="S443" t="s">
        <v>27</v>
      </c>
      <c r="T443" t="s">
        <v>216</v>
      </c>
      <c r="V443" s="1">
        <v>3.5299999999999998E-8</v>
      </c>
      <c r="W443" s="2"/>
      <c r="X443">
        <v>17.100000000000001</v>
      </c>
      <c r="Y443" s="2">
        <v>0.93</v>
      </c>
      <c r="Z443" t="s">
        <v>42</v>
      </c>
    </row>
    <row r="444" spans="1:26" x14ac:dyDescent="0.25">
      <c r="A444" t="s">
        <v>174</v>
      </c>
      <c r="B444" t="s">
        <v>20</v>
      </c>
      <c r="C444" t="s">
        <v>21</v>
      </c>
      <c r="D444" t="s">
        <v>12</v>
      </c>
      <c r="E444" t="s">
        <v>15</v>
      </c>
      <c r="F444" t="s">
        <v>16</v>
      </c>
      <c r="G444" t="s">
        <v>16</v>
      </c>
      <c r="H444" t="s">
        <v>247</v>
      </c>
      <c r="I444">
        <f t="shared" si="67"/>
        <v>6</v>
      </c>
      <c r="J444" t="s">
        <v>205</v>
      </c>
      <c r="K444" t="s">
        <v>46</v>
      </c>
      <c r="L444" t="str">
        <f t="shared" si="64"/>
        <v>Stress</v>
      </c>
      <c r="M444" t="s">
        <v>242</v>
      </c>
      <c r="N444" t="str">
        <f t="shared" si="65"/>
        <v>Stress</v>
      </c>
      <c r="Q444" t="s">
        <v>197</v>
      </c>
      <c r="R444" t="s">
        <v>30</v>
      </c>
      <c r="S444" t="s">
        <v>27</v>
      </c>
      <c r="T444" t="s">
        <v>216</v>
      </c>
      <c r="V444" s="1">
        <v>1.7199999999999999E-8</v>
      </c>
      <c r="W444" s="2"/>
      <c r="X444">
        <v>13.7</v>
      </c>
      <c r="Y444" s="2">
        <v>0.78</v>
      </c>
      <c r="Z444" t="s">
        <v>42</v>
      </c>
    </row>
    <row r="445" spans="1:26" x14ac:dyDescent="0.25">
      <c r="A445" t="s">
        <v>174</v>
      </c>
      <c r="B445" t="s">
        <v>20</v>
      </c>
      <c r="C445" t="s">
        <v>21</v>
      </c>
      <c r="D445" t="s">
        <v>12</v>
      </c>
      <c r="E445" t="s">
        <v>15</v>
      </c>
      <c r="F445" t="s">
        <v>16</v>
      </c>
      <c r="G445" t="s">
        <v>16</v>
      </c>
      <c r="H445" t="s">
        <v>247</v>
      </c>
      <c r="I445">
        <f t="shared" si="67"/>
        <v>6</v>
      </c>
      <c r="J445" t="s">
        <v>263</v>
      </c>
      <c r="K445" t="s">
        <v>17</v>
      </c>
      <c r="L445" t="str">
        <f t="shared" si="64"/>
        <v>Control</v>
      </c>
      <c r="Q445" t="s">
        <v>197</v>
      </c>
      <c r="R445" t="s">
        <v>30</v>
      </c>
      <c r="S445" t="s">
        <v>27</v>
      </c>
      <c r="T445" t="s">
        <v>216</v>
      </c>
      <c r="V445" s="1">
        <v>4.73E-8</v>
      </c>
      <c r="W445" s="2"/>
      <c r="X445">
        <v>18.100000000000001</v>
      </c>
      <c r="Y445" s="2">
        <v>0.82</v>
      </c>
      <c r="Z445" t="s">
        <v>42</v>
      </c>
    </row>
    <row r="446" spans="1:26" x14ac:dyDescent="0.25">
      <c r="A446" t="s">
        <v>174</v>
      </c>
      <c r="B446" t="s">
        <v>20</v>
      </c>
      <c r="C446" t="s">
        <v>21</v>
      </c>
      <c r="D446" t="s">
        <v>12</v>
      </c>
      <c r="E446" t="s">
        <v>15</v>
      </c>
      <c r="F446" t="s">
        <v>16</v>
      </c>
      <c r="G446" t="s">
        <v>16</v>
      </c>
      <c r="H446" t="s">
        <v>247</v>
      </c>
      <c r="I446">
        <f t="shared" si="67"/>
        <v>6</v>
      </c>
      <c r="J446" t="s">
        <v>263</v>
      </c>
      <c r="K446" t="s">
        <v>264</v>
      </c>
      <c r="L446" t="str">
        <f t="shared" si="64"/>
        <v>Stress</v>
      </c>
      <c r="Q446" t="s">
        <v>197</v>
      </c>
      <c r="R446" t="s">
        <v>30</v>
      </c>
      <c r="S446" t="s">
        <v>27</v>
      </c>
      <c r="T446" t="s">
        <v>216</v>
      </c>
      <c r="V446" s="1">
        <v>1.3200000000000001E-8</v>
      </c>
      <c r="W446" s="2"/>
      <c r="X446">
        <v>18.100000000000001</v>
      </c>
      <c r="Y446" s="2">
        <v>0.82</v>
      </c>
      <c r="Z446" t="s">
        <v>42</v>
      </c>
    </row>
    <row r="447" spans="1:26" x14ac:dyDescent="0.25">
      <c r="A447" t="s">
        <v>165</v>
      </c>
      <c r="B447" t="s">
        <v>167</v>
      </c>
      <c r="C447" t="s">
        <v>166</v>
      </c>
      <c r="D447" t="s">
        <v>95</v>
      </c>
      <c r="E447" t="s">
        <v>13</v>
      </c>
      <c r="F447" t="s">
        <v>96</v>
      </c>
      <c r="G447" t="s">
        <v>221</v>
      </c>
      <c r="H447" t="s">
        <v>248</v>
      </c>
      <c r="I447">
        <v>4</v>
      </c>
      <c r="Q447" t="s">
        <v>198</v>
      </c>
      <c r="R447" t="s">
        <v>26</v>
      </c>
      <c r="S447" t="s">
        <v>32</v>
      </c>
      <c r="T447" t="s">
        <v>215</v>
      </c>
      <c r="V447" s="1">
        <v>2.7E-8</v>
      </c>
      <c r="Z447" t="s">
        <v>22</v>
      </c>
    </row>
    <row r="448" spans="1:26" x14ac:dyDescent="0.25">
      <c r="A448" t="s">
        <v>165</v>
      </c>
      <c r="B448" t="s">
        <v>167</v>
      </c>
      <c r="C448" t="s">
        <v>166</v>
      </c>
      <c r="D448" t="s">
        <v>95</v>
      </c>
      <c r="E448" t="s">
        <v>13</v>
      </c>
      <c r="F448" t="s">
        <v>96</v>
      </c>
      <c r="G448" t="s">
        <v>221</v>
      </c>
      <c r="H448" t="s">
        <v>248</v>
      </c>
      <c r="I448">
        <v>3</v>
      </c>
      <c r="Q448" t="s">
        <v>197</v>
      </c>
      <c r="R448" t="s">
        <v>26</v>
      </c>
      <c r="S448" t="s">
        <v>32</v>
      </c>
      <c r="T448" t="s">
        <v>215</v>
      </c>
      <c r="V448" s="1">
        <f>+AVERAGE(2.8,6.8,4.6,2.7,5.2,4.7,20)*0.00000001</f>
        <v>6.6857142857142855E-8</v>
      </c>
      <c r="Z448" t="s">
        <v>22</v>
      </c>
    </row>
    <row r="449" spans="1:26" x14ac:dyDescent="0.25">
      <c r="A449" t="s">
        <v>165</v>
      </c>
      <c r="B449" t="s">
        <v>167</v>
      </c>
      <c r="C449" t="s">
        <v>166</v>
      </c>
      <c r="D449" t="s">
        <v>95</v>
      </c>
      <c r="E449" t="s">
        <v>13</v>
      </c>
      <c r="F449" t="s">
        <v>96</v>
      </c>
      <c r="G449" t="s">
        <v>221</v>
      </c>
      <c r="H449" t="s">
        <v>248</v>
      </c>
      <c r="I449">
        <v>3</v>
      </c>
      <c r="Q449" t="s">
        <v>199</v>
      </c>
      <c r="R449" t="s">
        <v>26</v>
      </c>
      <c r="S449" t="s">
        <v>32</v>
      </c>
      <c r="T449" t="s">
        <v>215</v>
      </c>
      <c r="V449" s="1">
        <v>1.9999999999999999E-7</v>
      </c>
      <c r="Z449" t="s">
        <v>22</v>
      </c>
    </row>
    <row r="450" spans="1:26" x14ac:dyDescent="0.25">
      <c r="A450" t="s">
        <v>165</v>
      </c>
      <c r="B450" t="s">
        <v>167</v>
      </c>
      <c r="C450" t="s">
        <v>166</v>
      </c>
      <c r="D450" t="s">
        <v>95</v>
      </c>
      <c r="E450" t="s">
        <v>13</v>
      </c>
      <c r="F450" t="s">
        <v>96</v>
      </c>
      <c r="G450" t="s">
        <v>221</v>
      </c>
      <c r="H450" t="s">
        <v>248</v>
      </c>
      <c r="I450">
        <v>6</v>
      </c>
      <c r="Q450" t="s">
        <v>198</v>
      </c>
      <c r="R450" t="s">
        <v>26</v>
      </c>
      <c r="S450" t="s">
        <v>32</v>
      </c>
      <c r="T450" t="s">
        <v>216</v>
      </c>
      <c r="V450" s="1">
        <v>1.7999999999999999E-8</v>
      </c>
      <c r="Z450" t="s">
        <v>22</v>
      </c>
    </row>
    <row r="451" spans="1:26" x14ac:dyDescent="0.25">
      <c r="A451" t="s">
        <v>165</v>
      </c>
      <c r="B451" t="s">
        <v>167</v>
      </c>
      <c r="C451" t="s">
        <v>166</v>
      </c>
      <c r="D451" t="s">
        <v>95</v>
      </c>
      <c r="E451" t="s">
        <v>13</v>
      </c>
      <c r="F451" t="s">
        <v>96</v>
      </c>
      <c r="G451" t="s">
        <v>221</v>
      </c>
      <c r="H451" t="s">
        <v>248</v>
      </c>
      <c r="I451">
        <v>7</v>
      </c>
      <c r="Q451" t="s">
        <v>197</v>
      </c>
      <c r="R451" t="s">
        <v>26</v>
      </c>
      <c r="S451" t="s">
        <v>32</v>
      </c>
      <c r="T451" t="s">
        <v>216</v>
      </c>
      <c r="V451" s="1">
        <f>+AVERAGE(1.8,8.4,1.9,2.4,5.7,6.9,5.2)*0.00000001</f>
        <v>4.6142857142857151E-8</v>
      </c>
      <c r="Z451" t="s">
        <v>22</v>
      </c>
    </row>
    <row r="452" spans="1:26" x14ac:dyDescent="0.25">
      <c r="A452" t="s">
        <v>165</v>
      </c>
      <c r="B452" t="s">
        <v>167</v>
      </c>
      <c r="C452" t="s">
        <v>166</v>
      </c>
      <c r="D452" t="s">
        <v>95</v>
      </c>
      <c r="E452" t="s">
        <v>13</v>
      </c>
      <c r="F452" t="s">
        <v>96</v>
      </c>
      <c r="G452" t="s">
        <v>221</v>
      </c>
      <c r="H452" t="s">
        <v>248</v>
      </c>
      <c r="I452">
        <v>5</v>
      </c>
      <c r="Q452" t="s">
        <v>199</v>
      </c>
      <c r="R452" t="s">
        <v>26</v>
      </c>
      <c r="S452" t="s">
        <v>32</v>
      </c>
      <c r="T452" t="s">
        <v>216</v>
      </c>
      <c r="V452" s="1">
        <v>8.3999999999999998E-8</v>
      </c>
      <c r="Z452" t="s">
        <v>22</v>
      </c>
    </row>
    <row r="453" spans="1:26" x14ac:dyDescent="0.25">
      <c r="A453" t="s">
        <v>168</v>
      </c>
      <c r="B453" t="s">
        <v>20</v>
      </c>
      <c r="C453" t="s">
        <v>21</v>
      </c>
      <c r="D453" t="s">
        <v>12</v>
      </c>
      <c r="E453" t="s">
        <v>15</v>
      </c>
      <c r="F453" t="s">
        <v>16</v>
      </c>
      <c r="G453" t="s">
        <v>16</v>
      </c>
      <c r="H453" t="s">
        <v>247</v>
      </c>
      <c r="I453">
        <f>+AVERAGE(3,16)</f>
        <v>9.5</v>
      </c>
      <c r="Q453" t="s">
        <v>198</v>
      </c>
      <c r="R453" t="s">
        <v>26</v>
      </c>
      <c r="S453" t="s">
        <v>32</v>
      </c>
      <c r="T453" t="s">
        <v>215</v>
      </c>
      <c r="V453" s="1">
        <f>'[39]Frensch&amp;Steudle_1989_Fig3a'!C9</f>
        <v>2.19662454679605E-7</v>
      </c>
      <c r="Z453" t="s">
        <v>22</v>
      </c>
    </row>
    <row r="454" spans="1:26" x14ac:dyDescent="0.25">
      <c r="A454" t="s">
        <v>168</v>
      </c>
      <c r="B454" t="s">
        <v>20</v>
      </c>
      <c r="C454" t="s">
        <v>21</v>
      </c>
      <c r="D454" t="s">
        <v>12</v>
      </c>
      <c r="E454" t="s">
        <v>15</v>
      </c>
      <c r="F454" t="s">
        <v>16</v>
      </c>
      <c r="G454" t="s">
        <v>16</v>
      </c>
      <c r="H454" t="s">
        <v>247</v>
      </c>
      <c r="I454">
        <f t="shared" ref="I454:I458" si="68">+AVERAGE(3,16)</f>
        <v>9.5</v>
      </c>
      <c r="Q454" t="s">
        <v>197</v>
      </c>
      <c r="R454" t="s">
        <v>26</v>
      </c>
      <c r="S454" t="s">
        <v>32</v>
      </c>
      <c r="T454" t="s">
        <v>215</v>
      </c>
      <c r="V454" s="1">
        <f>'[39]Frensch&amp;Steudle_1989_Fig3a'!C10</f>
        <v>2.4773016896811153E-7</v>
      </c>
      <c r="Z454" t="s">
        <v>22</v>
      </c>
    </row>
    <row r="455" spans="1:26" x14ac:dyDescent="0.25">
      <c r="A455" t="s">
        <v>168</v>
      </c>
      <c r="B455" t="s">
        <v>20</v>
      </c>
      <c r="C455" t="s">
        <v>21</v>
      </c>
      <c r="D455" t="s">
        <v>12</v>
      </c>
      <c r="E455" t="s">
        <v>15</v>
      </c>
      <c r="F455" t="s">
        <v>16</v>
      </c>
      <c r="G455" t="s">
        <v>16</v>
      </c>
      <c r="H455" t="s">
        <v>247</v>
      </c>
      <c r="I455">
        <f t="shared" si="68"/>
        <v>9.5</v>
      </c>
      <c r="Q455" t="s">
        <v>199</v>
      </c>
      <c r="R455" t="s">
        <v>26</v>
      </c>
      <c r="S455" t="s">
        <v>32</v>
      </c>
      <c r="T455" t="s">
        <v>215</v>
      </c>
      <c r="V455" s="1">
        <f>'[39]Frensch&amp;Steudle_1989_Fig3a'!C11</f>
        <v>2.70582544196546E-7</v>
      </c>
      <c r="Z455" t="s">
        <v>22</v>
      </c>
    </row>
    <row r="456" spans="1:26" x14ac:dyDescent="0.25">
      <c r="A456" t="s">
        <v>168</v>
      </c>
      <c r="B456" t="s">
        <v>20</v>
      </c>
      <c r="C456" t="s">
        <v>21</v>
      </c>
      <c r="D456" t="s">
        <v>12</v>
      </c>
      <c r="E456" t="s">
        <v>15</v>
      </c>
      <c r="F456" t="s">
        <v>16</v>
      </c>
      <c r="G456" t="s">
        <v>16</v>
      </c>
      <c r="H456" t="s">
        <v>247</v>
      </c>
      <c r="I456">
        <f t="shared" si="68"/>
        <v>9.5</v>
      </c>
      <c r="Q456" t="s">
        <v>198</v>
      </c>
      <c r="R456" t="s">
        <v>26</v>
      </c>
      <c r="S456" t="s">
        <v>32</v>
      </c>
      <c r="T456" t="s">
        <v>216</v>
      </c>
      <c r="V456" s="1">
        <f>'[40]Frensch&amp;Steudle_1989_Fig3b'!C9</f>
        <v>3.7625142664574398E-10</v>
      </c>
      <c r="Z456" t="s">
        <v>22</v>
      </c>
    </row>
    <row r="457" spans="1:26" x14ac:dyDescent="0.25">
      <c r="A457" t="s">
        <v>168</v>
      </c>
      <c r="B457" t="s">
        <v>20</v>
      </c>
      <c r="C457" t="s">
        <v>21</v>
      </c>
      <c r="D457" t="s">
        <v>12</v>
      </c>
      <c r="E457" t="s">
        <v>15</v>
      </c>
      <c r="F457" t="s">
        <v>16</v>
      </c>
      <c r="G457" t="s">
        <v>16</v>
      </c>
      <c r="H457" t="s">
        <v>247</v>
      </c>
      <c r="I457">
        <f t="shared" si="68"/>
        <v>9.5</v>
      </c>
      <c r="Q457" t="s">
        <v>197</v>
      </c>
      <c r="R457" t="s">
        <v>26</v>
      </c>
      <c r="S457" t="s">
        <v>32</v>
      </c>
      <c r="T457" t="s">
        <v>216</v>
      </c>
      <c r="V457" s="1">
        <f>'[40]Frensch&amp;Steudle_1989_Fig3b'!C10</f>
        <v>1.1597000405971759E-8</v>
      </c>
      <c r="Z457" t="s">
        <v>22</v>
      </c>
    </row>
    <row r="458" spans="1:26" x14ac:dyDescent="0.25">
      <c r="A458" t="s">
        <v>168</v>
      </c>
      <c r="B458" t="s">
        <v>20</v>
      </c>
      <c r="C458" t="s">
        <v>21</v>
      </c>
      <c r="D458" t="s">
        <v>12</v>
      </c>
      <c r="E458" t="s">
        <v>15</v>
      </c>
      <c r="F458" t="s">
        <v>16</v>
      </c>
      <c r="G458" t="s">
        <v>16</v>
      </c>
      <c r="H458" t="s">
        <v>247</v>
      </c>
      <c r="I458">
        <f t="shared" si="68"/>
        <v>9.5</v>
      </c>
      <c r="Q458" t="s">
        <v>199</v>
      </c>
      <c r="R458" t="s">
        <v>26</v>
      </c>
      <c r="S458" t="s">
        <v>32</v>
      </c>
      <c r="T458" t="s">
        <v>216</v>
      </c>
      <c r="V458" s="1">
        <f>'[40]Frensch&amp;Steudle_1989_Fig3b'!C11</f>
        <v>5.1362609248492897E-8</v>
      </c>
      <c r="Z458" t="s">
        <v>22</v>
      </c>
    </row>
    <row r="459" spans="1:26" x14ac:dyDescent="0.25">
      <c r="A459" t="s">
        <v>265</v>
      </c>
      <c r="B459" t="s">
        <v>266</v>
      </c>
      <c r="C459" t="s">
        <v>267</v>
      </c>
      <c r="D459" t="s">
        <v>95</v>
      </c>
      <c r="E459" t="s">
        <v>13</v>
      </c>
      <c r="F459" t="s">
        <v>96</v>
      </c>
      <c r="G459" t="s">
        <v>221</v>
      </c>
      <c r="H459" t="s">
        <v>248</v>
      </c>
      <c r="J459" t="s">
        <v>268</v>
      </c>
      <c r="K459" t="s">
        <v>17</v>
      </c>
      <c r="L459" t="str">
        <f>+IF(K459="Control","Control","Stress")</f>
        <v>Control</v>
      </c>
      <c r="Q459" t="s">
        <v>197</v>
      </c>
      <c r="R459" t="s">
        <v>152</v>
      </c>
      <c r="S459" t="s">
        <v>27</v>
      </c>
      <c r="T459" t="s">
        <v>215</v>
      </c>
      <c r="V459" s="1">
        <v>9.5999999999999996E-6</v>
      </c>
      <c r="X459" s="2"/>
      <c r="Y459" s="2">
        <v>0.56899999999999995</v>
      </c>
      <c r="Z459" t="s">
        <v>52</v>
      </c>
    </row>
    <row r="460" spans="1:26" x14ac:dyDescent="0.25">
      <c r="A460" t="s">
        <v>265</v>
      </c>
      <c r="B460" t="s">
        <v>266</v>
      </c>
      <c r="C460" t="s">
        <v>267</v>
      </c>
      <c r="D460" t="s">
        <v>95</v>
      </c>
      <c r="E460" t="s">
        <v>13</v>
      </c>
      <c r="F460" t="s">
        <v>96</v>
      </c>
      <c r="G460" t="s">
        <v>221</v>
      </c>
      <c r="H460" t="s">
        <v>248</v>
      </c>
      <c r="J460" t="s">
        <v>268</v>
      </c>
      <c r="K460" t="s">
        <v>269</v>
      </c>
      <c r="L460" t="str">
        <f>+IF(K460="Control","Control","Stress")</f>
        <v>Stress</v>
      </c>
      <c r="Q460" t="s">
        <v>197</v>
      </c>
      <c r="R460" t="s">
        <v>152</v>
      </c>
      <c r="S460" t="s">
        <v>27</v>
      </c>
      <c r="T460" t="s">
        <v>215</v>
      </c>
      <c r="V460" s="1">
        <v>1.4399999999999999E-5</v>
      </c>
      <c r="X460" s="2"/>
      <c r="Y460" s="2">
        <v>0.53400000000000003</v>
      </c>
      <c r="Z460" t="s">
        <v>52</v>
      </c>
    </row>
    <row r="461" spans="1:26" x14ac:dyDescent="0.25">
      <c r="A461" t="s">
        <v>252</v>
      </c>
      <c r="B461" t="s">
        <v>20</v>
      </c>
      <c r="C461" t="s">
        <v>21</v>
      </c>
      <c r="D461" t="s">
        <v>12</v>
      </c>
      <c r="E461" t="s">
        <v>15</v>
      </c>
      <c r="F461" t="s">
        <v>16</v>
      </c>
      <c r="G461" t="s">
        <v>16</v>
      </c>
      <c r="H461" t="s">
        <v>247</v>
      </c>
      <c r="I461">
        <f>+AVERAGE(4,10)</f>
        <v>7</v>
      </c>
      <c r="Q461" t="s">
        <v>198</v>
      </c>
      <c r="R461" t="s">
        <v>30</v>
      </c>
      <c r="S461" t="s">
        <v>32</v>
      </c>
      <c r="T461" t="s">
        <v>216</v>
      </c>
      <c r="V461" s="1">
        <f>[41]Jones_etal_1988_Fig1b!E7</f>
        <v>8.9999999999999995E-9</v>
      </c>
      <c r="Z461" t="s">
        <v>251</v>
      </c>
    </row>
    <row r="462" spans="1:26" x14ac:dyDescent="0.25">
      <c r="A462" t="s">
        <v>252</v>
      </c>
      <c r="B462" t="s">
        <v>20</v>
      </c>
      <c r="C462" t="s">
        <v>21</v>
      </c>
      <c r="D462" t="s">
        <v>12</v>
      </c>
      <c r="E462" t="s">
        <v>15</v>
      </c>
      <c r="F462" t="s">
        <v>16</v>
      </c>
      <c r="G462" t="s">
        <v>16</v>
      </c>
      <c r="H462" t="s">
        <v>247</v>
      </c>
      <c r="I462">
        <f t="shared" ref="I462:I466" si="69">+AVERAGE(4,10)</f>
        <v>7</v>
      </c>
      <c r="Q462" t="s">
        <v>197</v>
      </c>
      <c r="R462" t="s">
        <v>30</v>
      </c>
      <c r="S462" t="s">
        <v>32</v>
      </c>
      <c r="T462" t="s">
        <v>216</v>
      </c>
      <c r="V462" s="1">
        <f>[41]Jones_etal_1988_Fig1b!E8</f>
        <v>2.0097734308812946E-8</v>
      </c>
      <c r="X462" s="3"/>
      <c r="Z462" t="s">
        <v>251</v>
      </c>
    </row>
    <row r="463" spans="1:26" x14ac:dyDescent="0.25">
      <c r="A463" t="s">
        <v>252</v>
      </c>
      <c r="B463" t="s">
        <v>20</v>
      </c>
      <c r="C463" t="s">
        <v>21</v>
      </c>
      <c r="D463" t="s">
        <v>12</v>
      </c>
      <c r="E463" t="s">
        <v>15</v>
      </c>
      <c r="F463" t="s">
        <v>16</v>
      </c>
      <c r="G463" t="s">
        <v>16</v>
      </c>
      <c r="H463" t="s">
        <v>247</v>
      </c>
      <c r="I463">
        <f t="shared" si="69"/>
        <v>7</v>
      </c>
      <c r="Q463" t="s">
        <v>199</v>
      </c>
      <c r="R463" t="s">
        <v>30</v>
      </c>
      <c r="S463" t="s">
        <v>32</v>
      </c>
      <c r="T463" t="s">
        <v>216</v>
      </c>
      <c r="V463" s="1">
        <f>[41]Jones_etal_1988_Fig1b!E9</f>
        <v>4.8E-8</v>
      </c>
      <c r="Z463" t="s">
        <v>251</v>
      </c>
    </row>
    <row r="464" spans="1:26" x14ac:dyDescent="0.25">
      <c r="A464" t="s">
        <v>252</v>
      </c>
      <c r="B464" t="s">
        <v>43</v>
      </c>
      <c r="C464" t="s">
        <v>44</v>
      </c>
      <c r="D464" t="s">
        <v>12</v>
      </c>
      <c r="E464" t="s">
        <v>13</v>
      </c>
      <c r="F464" t="s">
        <v>14</v>
      </c>
      <c r="G464" t="s">
        <v>14</v>
      </c>
      <c r="H464" t="s">
        <v>247</v>
      </c>
      <c r="I464">
        <f t="shared" si="69"/>
        <v>7</v>
      </c>
      <c r="Q464" t="s">
        <v>198</v>
      </c>
      <c r="R464" t="s">
        <v>30</v>
      </c>
      <c r="S464" t="s">
        <v>32</v>
      </c>
      <c r="T464" t="s">
        <v>216</v>
      </c>
      <c r="V464" s="1">
        <f>[42]Jones_etal_1988_Fig1a!E14</f>
        <v>1.6000000000000001E-8</v>
      </c>
      <c r="Z464" t="s">
        <v>251</v>
      </c>
    </row>
    <row r="465" spans="1:26" x14ac:dyDescent="0.25">
      <c r="A465" t="s">
        <v>252</v>
      </c>
      <c r="B465" t="s">
        <v>43</v>
      </c>
      <c r="C465" t="s">
        <v>44</v>
      </c>
      <c r="D465" t="s">
        <v>12</v>
      </c>
      <c r="E465" t="s">
        <v>13</v>
      </c>
      <c r="F465" t="s">
        <v>14</v>
      </c>
      <c r="G465" t="s">
        <v>14</v>
      </c>
      <c r="H465" t="s">
        <v>247</v>
      </c>
      <c r="I465">
        <f t="shared" si="69"/>
        <v>7</v>
      </c>
      <c r="Q465" t="s">
        <v>197</v>
      </c>
      <c r="R465" t="s">
        <v>30</v>
      </c>
      <c r="S465" t="s">
        <v>32</v>
      </c>
      <c r="T465" t="s">
        <v>216</v>
      </c>
      <c r="V465" s="1">
        <f>[42]Jones_etal_1988_Fig1a!E15</f>
        <v>3.6353630591615678E-8</v>
      </c>
      <c r="Z465" t="s">
        <v>251</v>
      </c>
    </row>
    <row r="466" spans="1:26" x14ac:dyDescent="0.25">
      <c r="A466" t="s">
        <v>252</v>
      </c>
      <c r="B466" t="s">
        <v>43</v>
      </c>
      <c r="C466" t="s">
        <v>44</v>
      </c>
      <c r="D466" t="s">
        <v>12</v>
      </c>
      <c r="E466" t="s">
        <v>13</v>
      </c>
      <c r="F466" t="s">
        <v>14</v>
      </c>
      <c r="G466" t="s">
        <v>14</v>
      </c>
      <c r="H466" t="s">
        <v>247</v>
      </c>
      <c r="I466">
        <f t="shared" si="69"/>
        <v>7</v>
      </c>
      <c r="Q466" t="s">
        <v>199</v>
      </c>
      <c r="R466" t="s">
        <v>30</v>
      </c>
      <c r="S466" t="s">
        <v>32</v>
      </c>
      <c r="T466" t="s">
        <v>216</v>
      </c>
      <c r="V466" s="1">
        <f>[42]Jones_etal_1988_Fig1a!E16</f>
        <v>5.5000000000000003E-8</v>
      </c>
      <c r="Z466" t="s">
        <v>251</v>
      </c>
    </row>
    <row r="467" spans="1:26" x14ac:dyDescent="0.25">
      <c r="A467" t="s">
        <v>169</v>
      </c>
      <c r="B467" t="s">
        <v>20</v>
      </c>
      <c r="C467" t="s">
        <v>21</v>
      </c>
      <c r="D467" t="s">
        <v>12</v>
      </c>
      <c r="E467" t="s">
        <v>15</v>
      </c>
      <c r="F467" t="s">
        <v>16</v>
      </c>
      <c r="G467" t="s">
        <v>16</v>
      </c>
      <c r="H467" t="s">
        <v>247</v>
      </c>
      <c r="I467">
        <f>+AVERAGE(5,13)</f>
        <v>9</v>
      </c>
      <c r="Q467" t="s">
        <v>198</v>
      </c>
      <c r="R467" t="s">
        <v>26</v>
      </c>
      <c r="S467" t="s">
        <v>32</v>
      </c>
      <c r="T467" t="s">
        <v>215</v>
      </c>
      <c r="V467" s="1">
        <v>1.3000000000000001E-8</v>
      </c>
      <c r="W467" s="2"/>
      <c r="Y467" s="2">
        <f>+AVERAGE(0.7,1.2)</f>
        <v>0.95</v>
      </c>
      <c r="Z467" t="s">
        <v>22</v>
      </c>
    </row>
    <row r="468" spans="1:26" x14ac:dyDescent="0.25">
      <c r="A468" t="s">
        <v>169</v>
      </c>
      <c r="B468" t="s">
        <v>20</v>
      </c>
      <c r="C468" t="s">
        <v>21</v>
      </c>
      <c r="D468" t="s">
        <v>12</v>
      </c>
      <c r="E468" t="s">
        <v>15</v>
      </c>
      <c r="F468" t="s">
        <v>16</v>
      </c>
      <c r="G468" t="s">
        <v>16</v>
      </c>
      <c r="H468" t="s">
        <v>247</v>
      </c>
      <c r="I468">
        <f t="shared" ref="I468" si="70">+AVERAGE(5,13)</f>
        <v>9</v>
      </c>
      <c r="Q468" t="s">
        <v>197</v>
      </c>
      <c r="R468" t="s">
        <v>26</v>
      </c>
      <c r="S468" t="s">
        <v>32</v>
      </c>
      <c r="T468" t="s">
        <v>215</v>
      </c>
      <c r="V468" s="1">
        <v>1.1499999999999998E-7</v>
      </c>
      <c r="W468" s="2"/>
      <c r="Y468" s="2">
        <f t="shared" ref="Y468:Y472" si="71">+AVERAGE(0.7,1.2)</f>
        <v>0.95</v>
      </c>
      <c r="Z468" t="s">
        <v>22</v>
      </c>
    </row>
    <row r="469" spans="1:26" x14ac:dyDescent="0.25">
      <c r="A469" t="s">
        <v>169</v>
      </c>
      <c r="B469" t="s">
        <v>20</v>
      </c>
      <c r="C469" t="s">
        <v>21</v>
      </c>
      <c r="D469" t="s">
        <v>12</v>
      </c>
      <c r="E469" t="s">
        <v>15</v>
      </c>
      <c r="F469" t="s">
        <v>16</v>
      </c>
      <c r="G469" t="s">
        <v>16</v>
      </c>
      <c r="H469" t="s">
        <v>247</v>
      </c>
      <c r="I469">
        <v>9</v>
      </c>
      <c r="Q469" t="s">
        <v>199</v>
      </c>
      <c r="R469" t="s">
        <v>26</v>
      </c>
      <c r="S469" t="s">
        <v>32</v>
      </c>
      <c r="T469" t="s">
        <v>215</v>
      </c>
      <c r="V469" s="1">
        <v>4.5999999999999994E-7</v>
      </c>
      <c r="W469" s="2"/>
      <c r="Y469" s="2">
        <f t="shared" si="71"/>
        <v>0.95</v>
      </c>
      <c r="Z469" t="s">
        <v>22</v>
      </c>
    </row>
    <row r="470" spans="1:26" x14ac:dyDescent="0.25">
      <c r="A470" t="s">
        <v>169</v>
      </c>
      <c r="B470" t="s">
        <v>20</v>
      </c>
      <c r="C470" t="s">
        <v>21</v>
      </c>
      <c r="D470" t="s">
        <v>12</v>
      </c>
      <c r="E470" t="s">
        <v>15</v>
      </c>
      <c r="F470" t="s">
        <v>16</v>
      </c>
      <c r="G470" t="s">
        <v>16</v>
      </c>
      <c r="H470" t="s">
        <v>247</v>
      </c>
      <c r="I470">
        <v>9</v>
      </c>
      <c r="Q470" t="s">
        <v>198</v>
      </c>
      <c r="R470" t="s">
        <v>26</v>
      </c>
      <c r="S470" t="s">
        <v>32</v>
      </c>
      <c r="T470" t="s">
        <v>216</v>
      </c>
      <c r="V470" s="1">
        <v>1.2E-9</v>
      </c>
      <c r="W470" s="2"/>
      <c r="Y470" s="2">
        <f t="shared" si="71"/>
        <v>0.95</v>
      </c>
      <c r="Z470" t="s">
        <v>22</v>
      </c>
    </row>
    <row r="471" spans="1:26" x14ac:dyDescent="0.25">
      <c r="A471" t="s">
        <v>169</v>
      </c>
      <c r="B471" t="s">
        <v>20</v>
      </c>
      <c r="C471" t="s">
        <v>21</v>
      </c>
      <c r="D471" t="s">
        <v>12</v>
      </c>
      <c r="E471" t="s">
        <v>15</v>
      </c>
      <c r="F471" t="s">
        <v>16</v>
      </c>
      <c r="G471" t="s">
        <v>16</v>
      </c>
      <c r="H471" t="s">
        <v>247</v>
      </c>
      <c r="I471">
        <v>9</v>
      </c>
      <c r="Q471" t="s">
        <v>197</v>
      </c>
      <c r="R471" t="s">
        <v>26</v>
      </c>
      <c r="S471" t="s">
        <v>32</v>
      </c>
      <c r="T471" t="s">
        <v>216</v>
      </c>
      <c r="V471" s="1">
        <v>1.0999999999999999E-8</v>
      </c>
      <c r="W471" s="2"/>
      <c r="Y471" s="2">
        <f t="shared" si="71"/>
        <v>0.95</v>
      </c>
      <c r="Z471" t="s">
        <v>22</v>
      </c>
    </row>
    <row r="472" spans="1:26" x14ac:dyDescent="0.25">
      <c r="A472" t="s">
        <v>169</v>
      </c>
      <c r="B472" t="s">
        <v>20</v>
      </c>
      <c r="C472" t="s">
        <v>21</v>
      </c>
      <c r="D472" t="s">
        <v>12</v>
      </c>
      <c r="E472" t="s">
        <v>15</v>
      </c>
      <c r="F472" t="s">
        <v>16</v>
      </c>
      <c r="G472" t="s">
        <v>16</v>
      </c>
      <c r="H472" t="s">
        <v>247</v>
      </c>
      <c r="I472">
        <v>9</v>
      </c>
      <c r="Q472" t="s">
        <v>199</v>
      </c>
      <c r="R472" t="s">
        <v>26</v>
      </c>
      <c r="S472" t="s">
        <v>32</v>
      </c>
      <c r="T472" t="s">
        <v>216</v>
      </c>
      <c r="V472" s="1">
        <v>3.5999999999999998E-8</v>
      </c>
      <c r="W472" s="2"/>
      <c r="Y472" s="2">
        <f t="shared" si="71"/>
        <v>0.95</v>
      </c>
      <c r="Z472" t="s">
        <v>22</v>
      </c>
    </row>
    <row r="473" spans="1:26" x14ac:dyDescent="0.25">
      <c r="A473" t="s">
        <v>173</v>
      </c>
      <c r="B473" t="s">
        <v>10</v>
      </c>
      <c r="C473" t="s">
        <v>11</v>
      </c>
      <c r="D473" t="s">
        <v>12</v>
      </c>
      <c r="E473" t="s">
        <v>13</v>
      </c>
      <c r="F473" t="s">
        <v>14</v>
      </c>
      <c r="G473" t="s">
        <v>14</v>
      </c>
      <c r="H473" t="s">
        <v>247</v>
      </c>
      <c r="I473">
        <f>+AVERAGE(6,13)</f>
        <v>9.5</v>
      </c>
      <c r="J473" t="s">
        <v>282</v>
      </c>
      <c r="K473" t="s">
        <v>206</v>
      </c>
      <c r="L473" t="s">
        <v>249</v>
      </c>
      <c r="Q473" t="s">
        <v>198</v>
      </c>
      <c r="R473" t="s">
        <v>26</v>
      </c>
      <c r="S473" t="s">
        <v>32</v>
      </c>
      <c r="T473" t="s">
        <v>215</v>
      </c>
      <c r="V473" s="1">
        <v>4.0000000000000002E-9</v>
      </c>
      <c r="W473">
        <f>+AVERAGE(0.9,1.8)</f>
        <v>1.35</v>
      </c>
      <c r="Y473" s="2">
        <f>+AVERAGE(0.345,0.445)</f>
        <v>0.39500000000000002</v>
      </c>
      <c r="Z473" t="s">
        <v>22</v>
      </c>
    </row>
    <row r="474" spans="1:26" x14ac:dyDescent="0.25">
      <c r="A474" t="s">
        <v>173</v>
      </c>
      <c r="B474" t="s">
        <v>10</v>
      </c>
      <c r="C474" t="s">
        <v>11</v>
      </c>
      <c r="D474" t="s">
        <v>12</v>
      </c>
      <c r="E474" t="s">
        <v>13</v>
      </c>
      <c r="F474" t="s">
        <v>14</v>
      </c>
      <c r="G474" t="s">
        <v>14</v>
      </c>
      <c r="H474" t="s">
        <v>247</v>
      </c>
      <c r="I474">
        <f t="shared" ref="I474:I484" si="72">+AVERAGE(6,13)</f>
        <v>9.5</v>
      </c>
      <c r="J474" t="s">
        <v>282</v>
      </c>
      <c r="K474" t="s">
        <v>206</v>
      </c>
      <c r="L474" t="s">
        <v>249</v>
      </c>
      <c r="Q474" t="s">
        <v>197</v>
      </c>
      <c r="R474" t="s">
        <v>26</v>
      </c>
      <c r="S474" t="s">
        <v>32</v>
      </c>
      <c r="T474" t="s">
        <v>215</v>
      </c>
      <c r="V474" s="1">
        <v>8.0000000000000005E-9</v>
      </c>
      <c r="W474">
        <f t="shared" ref="W474:W484" si="73">+AVERAGE(0.9,1.8)</f>
        <v>1.35</v>
      </c>
      <c r="Y474" s="2">
        <f t="shared" ref="Y474:Y484" si="74">+AVERAGE(0.345,0.445)</f>
        <v>0.39500000000000002</v>
      </c>
      <c r="Z474" t="s">
        <v>22</v>
      </c>
    </row>
    <row r="475" spans="1:26" x14ac:dyDescent="0.25">
      <c r="A475" t="s">
        <v>173</v>
      </c>
      <c r="B475" t="s">
        <v>10</v>
      </c>
      <c r="C475" t="s">
        <v>11</v>
      </c>
      <c r="D475" t="s">
        <v>12</v>
      </c>
      <c r="E475" t="s">
        <v>13</v>
      </c>
      <c r="F475" t="s">
        <v>14</v>
      </c>
      <c r="G475" t="s">
        <v>14</v>
      </c>
      <c r="H475" t="s">
        <v>247</v>
      </c>
      <c r="I475">
        <f t="shared" si="72"/>
        <v>9.5</v>
      </c>
      <c r="J475" t="s">
        <v>282</v>
      </c>
      <c r="K475" t="s">
        <v>206</v>
      </c>
      <c r="L475" t="s">
        <v>249</v>
      </c>
      <c r="Q475" t="s">
        <v>199</v>
      </c>
      <c r="R475" t="s">
        <v>26</v>
      </c>
      <c r="S475" t="s">
        <v>32</v>
      </c>
      <c r="T475" t="s">
        <v>215</v>
      </c>
      <c r="V475" s="1">
        <v>1.3000000000000001E-8</v>
      </c>
      <c r="W475">
        <f t="shared" si="73"/>
        <v>1.35</v>
      </c>
      <c r="Y475" s="2">
        <f t="shared" si="74"/>
        <v>0.39500000000000002</v>
      </c>
      <c r="Z475" t="s">
        <v>22</v>
      </c>
    </row>
    <row r="476" spans="1:26" x14ac:dyDescent="0.25">
      <c r="A476" t="s">
        <v>173</v>
      </c>
      <c r="B476" t="s">
        <v>10</v>
      </c>
      <c r="C476" t="s">
        <v>11</v>
      </c>
      <c r="D476" t="s">
        <v>12</v>
      </c>
      <c r="E476" t="s">
        <v>13</v>
      </c>
      <c r="F476" t="s">
        <v>14</v>
      </c>
      <c r="G476" t="s">
        <v>14</v>
      </c>
      <c r="H476" t="s">
        <v>247</v>
      </c>
      <c r="I476">
        <f t="shared" si="72"/>
        <v>9.5</v>
      </c>
      <c r="J476" t="s">
        <v>282</v>
      </c>
      <c r="K476" t="s">
        <v>207</v>
      </c>
      <c r="L476" t="s">
        <v>249</v>
      </c>
      <c r="Q476" t="s">
        <v>198</v>
      </c>
      <c r="R476" t="s">
        <v>26</v>
      </c>
      <c r="S476" t="s">
        <v>32</v>
      </c>
      <c r="T476" t="s">
        <v>215</v>
      </c>
      <c r="V476" s="1">
        <v>3E-9</v>
      </c>
      <c r="W476">
        <f t="shared" si="73"/>
        <v>1.35</v>
      </c>
      <c r="Y476" s="2">
        <f t="shared" si="74"/>
        <v>0.39500000000000002</v>
      </c>
      <c r="Z476" t="s">
        <v>22</v>
      </c>
    </row>
    <row r="477" spans="1:26" x14ac:dyDescent="0.25">
      <c r="A477" t="s">
        <v>173</v>
      </c>
      <c r="B477" t="s">
        <v>10</v>
      </c>
      <c r="C477" t="s">
        <v>11</v>
      </c>
      <c r="D477" t="s">
        <v>12</v>
      </c>
      <c r="E477" t="s">
        <v>13</v>
      </c>
      <c r="F477" t="s">
        <v>14</v>
      </c>
      <c r="G477" t="s">
        <v>14</v>
      </c>
      <c r="H477" t="s">
        <v>247</v>
      </c>
      <c r="I477">
        <f t="shared" si="72"/>
        <v>9.5</v>
      </c>
      <c r="J477" t="s">
        <v>282</v>
      </c>
      <c r="K477" t="s">
        <v>207</v>
      </c>
      <c r="L477" t="s">
        <v>249</v>
      </c>
      <c r="Q477" t="s">
        <v>197</v>
      </c>
      <c r="R477" t="s">
        <v>26</v>
      </c>
      <c r="S477" t="s">
        <v>32</v>
      </c>
      <c r="T477" t="s">
        <v>215</v>
      </c>
      <c r="V477" s="1">
        <v>6E-9</v>
      </c>
      <c r="W477">
        <f t="shared" si="73"/>
        <v>1.35</v>
      </c>
      <c r="Y477" s="2">
        <f t="shared" si="74"/>
        <v>0.39500000000000002</v>
      </c>
      <c r="Z477" t="s">
        <v>22</v>
      </c>
    </row>
    <row r="478" spans="1:26" x14ac:dyDescent="0.25">
      <c r="A478" t="s">
        <v>173</v>
      </c>
      <c r="B478" t="s">
        <v>10</v>
      </c>
      <c r="C478" t="s">
        <v>11</v>
      </c>
      <c r="D478" t="s">
        <v>12</v>
      </c>
      <c r="E478" t="s">
        <v>13</v>
      </c>
      <c r="F478" t="s">
        <v>14</v>
      </c>
      <c r="G478" t="s">
        <v>14</v>
      </c>
      <c r="H478" t="s">
        <v>247</v>
      </c>
      <c r="I478">
        <f t="shared" si="72"/>
        <v>9.5</v>
      </c>
      <c r="J478" t="s">
        <v>282</v>
      </c>
      <c r="K478" t="s">
        <v>207</v>
      </c>
      <c r="L478" t="s">
        <v>249</v>
      </c>
      <c r="Q478" t="s">
        <v>199</v>
      </c>
      <c r="R478" t="s">
        <v>26</v>
      </c>
      <c r="S478" t="s">
        <v>32</v>
      </c>
      <c r="T478" t="s">
        <v>215</v>
      </c>
      <c r="V478" s="1">
        <v>8.0000000000000005E-9</v>
      </c>
      <c r="W478">
        <f t="shared" si="73"/>
        <v>1.35</v>
      </c>
      <c r="Y478" s="2">
        <f t="shared" si="74"/>
        <v>0.39500000000000002</v>
      </c>
      <c r="Z478" t="s">
        <v>22</v>
      </c>
    </row>
    <row r="479" spans="1:26" x14ac:dyDescent="0.25">
      <c r="A479" t="s">
        <v>173</v>
      </c>
      <c r="B479" t="s">
        <v>10</v>
      </c>
      <c r="C479" t="s">
        <v>11</v>
      </c>
      <c r="D479" t="s">
        <v>12</v>
      </c>
      <c r="E479" t="s">
        <v>13</v>
      </c>
      <c r="F479" t="s">
        <v>14</v>
      </c>
      <c r="G479" t="s">
        <v>14</v>
      </c>
      <c r="H479" t="s">
        <v>247</v>
      </c>
      <c r="I479">
        <f t="shared" si="72"/>
        <v>9.5</v>
      </c>
      <c r="J479" t="s">
        <v>282</v>
      </c>
      <c r="K479" t="s">
        <v>207</v>
      </c>
      <c r="L479" t="s">
        <v>249</v>
      </c>
      <c r="Q479" t="s">
        <v>198</v>
      </c>
      <c r="R479" t="s">
        <v>26</v>
      </c>
      <c r="S479" t="s">
        <v>32</v>
      </c>
      <c r="T479" t="s">
        <v>216</v>
      </c>
      <c r="V479" s="1">
        <v>5.0000000000000001E-9</v>
      </c>
      <c r="W479">
        <f t="shared" si="73"/>
        <v>1.35</v>
      </c>
      <c r="Y479" s="2">
        <f t="shared" si="74"/>
        <v>0.39500000000000002</v>
      </c>
      <c r="Z479" t="s">
        <v>22</v>
      </c>
    </row>
    <row r="480" spans="1:26" x14ac:dyDescent="0.25">
      <c r="A480" t="s">
        <v>173</v>
      </c>
      <c r="B480" t="s">
        <v>10</v>
      </c>
      <c r="C480" t="s">
        <v>11</v>
      </c>
      <c r="D480" t="s">
        <v>12</v>
      </c>
      <c r="E480" t="s">
        <v>13</v>
      </c>
      <c r="F480" t="s">
        <v>14</v>
      </c>
      <c r="G480" t="s">
        <v>14</v>
      </c>
      <c r="H480" t="s">
        <v>247</v>
      </c>
      <c r="I480">
        <f t="shared" si="72"/>
        <v>9.5</v>
      </c>
      <c r="J480" t="s">
        <v>282</v>
      </c>
      <c r="K480" t="s">
        <v>207</v>
      </c>
      <c r="L480" t="s">
        <v>249</v>
      </c>
      <c r="Q480" t="s">
        <v>197</v>
      </c>
      <c r="R480" t="s">
        <v>26</v>
      </c>
      <c r="S480" t="s">
        <v>32</v>
      </c>
      <c r="T480" t="s">
        <v>216</v>
      </c>
      <c r="V480" s="1">
        <v>2.2999999999999998E-8</v>
      </c>
      <c r="W480">
        <f t="shared" si="73"/>
        <v>1.35</v>
      </c>
      <c r="Y480" s="2">
        <f t="shared" si="74"/>
        <v>0.39500000000000002</v>
      </c>
      <c r="Z480" t="s">
        <v>22</v>
      </c>
    </row>
    <row r="481" spans="1:26" x14ac:dyDescent="0.25">
      <c r="A481" t="s">
        <v>173</v>
      </c>
      <c r="B481" t="s">
        <v>10</v>
      </c>
      <c r="C481" t="s">
        <v>11</v>
      </c>
      <c r="D481" t="s">
        <v>12</v>
      </c>
      <c r="E481" t="s">
        <v>13</v>
      </c>
      <c r="F481" t="s">
        <v>14</v>
      </c>
      <c r="G481" t="s">
        <v>14</v>
      </c>
      <c r="H481" t="s">
        <v>247</v>
      </c>
      <c r="I481">
        <f t="shared" si="72"/>
        <v>9.5</v>
      </c>
      <c r="J481" t="s">
        <v>282</v>
      </c>
      <c r="K481" t="s">
        <v>207</v>
      </c>
      <c r="L481" t="s">
        <v>249</v>
      </c>
      <c r="Q481" t="s">
        <v>199</v>
      </c>
      <c r="R481" t="s">
        <v>26</v>
      </c>
      <c r="S481" t="s">
        <v>32</v>
      </c>
      <c r="T481" t="s">
        <v>216</v>
      </c>
      <c r="V481" s="1">
        <v>4.3000000000000001E-8</v>
      </c>
      <c r="W481">
        <f t="shared" si="73"/>
        <v>1.35</v>
      </c>
      <c r="Y481" s="2">
        <f t="shared" si="74"/>
        <v>0.39500000000000002</v>
      </c>
      <c r="Z481" t="s">
        <v>22</v>
      </c>
    </row>
    <row r="482" spans="1:26" x14ac:dyDescent="0.25">
      <c r="A482" t="s">
        <v>173</v>
      </c>
      <c r="B482" t="s">
        <v>10</v>
      </c>
      <c r="C482" t="s">
        <v>11</v>
      </c>
      <c r="D482" t="s">
        <v>12</v>
      </c>
      <c r="E482" t="s">
        <v>13</v>
      </c>
      <c r="F482" t="s">
        <v>14</v>
      </c>
      <c r="G482" t="s">
        <v>14</v>
      </c>
      <c r="H482" t="s">
        <v>247</v>
      </c>
      <c r="I482">
        <f t="shared" si="72"/>
        <v>9.5</v>
      </c>
      <c r="J482" t="s">
        <v>282</v>
      </c>
      <c r="K482" t="s">
        <v>208</v>
      </c>
      <c r="L482" t="s">
        <v>249</v>
      </c>
      <c r="Q482" t="s">
        <v>198</v>
      </c>
      <c r="R482" t="s">
        <v>26</v>
      </c>
      <c r="S482" t="s">
        <v>32</v>
      </c>
      <c r="T482" t="s">
        <v>215</v>
      </c>
      <c r="V482" s="1">
        <v>6E-9</v>
      </c>
      <c r="W482">
        <f t="shared" si="73"/>
        <v>1.35</v>
      </c>
      <c r="Y482" s="2">
        <f t="shared" si="74"/>
        <v>0.39500000000000002</v>
      </c>
      <c r="Z482" t="s">
        <v>22</v>
      </c>
    </row>
    <row r="483" spans="1:26" x14ac:dyDescent="0.25">
      <c r="A483" t="s">
        <v>173</v>
      </c>
      <c r="B483" t="s">
        <v>10</v>
      </c>
      <c r="C483" t="s">
        <v>11</v>
      </c>
      <c r="D483" t="s">
        <v>12</v>
      </c>
      <c r="E483" t="s">
        <v>13</v>
      </c>
      <c r="F483" t="s">
        <v>14</v>
      </c>
      <c r="G483" t="s">
        <v>14</v>
      </c>
      <c r="H483" t="s">
        <v>247</v>
      </c>
      <c r="I483">
        <f t="shared" si="72"/>
        <v>9.5</v>
      </c>
      <c r="J483" t="s">
        <v>282</v>
      </c>
      <c r="K483" t="s">
        <v>208</v>
      </c>
      <c r="L483" t="s">
        <v>249</v>
      </c>
      <c r="Q483" t="s">
        <v>197</v>
      </c>
      <c r="R483" t="s">
        <v>26</v>
      </c>
      <c r="S483" t="s">
        <v>32</v>
      </c>
      <c r="T483" t="s">
        <v>215</v>
      </c>
      <c r="V483" s="1">
        <v>1.8999999999999998E-8</v>
      </c>
      <c r="W483">
        <f t="shared" si="73"/>
        <v>1.35</v>
      </c>
      <c r="Y483" s="2">
        <f t="shared" si="74"/>
        <v>0.39500000000000002</v>
      </c>
      <c r="Z483" t="s">
        <v>22</v>
      </c>
    </row>
    <row r="484" spans="1:26" x14ac:dyDescent="0.25">
      <c r="A484" t="s">
        <v>173</v>
      </c>
      <c r="B484" t="s">
        <v>10</v>
      </c>
      <c r="C484" t="s">
        <v>11</v>
      </c>
      <c r="D484" t="s">
        <v>12</v>
      </c>
      <c r="E484" t="s">
        <v>13</v>
      </c>
      <c r="F484" t="s">
        <v>14</v>
      </c>
      <c r="G484" t="s">
        <v>14</v>
      </c>
      <c r="H484" t="s">
        <v>247</v>
      </c>
      <c r="I484">
        <f t="shared" si="72"/>
        <v>9.5</v>
      </c>
      <c r="J484" t="s">
        <v>282</v>
      </c>
      <c r="K484" t="s">
        <v>208</v>
      </c>
      <c r="L484" t="s">
        <v>249</v>
      </c>
      <c r="Q484" t="s">
        <v>199</v>
      </c>
      <c r="R484" t="s">
        <v>26</v>
      </c>
      <c r="S484" t="s">
        <v>32</v>
      </c>
      <c r="T484" t="s">
        <v>215</v>
      </c>
      <c r="V484" s="1">
        <v>4.0000000000000001E-8</v>
      </c>
      <c r="W484">
        <f t="shared" si="73"/>
        <v>1.35</v>
      </c>
      <c r="Y484" s="2">
        <f t="shared" si="74"/>
        <v>0.39500000000000002</v>
      </c>
      <c r="Z484" t="s">
        <v>22</v>
      </c>
    </row>
  </sheetData>
  <autoFilter ref="A1:Z484" xr:uid="{4293B082-C322-4A78-B56F-A3AAFBFAC7A5}"/>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22EC8-A159-4A9D-8FDE-E304A0DF097C}">
  <dimension ref="A1:B8"/>
  <sheetViews>
    <sheetView zoomScaleNormal="100" workbookViewId="0">
      <selection activeCell="A6" sqref="A6"/>
    </sheetView>
  </sheetViews>
  <sheetFormatPr defaultRowHeight="15" x14ac:dyDescent="0.25"/>
  <cols>
    <col min="1" max="1" width="35.42578125" bestFit="1" customWidth="1"/>
    <col min="2" max="2" width="7.42578125" bestFit="1" customWidth="1"/>
    <col min="3" max="3" width="6.140625" bestFit="1" customWidth="1"/>
    <col min="4" max="4" width="8.5703125" bestFit="1" customWidth="1"/>
    <col min="5" max="5" width="8.140625" bestFit="1" customWidth="1"/>
  </cols>
  <sheetData>
    <row r="1" spans="1:2" x14ac:dyDescent="0.25">
      <c r="A1" t="s">
        <v>0</v>
      </c>
      <c r="B1" t="s">
        <v>1</v>
      </c>
    </row>
    <row r="2" spans="1:2" x14ac:dyDescent="0.25">
      <c r="A2" t="s">
        <v>250</v>
      </c>
      <c r="B2" t="s">
        <v>20</v>
      </c>
    </row>
    <row r="3" spans="1:2" x14ac:dyDescent="0.25">
      <c r="A3" t="s">
        <v>176</v>
      </c>
      <c r="B3" t="s">
        <v>10</v>
      </c>
    </row>
    <row r="4" spans="1:2" x14ac:dyDescent="0.25">
      <c r="A4" t="s">
        <v>108</v>
      </c>
      <c r="B4" t="s">
        <v>110</v>
      </c>
    </row>
    <row r="5" spans="1:2" x14ac:dyDescent="0.25">
      <c r="A5" t="s">
        <v>149</v>
      </c>
      <c r="B5" t="s">
        <v>130</v>
      </c>
    </row>
    <row r="6" spans="1:2" x14ac:dyDescent="0.25">
      <c r="A6" t="s">
        <v>170</v>
      </c>
      <c r="B6" t="s">
        <v>110</v>
      </c>
    </row>
    <row r="7" spans="1:2" x14ac:dyDescent="0.25">
      <c r="A7" t="s">
        <v>151</v>
      </c>
      <c r="B7" t="s">
        <v>110</v>
      </c>
    </row>
    <row r="8" spans="1:2" x14ac:dyDescent="0.25">
      <c r="A8" t="s">
        <v>168</v>
      </c>
      <c r="B8" t="s">
        <v>20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spatial_gradient_studies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Baca</dc:creator>
  <cp:lastModifiedBy>Juan Baca</cp:lastModifiedBy>
  <dcterms:created xsi:type="dcterms:W3CDTF">2022-09-20T13:59:18Z</dcterms:created>
  <dcterms:modified xsi:type="dcterms:W3CDTF">2023-06-05T15:48:16Z</dcterms:modified>
</cp:coreProperties>
</file>